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자재재고 현황\2026년\2026년10월\"/>
    </mc:Choice>
  </mc:AlternateContent>
  <xr:revisionPtr revIDLastSave="0" documentId="13_ncr:1_{9DE2694E-03B1-4B15-A740-494311C6261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재고현황'!$A$4:$AB$4883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천안창고'!$A$3308:$K$4351</definedName>
    <definedName name="_xlnm.Print_Area" localSheetId="0">'TRAY  재고현황'!$A$5:$O$4863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81029"/>
</workbook>
</file>

<file path=xl/calcChain.xml><?xml version="1.0" encoding="utf-8"?>
<calcChain xmlns="http://schemas.openxmlformats.org/spreadsheetml/2006/main">
  <c r="L4224" i="20" l="1"/>
  <c r="L2128" i="20"/>
  <c r="L2414" i="20"/>
  <c r="L1072" i="20"/>
  <c r="L4009" i="20"/>
  <c r="L3771" i="20"/>
  <c r="L4456" i="20"/>
  <c r="L4216" i="20"/>
  <c r="L4417" i="20"/>
  <c r="L4321" i="20"/>
  <c r="L1912" i="20"/>
  <c r="L3476" i="20"/>
  <c r="L2862" i="20"/>
  <c r="L3904" i="20"/>
  <c r="L4377" i="20"/>
  <c r="L1940" i="20"/>
  <c r="L4160" i="20"/>
  <c r="L4671" i="20"/>
  <c r="L2470" i="20"/>
  <c r="L3830" i="20"/>
  <c r="L4103" i="20"/>
  <c r="N3904" i="20"/>
  <c r="O3904" i="20"/>
  <c r="N321" i="20" l="1"/>
  <c r="O321" i="20"/>
  <c r="J4342" i="24" l="1"/>
  <c r="J4339" i="24"/>
  <c r="V2311" i="20"/>
  <c r="V4226" i="20"/>
  <c r="V4228" i="20"/>
  <c r="V2863" i="20"/>
  <c r="V4225" i="20"/>
  <c r="V4217" i="20"/>
  <c r="V4383" i="20"/>
  <c r="O4383" i="20" s="1"/>
  <c r="V4227" i="20"/>
  <c r="O4227" i="20" s="1"/>
  <c r="V4219" i="20"/>
  <c r="U3766" i="20"/>
  <c r="U2593" i="20"/>
  <c r="V2355" i="20"/>
  <c r="R1912" i="20"/>
  <c r="V4224" i="20"/>
  <c r="V4458" i="20"/>
  <c r="Q3147" i="20"/>
  <c r="P298" i="20"/>
  <c r="V4324" i="20"/>
  <c r="V4216" i="20"/>
  <c r="U451" i="20"/>
  <c r="V3758" i="20"/>
  <c r="V2470" i="20"/>
  <c r="V4160" i="20"/>
  <c r="V4450" i="20"/>
  <c r="U1226" i="20"/>
  <c r="R4103" i="20"/>
  <c r="R4736" i="20"/>
  <c r="U4377" i="20"/>
  <c r="V4205" i="20"/>
  <c r="V3452" i="20"/>
  <c r="T4770" i="20"/>
  <c r="R4730" i="20"/>
  <c r="Q4366" i="20"/>
  <c r="R4364" i="20"/>
  <c r="Q4320" i="20"/>
  <c r="R4290" i="20"/>
  <c r="R4252" i="20"/>
  <c r="Q4248" i="20"/>
  <c r="R4113" i="20"/>
  <c r="U3846" i="20"/>
  <c r="R3741" i="20"/>
  <c r="Q3640" i="20"/>
  <c r="Q3575" i="20"/>
  <c r="Q3515" i="20"/>
  <c r="Q3478" i="20"/>
  <c r="Q3432" i="20"/>
  <c r="P3285" i="20"/>
  <c r="Q2661" i="20"/>
  <c r="Q2505" i="20"/>
  <c r="Q2193" i="20"/>
  <c r="Q1954" i="20"/>
  <c r="Q1933" i="20"/>
  <c r="Q1446" i="20"/>
  <c r="Q4671" i="20"/>
  <c r="V4649" i="20"/>
  <c r="Q1960" i="20"/>
  <c r="Q1772" i="20"/>
  <c r="AD4383" i="20"/>
  <c r="N4383" i="20"/>
  <c r="N4384" i="20"/>
  <c r="V4321" i="20"/>
  <c r="V3476" i="20"/>
  <c r="U3783" i="20"/>
  <c r="R2656" i="20"/>
  <c r="T3847" i="20"/>
  <c r="T4189" i="20"/>
  <c r="AD4189" i="20" s="1"/>
  <c r="Q3083" i="20"/>
  <c r="J4340" i="24"/>
  <c r="K4340" i="24" s="1"/>
  <c r="J4347" i="24"/>
  <c r="K4347" i="24" s="1"/>
  <c r="V4229" i="20"/>
  <c r="V4181" i="20"/>
  <c r="Q4424" i="20"/>
  <c r="U4692" i="20"/>
  <c r="U1895" i="20"/>
  <c r="U3584" i="20"/>
  <c r="R4737" i="20"/>
  <c r="X3862" i="20"/>
  <c r="V2851" i="20"/>
  <c r="Q4332" i="20"/>
  <c r="Q392" i="20"/>
  <c r="V4101" i="20"/>
  <c r="V4303" i="20"/>
  <c r="U2873" i="20"/>
  <c r="U2786" i="20"/>
  <c r="U1423" i="20"/>
  <c r="V4180" i="20"/>
  <c r="U4174" i="20"/>
  <c r="V4173" i="20"/>
  <c r="V4182" i="20"/>
  <c r="U4275" i="20"/>
  <c r="R4291" i="20"/>
  <c r="P2583" i="20"/>
  <c r="T2091" i="20"/>
  <c r="P1160" i="20"/>
  <c r="U4802" i="20"/>
  <c r="U2529" i="20"/>
  <c r="U3621" i="20"/>
  <c r="V4274" i="20"/>
  <c r="U3771" i="20"/>
  <c r="Q4743" i="20"/>
  <c r="Q4326" i="20"/>
  <c r="R4279" i="20"/>
  <c r="Q4135" i="20"/>
  <c r="Q3700" i="20"/>
  <c r="R3586" i="20"/>
  <c r="T3185" i="20"/>
  <c r="Q2985" i="20"/>
  <c r="T2867" i="20"/>
  <c r="Q2128" i="20"/>
  <c r="Q1930" i="20"/>
  <c r="R1927" i="20"/>
  <c r="Q1988" i="20"/>
  <c r="U2321" i="20"/>
  <c r="U1560" i="20"/>
  <c r="U3935" i="20"/>
  <c r="V4397" i="20"/>
  <c r="V4385" i="20"/>
  <c r="U1828" i="20"/>
  <c r="U4288" i="20"/>
  <c r="V4230" i="20"/>
  <c r="U3755" i="20"/>
  <c r="U2528" i="20"/>
  <c r="U4066" i="20"/>
  <c r="P1334" i="20"/>
  <c r="V4170" i="20"/>
  <c r="P350" i="20"/>
  <c r="J4343" i="24"/>
  <c r="P777" i="20"/>
  <c r="U1949" i="20"/>
  <c r="U4003" i="20"/>
  <c r="Q1971" i="20"/>
  <c r="V4125" i="20"/>
  <c r="U1970" i="20"/>
  <c r="V4265" i="20"/>
  <c r="Q4409" i="20"/>
  <c r="O4068" i="20"/>
  <c r="N4068" i="20"/>
  <c r="L4318" i="20"/>
  <c r="P529" i="20"/>
  <c r="V4414" i="20"/>
  <c r="U4729" i="20"/>
  <c r="U3805" i="20"/>
  <c r="R4746" i="20"/>
  <c r="O4746" i="20" s="1"/>
  <c r="U4410" i="20"/>
  <c r="V4402" i="20"/>
  <c r="U4360" i="20"/>
  <c r="Q4301" i="20"/>
  <c r="U4188" i="20"/>
  <c r="U4118" i="20"/>
  <c r="U3793" i="20"/>
  <c r="U3888" i="20"/>
  <c r="Q2956" i="20"/>
  <c r="U1625" i="20"/>
  <c r="V3862" i="20"/>
  <c r="V4407" i="20"/>
  <c r="Q733" i="20"/>
  <c r="P1407" i="20"/>
  <c r="P1121" i="20"/>
  <c r="K4339" i="24"/>
  <c r="K4341" i="24"/>
  <c r="K4342" i="24"/>
  <c r="K4343" i="24"/>
  <c r="K4344" i="24"/>
  <c r="K4345" i="24"/>
  <c r="K4346" i="24"/>
  <c r="J4333" i="24"/>
  <c r="U4300" i="20"/>
  <c r="V3250" i="20"/>
  <c r="R4108" i="20"/>
  <c r="V3902" i="20"/>
  <c r="Q4350" i="20"/>
  <c r="U314" i="20"/>
  <c r="V3524" i="20"/>
  <c r="U2522" i="20"/>
  <c r="V4192" i="20"/>
  <c r="R2484" i="20"/>
  <c r="Q4344" i="20"/>
  <c r="P222" i="20"/>
  <c r="Q1974" i="20"/>
  <c r="P49" i="20"/>
  <c r="P1993" i="20"/>
  <c r="O1993" i="20" s="1"/>
  <c r="J4314" i="24"/>
  <c r="V2378" i="20"/>
  <c r="V4337" i="20"/>
  <c r="V4069" i="20"/>
  <c r="V3861" i="20"/>
  <c r="L4410" i="20"/>
  <c r="N4189" i="20"/>
  <c r="T4059" i="20"/>
  <c r="T3995" i="20"/>
  <c r="Q4425" i="20"/>
  <c r="Q3988" i="20"/>
  <c r="Q3909" i="20"/>
  <c r="Q3655" i="20"/>
  <c r="V4107" i="20"/>
  <c r="U1956" i="20"/>
  <c r="T4298" i="20"/>
  <c r="T4292" i="20"/>
  <c r="T3519" i="20"/>
  <c r="P1738" i="20"/>
  <c r="N1993" i="20"/>
  <c r="V4145" i="20"/>
  <c r="U4122" i="20"/>
  <c r="Q1859" i="20"/>
  <c r="U4483" i="20"/>
  <c r="V4378" i="20"/>
  <c r="U4216" i="20"/>
  <c r="R4429" i="20"/>
  <c r="U4488" i="20"/>
  <c r="O4488" i="20" s="1"/>
  <c r="N4488" i="20"/>
  <c r="N4489" i="20"/>
  <c r="O4489" i="20"/>
  <c r="U4080" i="20"/>
  <c r="U1053" i="20"/>
  <c r="U4738" i="20"/>
  <c r="U3802" i="20"/>
  <c r="U4058" i="20"/>
  <c r="U3933" i="20"/>
  <c r="U1513" i="20"/>
  <c r="U3486" i="20"/>
  <c r="U2974" i="20"/>
  <c r="U3968" i="20"/>
  <c r="P544" i="20"/>
  <c r="J4335" i="24"/>
  <c r="V4412" i="20"/>
  <c r="V3454" i="20"/>
  <c r="Q4043" i="20"/>
  <c r="Q2654" i="20"/>
  <c r="U4331" i="20"/>
  <c r="U1355" i="20"/>
  <c r="Q2233" i="20"/>
  <c r="U1842" i="20"/>
  <c r="P1316" i="20"/>
  <c r="P1062" i="20"/>
  <c r="N4746" i="20"/>
  <c r="U3810" i="20"/>
  <c r="V3776" i="20"/>
  <c r="Q963" i="20"/>
  <c r="J4334" i="24"/>
  <c r="Q3287" i="20"/>
  <c r="U3444" i="20"/>
  <c r="U4153" i="20"/>
  <c r="U3620" i="20"/>
  <c r="U3013" i="20"/>
  <c r="U1749" i="20"/>
  <c r="U1396" i="20"/>
  <c r="U917" i="20"/>
  <c r="U2886" i="20"/>
  <c r="V2599" i="20"/>
  <c r="U1765" i="20"/>
  <c r="T3210" i="20"/>
  <c r="T3471" i="20"/>
  <c r="O4228" i="20"/>
  <c r="N4228" i="20"/>
  <c r="Q4372" i="20"/>
  <c r="U4720" i="20"/>
  <c r="Q4451" i="20"/>
  <c r="Q4434" i="20"/>
  <c r="V4381" i="20"/>
  <c r="Q3118" i="20"/>
  <c r="P845" i="20"/>
  <c r="N4227" i="20"/>
  <c r="N4229" i="20"/>
  <c r="P1669" i="20"/>
  <c r="U569" i="20"/>
  <c r="AC4189" i="20" l="1"/>
  <c r="O4189" i="20"/>
  <c r="U4274" i="20"/>
  <c r="U1818" i="20"/>
  <c r="T3759" i="20"/>
  <c r="T2868" i="20"/>
  <c r="V4176" i="20"/>
  <c r="K4333" i="24"/>
  <c r="K4334" i="24"/>
  <c r="K4335" i="24"/>
  <c r="K4336" i="24"/>
  <c r="K4337" i="24"/>
  <c r="K4338" i="24"/>
  <c r="K4348" i="24"/>
  <c r="O4229" i="20"/>
  <c r="Q1735" i="20"/>
  <c r="Q1308" i="20"/>
  <c r="U156" i="20"/>
  <c r="R4015" i="20"/>
  <c r="Q3403" i="20"/>
  <c r="Q3033" i="20"/>
  <c r="U625" i="20"/>
  <c r="U752" i="20"/>
  <c r="V4136" i="20"/>
  <c r="V1970" i="20"/>
  <c r="V4048" i="20"/>
  <c r="R2512" i="20"/>
  <c r="P1032" i="20"/>
  <c r="P923" i="20"/>
  <c r="R2637" i="20"/>
  <c r="P4569" i="20"/>
  <c r="O4474" i="20"/>
  <c r="N4474" i="20"/>
  <c r="AE4189" i="20" l="1"/>
  <c r="AF4189" i="20"/>
  <c r="AG4189" i="20" s="1"/>
  <c r="J4305" i="24"/>
  <c r="N4226" i="20"/>
  <c r="O4226" i="20"/>
  <c r="V4250" i="20"/>
  <c r="Q4602" i="20"/>
  <c r="Q2464" i="20"/>
  <c r="U3079" i="20"/>
  <c r="Q1418" i="20"/>
  <c r="V4085" i="20" l="1"/>
  <c r="U3391" i="20"/>
  <c r="U2944" i="20"/>
  <c r="U2414" i="20"/>
  <c r="U669" i="20"/>
  <c r="U605" i="20"/>
  <c r="T2274" i="20"/>
  <c r="V4465" i="20"/>
  <c r="O3903" i="20"/>
  <c r="N3903" i="20"/>
  <c r="J4331" i="24"/>
  <c r="V4351" i="20"/>
  <c r="P1380" i="20"/>
  <c r="R1905" i="20"/>
  <c r="U4309" i="20"/>
  <c r="U3969" i="20"/>
  <c r="J4330" i="24" l="1"/>
  <c r="J4329" i="24"/>
  <c r="J4306" i="24"/>
  <c r="J4328" i="24"/>
  <c r="J4319" i="24"/>
  <c r="V3770" i="20"/>
  <c r="V3726" i="20"/>
  <c r="U3438" i="20"/>
  <c r="U4373" i="20"/>
  <c r="U3316" i="20"/>
  <c r="V2854" i="20"/>
  <c r="U4057" i="20"/>
  <c r="U1807" i="20"/>
  <c r="P2515" i="20"/>
  <c r="P740" i="20"/>
  <c r="T4748" i="20"/>
  <c r="O4479" i="20"/>
  <c r="N4479" i="20"/>
  <c r="P1110" i="20"/>
  <c r="J4321" i="24" l="1"/>
  <c r="AD3274" i="20"/>
  <c r="AC3274" i="20"/>
  <c r="O3274" i="20"/>
  <c r="N3274" i="20"/>
  <c r="P1528" i="20"/>
  <c r="U3106" i="20"/>
  <c r="U4529" i="20"/>
  <c r="K4325" i="24"/>
  <c r="K4326" i="24"/>
  <c r="K4327" i="24"/>
  <c r="K4328" i="24"/>
  <c r="K4329" i="24"/>
  <c r="K4330" i="24"/>
  <c r="K4331" i="24"/>
  <c r="K4332" i="24"/>
  <c r="U4089" i="20"/>
  <c r="AD3902" i="20"/>
  <c r="AC3902" i="20"/>
  <c r="O3902" i="20"/>
  <c r="N3902" i="20"/>
  <c r="U3760" i="20"/>
  <c r="Q1174" i="20"/>
  <c r="V4352" i="20"/>
  <c r="P3042" i="20"/>
  <c r="T4497" i="20"/>
  <c r="N4230" i="20"/>
  <c r="O4230" i="20"/>
  <c r="N4231" i="20"/>
  <c r="O4231" i="20"/>
  <c r="U1845" i="20"/>
  <c r="Q158" i="20"/>
  <c r="AE3274" i="20" l="1"/>
  <c r="AF3274" i="20"/>
  <c r="AG3274" i="20" s="1"/>
  <c r="AE3902" i="20"/>
  <c r="AF3902" i="20"/>
  <c r="AG3902" i="20" s="1"/>
  <c r="J4320" i="24"/>
  <c r="K4320" i="24" s="1"/>
  <c r="Q1925" i="20"/>
  <c r="R4065" i="20"/>
  <c r="V3977" i="20"/>
  <c r="O4487" i="20"/>
  <c r="U1678" i="20"/>
  <c r="U4441" i="20"/>
  <c r="U4295" i="20"/>
  <c r="U4440" i="20"/>
  <c r="T3910" i="20"/>
  <c r="AD3910" i="20" s="1"/>
  <c r="O1948" i="20"/>
  <c r="N1948" i="20"/>
  <c r="AC2863" i="20"/>
  <c r="N4180" i="20"/>
  <c r="O4180" i="20"/>
  <c r="N4181" i="20"/>
  <c r="J4310" i="24"/>
  <c r="J4318" i="24"/>
  <c r="AD2529" i="20"/>
  <c r="U2154" i="20"/>
  <c r="N4438" i="20"/>
  <c r="O4438" i="20"/>
  <c r="N4439" i="20"/>
  <c r="O4439" i="20"/>
  <c r="V4416" i="20"/>
  <c r="V4457" i="20"/>
  <c r="U1476" i="20"/>
  <c r="U957" i="20"/>
  <c r="U4328" i="20"/>
  <c r="V2405" i="20"/>
  <c r="O4181" i="20"/>
  <c r="N4225" i="20"/>
  <c r="K4321" i="24"/>
  <c r="K4322" i="24"/>
  <c r="K4323" i="24"/>
  <c r="K4324" i="24"/>
  <c r="K4349" i="24"/>
  <c r="P1526" i="20"/>
  <c r="U4463" i="20"/>
  <c r="O4463" i="20" s="1"/>
  <c r="U4469" i="20"/>
  <c r="O4469" i="20" s="1"/>
  <c r="R2944" i="20"/>
  <c r="N4487" i="20"/>
  <c r="N4469" i="20"/>
  <c r="N4463" i="20"/>
  <c r="N2529" i="20"/>
  <c r="Q3968" i="20"/>
  <c r="P712" i="20"/>
  <c r="P285" i="20"/>
  <c r="O4225" i="20"/>
  <c r="J4317" i="24"/>
  <c r="N2863" i="20"/>
  <c r="N3910" i="20"/>
  <c r="U986" i="20"/>
  <c r="U710" i="20"/>
  <c r="P1261" i="20"/>
  <c r="U1579" i="20"/>
  <c r="O4442" i="20"/>
  <c r="N4442" i="20"/>
  <c r="Q3881" i="20"/>
  <c r="Q2581" i="20"/>
  <c r="Q4454" i="20"/>
  <c r="Q4477" i="20"/>
  <c r="S3692" i="20"/>
  <c r="O3910" i="20" l="1"/>
  <c r="AC3910" i="20"/>
  <c r="AF3910" i="20" s="1"/>
  <c r="AD2863" i="20"/>
  <c r="AE2863" i="20" s="1"/>
  <c r="AC2529" i="20"/>
  <c r="AF2529" i="20" s="1"/>
  <c r="AG2529" i="20" s="1"/>
  <c r="O2863" i="20"/>
  <c r="O2529" i="20"/>
  <c r="AF2863" i="20"/>
  <c r="AG2863" i="20" s="1"/>
  <c r="J4313" i="24"/>
  <c r="U4113" i="20"/>
  <c r="V3957" i="20"/>
  <c r="U3358" i="20"/>
  <c r="Q2761" i="20"/>
  <c r="P2581" i="20"/>
  <c r="U3017" i="20"/>
  <c r="AG3910" i="20" l="1"/>
  <c r="AE3910" i="20"/>
  <c r="AE2529" i="20"/>
  <c r="O4224" i="20"/>
  <c r="N4224" i="20"/>
  <c r="O4218" i="20" l="1"/>
  <c r="V3246" i="20"/>
  <c r="U4411" i="20"/>
  <c r="U2124" i="20"/>
  <c r="K4316" i="24"/>
  <c r="K4317" i="24"/>
  <c r="K4318" i="24"/>
  <c r="K4319" i="24"/>
  <c r="O4441" i="20"/>
  <c r="N4441" i="20"/>
  <c r="O4440" i="20"/>
  <c r="N4440" i="20"/>
  <c r="AD4253" i="20"/>
  <c r="AC4253" i="20"/>
  <c r="AF4253" i="20" s="1"/>
  <c r="O4253" i="20"/>
  <c r="N4253" i="20"/>
  <c r="Q3181" i="20"/>
  <c r="U4263" i="20"/>
  <c r="P1874" i="20"/>
  <c r="AE4253" i="20" l="1"/>
  <c r="AG4253" i="20"/>
  <c r="J4312" i="24"/>
  <c r="K4312" i="24" s="1"/>
  <c r="O4182" i="20"/>
  <c r="N4182" i="20"/>
  <c r="Q3763" i="20"/>
  <c r="U2294" i="20"/>
  <c r="N4072" i="20"/>
  <c r="O4072" i="20"/>
  <c r="O4411" i="20"/>
  <c r="N4411" i="20"/>
  <c r="N3476" i="20"/>
  <c r="J4311" i="24"/>
  <c r="K4311" i="24" s="1"/>
  <c r="R3359" i="20"/>
  <c r="Q2267" i="20"/>
  <c r="AD1913" i="20"/>
  <c r="U1919" i="20"/>
  <c r="P1002" i="20"/>
  <c r="T4603" i="20"/>
  <c r="Y4288" i="20"/>
  <c r="AD4229" i="20"/>
  <c r="AC4229" i="20"/>
  <c r="P1598" i="20"/>
  <c r="AC4279" i="20"/>
  <c r="AD4279" i="20"/>
  <c r="N4279" i="20"/>
  <c r="U4023" i="20"/>
  <c r="U3622" i="20"/>
  <c r="U3615" i="20"/>
  <c r="J4309" i="24"/>
  <c r="K4309" i="24" s="1"/>
  <c r="Q1666" i="20"/>
  <c r="Q4726" i="20"/>
  <c r="V3550" i="20"/>
  <c r="O3476" i="20"/>
  <c r="U4453" i="20"/>
  <c r="U4452" i="20"/>
  <c r="V4395" i="20"/>
  <c r="U2577" i="20"/>
  <c r="N1913" i="20"/>
  <c r="O4291" i="20"/>
  <c r="N4291" i="20"/>
  <c r="R2145" i="20"/>
  <c r="Q3827" i="20"/>
  <c r="U3696" i="20"/>
  <c r="U4265" i="20"/>
  <c r="P2328" i="20"/>
  <c r="P1159" i="20"/>
  <c r="R3990" i="20"/>
  <c r="T3566" i="20"/>
  <c r="J4303" i="24"/>
  <c r="P687" i="20"/>
  <c r="V4419" i="20"/>
  <c r="U1991" i="20"/>
  <c r="U3255" i="20"/>
  <c r="U1940" i="20"/>
  <c r="V4156" i="20"/>
  <c r="U827" i="20"/>
  <c r="T4771" i="20"/>
  <c r="Q3975" i="20"/>
  <c r="U3408" i="20"/>
  <c r="P1937" i="20"/>
  <c r="K4310" i="24"/>
  <c r="K4313" i="24"/>
  <c r="K4314" i="24"/>
  <c r="K4315" i="24"/>
  <c r="AE4229" i="20" l="1"/>
  <c r="AF4229" i="20"/>
  <c r="AG4229" i="20" s="1"/>
  <c r="AF4279" i="20"/>
  <c r="AG4279" i="20" s="1"/>
  <c r="O4279" i="20"/>
  <c r="AE4279" i="20"/>
  <c r="AC1913" i="20"/>
  <c r="O1913" i="20"/>
  <c r="O4478" i="20"/>
  <c r="N4478" i="20"/>
  <c r="O4453" i="20"/>
  <c r="N4453" i="20"/>
  <c r="O4452" i="20"/>
  <c r="N4452" i="20"/>
  <c r="J4308" i="24"/>
  <c r="U2697" i="20"/>
  <c r="Q1990" i="20"/>
  <c r="O1990" i="20" s="1"/>
  <c r="U780" i="20"/>
  <c r="U2012" i="20"/>
  <c r="U860" i="20"/>
  <c r="P1680" i="20"/>
  <c r="O1991" i="20"/>
  <c r="N1991" i="20"/>
  <c r="Y3969" i="20"/>
  <c r="Q4286" i="20"/>
  <c r="U1347" i="20"/>
  <c r="N1990" i="20"/>
  <c r="U3826" i="20"/>
  <c r="V4476" i="20"/>
  <c r="P4831" i="20"/>
  <c r="U4115" i="20"/>
  <c r="Q1989" i="20"/>
  <c r="P1891" i="20"/>
  <c r="AE1913" i="20" l="1"/>
  <c r="AF1913" i="20"/>
  <c r="AG1913" i="20" s="1"/>
  <c r="R4791" i="20"/>
  <c r="U1984" i="20"/>
  <c r="V3073" i="20"/>
  <c r="U1137" i="20"/>
  <c r="P4006" i="20"/>
  <c r="U1031" i="20"/>
  <c r="U4391" i="20"/>
  <c r="R530" i="20"/>
  <c r="P1158" i="20"/>
  <c r="O1989" i="20"/>
  <c r="N1989" i="20"/>
  <c r="J4301" i="24"/>
  <c r="P411" i="20"/>
  <c r="Q4423" i="20"/>
  <c r="Q4239" i="20" l="1"/>
  <c r="U2589" i="20"/>
  <c r="N3251" i="20"/>
  <c r="Q4312" i="20"/>
  <c r="U962" i="20"/>
  <c r="O4477" i="20"/>
  <c r="O3251" i="20"/>
  <c r="J4300" i="24"/>
  <c r="J4302" i="24"/>
  <c r="R2199" i="20"/>
  <c r="V3970" i="20"/>
  <c r="R2671" i="20"/>
  <c r="N4477" i="20"/>
  <c r="J4296" i="24" l="1"/>
  <c r="U2526" i="20"/>
  <c r="U4187" i="20"/>
  <c r="U3287" i="20" l="1"/>
  <c r="T3433" i="20"/>
  <c r="T3335" i="20"/>
  <c r="O4391" i="20"/>
  <c r="N4391" i="20"/>
  <c r="O4290" i="20"/>
  <c r="N4290" i="20"/>
  <c r="N1969" i="20"/>
  <c r="O1969" i="20"/>
  <c r="N1970" i="20"/>
  <c r="N1971" i="20"/>
  <c r="N1972" i="20"/>
  <c r="N1973" i="20"/>
  <c r="O1973" i="20"/>
  <c r="U4327" i="20"/>
  <c r="J4298" i="24"/>
  <c r="Q1786" i="20"/>
  <c r="U4406" i="20"/>
  <c r="O1971" i="20"/>
  <c r="U1987" i="20"/>
  <c r="R891" i="20"/>
  <c r="S2276" i="20"/>
  <c r="P1992" i="20"/>
  <c r="R4785" i="20"/>
  <c r="R4143" i="20"/>
  <c r="K4302" i="24"/>
  <c r="K4303" i="24"/>
  <c r="K4304" i="24"/>
  <c r="K4305" i="24"/>
  <c r="K4306" i="24"/>
  <c r="K4307" i="24"/>
  <c r="K4308" i="24"/>
  <c r="V4215" i="20" l="1"/>
  <c r="J4297" i="24"/>
  <c r="J4299" i="24"/>
  <c r="R4638" i="20"/>
  <c r="Q1876" i="20"/>
  <c r="U4194" i="20"/>
  <c r="P173" i="20" l="1"/>
  <c r="U1879" i="20"/>
  <c r="U1877" i="20"/>
  <c r="V3969" i="20" l="1"/>
  <c r="Q4745" i="20"/>
  <c r="O4745" i="20" s="1"/>
  <c r="U4486" i="20"/>
  <c r="O4486" i="20" s="1"/>
  <c r="U4485" i="20"/>
  <c r="O4485" i="20" s="1"/>
  <c r="U1947" i="20"/>
  <c r="U1968" i="20"/>
  <c r="K4297" i="24"/>
  <c r="K4298" i="24"/>
  <c r="K4299" i="24"/>
  <c r="K4300" i="24"/>
  <c r="K4301" i="24"/>
  <c r="K4350" i="24"/>
  <c r="N4485" i="20"/>
  <c r="Q1976" i="20"/>
  <c r="U1673" i="20"/>
  <c r="U1619" i="20"/>
  <c r="U1808" i="20"/>
  <c r="U1469" i="20"/>
  <c r="O4476" i="20"/>
  <c r="N4486" i="20"/>
  <c r="J4295" i="24"/>
  <c r="K4295" i="24" s="1"/>
  <c r="J4294" i="24"/>
  <c r="K4294" i="24" s="1"/>
  <c r="J4286" i="24"/>
  <c r="K4286" i="24" s="1"/>
  <c r="O4179" i="20"/>
  <c r="N4179" i="20"/>
  <c r="U1931" i="20"/>
  <c r="U4484" i="20"/>
  <c r="O4484" i="20" s="1"/>
  <c r="O4483" i="20"/>
  <c r="U4482" i="20"/>
  <c r="O4482" i="20" s="1"/>
  <c r="U4481" i="20"/>
  <c r="O4481" i="20" s="1"/>
  <c r="U4480" i="20"/>
  <c r="O4480" i="20" s="1"/>
  <c r="V4408" i="20"/>
  <c r="U452" i="20"/>
  <c r="J4293" i="24"/>
  <c r="K4293" i="24" s="1"/>
  <c r="N4178" i="20"/>
  <c r="N4745" i="20"/>
  <c r="N4476" i="20"/>
  <c r="O4178" i="20"/>
  <c r="AD4222" i="20"/>
  <c r="AD4223" i="20"/>
  <c r="R2957" i="20"/>
  <c r="N4480" i="20"/>
  <c r="N4481" i="20"/>
  <c r="N4482" i="20"/>
  <c r="R4030" i="20"/>
  <c r="N4483" i="20"/>
  <c r="U894" i="20"/>
  <c r="P2053" i="20"/>
  <c r="N4484" i="20"/>
  <c r="N4222" i="20"/>
  <c r="J4287" i="24"/>
  <c r="K4287" i="24" s="1"/>
  <c r="V4088" i="20"/>
  <c r="J4291" i="24"/>
  <c r="K4291" i="24" s="1"/>
  <c r="U4415" i="20"/>
  <c r="Q3870" i="20"/>
  <c r="P1184" i="20"/>
  <c r="O4744" i="20"/>
  <c r="J4288" i="24"/>
  <c r="K4288" i="24" s="1"/>
  <c r="J4289" i="24"/>
  <c r="K4289" i="24" s="1"/>
  <c r="J4283" i="24"/>
  <c r="Q3784" i="20"/>
  <c r="U4475" i="20"/>
  <c r="O4475" i="20" s="1"/>
  <c r="N4744" i="20"/>
  <c r="O4419" i="20"/>
  <c r="N4419" i="20"/>
  <c r="N4418" i="20"/>
  <c r="N4223" i="20"/>
  <c r="U4473" i="20"/>
  <c r="U1574" i="20"/>
  <c r="P1691" i="20"/>
  <c r="O4418" i="20"/>
  <c r="Q4466" i="20"/>
  <c r="P1636" i="20"/>
  <c r="K4290" i="24"/>
  <c r="K4292" i="24"/>
  <c r="J4281" i="24"/>
  <c r="O1970" i="20"/>
  <c r="Q1809" i="20"/>
  <c r="U4740" i="20"/>
  <c r="N4475" i="20"/>
  <c r="J4284" i="24"/>
  <c r="J4282" i="24"/>
  <c r="U1831" i="20"/>
  <c r="AC4222" i="20" l="1"/>
  <c r="AF4222" i="20" s="1"/>
  <c r="O4222" i="20"/>
  <c r="O4223" i="20"/>
  <c r="AC4223" i="20"/>
  <c r="AF4223" i="20" s="1"/>
  <c r="AG4223" i="20" s="1"/>
  <c r="J4274" i="24"/>
  <c r="J4285" i="24"/>
  <c r="R4077" i="20"/>
  <c r="T3993" i="20"/>
  <c r="O4429" i="20"/>
  <c r="N4429" i="20"/>
  <c r="AD4740" i="20"/>
  <c r="U1054" i="20"/>
  <c r="U853" i="20"/>
  <c r="P539" i="20"/>
  <c r="R4104" i="20"/>
  <c r="U4184" i="20"/>
  <c r="O4414" i="20"/>
  <c r="N4414" i="20"/>
  <c r="AC4802" i="20"/>
  <c r="AD4802" i="20"/>
  <c r="N4802" i="20"/>
  <c r="AE4222" i="20" l="1"/>
  <c r="AG4222" i="20"/>
  <c r="AE4223" i="20"/>
  <c r="AE4802" i="20"/>
  <c r="AF4802" i="20"/>
  <c r="AG4802" i="20" s="1"/>
  <c r="O4802" i="20"/>
  <c r="J4276" i="24" l="1"/>
  <c r="K4276" i="24" s="1"/>
  <c r="AD4737" i="20"/>
  <c r="V3827" i="20"/>
  <c r="T4805" i="20"/>
  <c r="N4459" i="20"/>
  <c r="O4459" i="20"/>
  <c r="N4460" i="20"/>
  <c r="O4460" i="20"/>
  <c r="N4461" i="20"/>
  <c r="O4461" i="20"/>
  <c r="N4462" i="20"/>
  <c r="O4462" i="20"/>
  <c r="N4464" i="20"/>
  <c r="N4416" i="20"/>
  <c r="O4465" i="20"/>
  <c r="J4279" i="24"/>
  <c r="K4279" i="24" s="1"/>
  <c r="Q4371" i="20"/>
  <c r="Q4271" i="20"/>
  <c r="U4445" i="20"/>
  <c r="U4446" i="20"/>
  <c r="O4466" i="20"/>
  <c r="N4466" i="20"/>
  <c r="O4170" i="20"/>
  <c r="Q1769" i="20"/>
  <c r="U4393" i="20"/>
  <c r="Q4399" i="20"/>
  <c r="K4274" i="24"/>
  <c r="K4275" i="24"/>
  <c r="K4277" i="24"/>
  <c r="K4278" i="24"/>
  <c r="K4280" i="24"/>
  <c r="K4281" i="24"/>
  <c r="K4282" i="24"/>
  <c r="K4283" i="24"/>
  <c r="K4284" i="24"/>
  <c r="K4285" i="24"/>
  <c r="K4296" i="24"/>
  <c r="N4417" i="20"/>
  <c r="N4304" i="20"/>
  <c r="N4305" i="20"/>
  <c r="O4305" i="20"/>
  <c r="AC4305" i="20"/>
  <c r="AF4305" i="20" s="1"/>
  <c r="AD4305" i="20"/>
  <c r="N4465" i="20"/>
  <c r="J4272" i="24"/>
  <c r="J4273" i="24"/>
  <c r="O4468" i="20"/>
  <c r="Q4599" i="20"/>
  <c r="N4468" i="20"/>
  <c r="L4266" i="20"/>
  <c r="J4271" i="24"/>
  <c r="O4456" i="20"/>
  <c r="O4450" i="20"/>
  <c r="U3544" i="20"/>
  <c r="U4471" i="20"/>
  <c r="U4470" i="20"/>
  <c r="N4293" i="20"/>
  <c r="O4293" i="20"/>
  <c r="N4294" i="20"/>
  <c r="O4294" i="20"/>
  <c r="N4295" i="20"/>
  <c r="N4296" i="20"/>
  <c r="N4170" i="20"/>
  <c r="P1584" i="20"/>
  <c r="N4450" i="20"/>
  <c r="J4266" i="24"/>
  <c r="J4264" i="24"/>
  <c r="N4456" i="20"/>
  <c r="O4417" i="20"/>
  <c r="O4416" i="20"/>
  <c r="O4304" i="20" l="1"/>
  <c r="AD4304" i="20"/>
  <c r="AG4305" i="20"/>
  <c r="AE4305" i="20"/>
  <c r="AD4170" i="20"/>
  <c r="AC4170" i="20"/>
  <c r="O4457" i="20"/>
  <c r="N4457" i="20"/>
  <c r="U4345" i="20"/>
  <c r="P1986" i="20"/>
  <c r="L4237" i="20"/>
  <c r="AE4170" i="20" l="1"/>
  <c r="AF4170" i="20"/>
  <c r="AG4170" i="20" s="1"/>
  <c r="J4253" i="24"/>
  <c r="J4260" i="24"/>
  <c r="U2550" i="20"/>
  <c r="V4251" i="20"/>
  <c r="S4247" i="20"/>
  <c r="K4264" i="24"/>
  <c r="K4265" i="24"/>
  <c r="K4266" i="24"/>
  <c r="K4267" i="24"/>
  <c r="K4268" i="24"/>
  <c r="K4269" i="24"/>
  <c r="K4270" i="24"/>
  <c r="K4271" i="24"/>
  <c r="K4272" i="24"/>
  <c r="K4273" i="24"/>
  <c r="N3453" i="20" l="1"/>
  <c r="O1986" i="20"/>
  <c r="O3453" i="20"/>
  <c r="Q1497" i="20"/>
  <c r="O4295" i="20"/>
  <c r="O4473" i="20"/>
  <c r="O4471" i="20"/>
  <c r="N4471" i="20"/>
  <c r="O4470" i="20"/>
  <c r="N4470" i="20"/>
  <c r="N4472" i="20"/>
  <c r="O4743" i="20"/>
  <c r="N4743" i="20"/>
  <c r="J4263" i="24"/>
  <c r="K4263" i="24" s="1"/>
  <c r="U1980" i="20"/>
  <c r="O1980" i="20" s="1"/>
  <c r="P979" i="20"/>
  <c r="J4261" i="24"/>
  <c r="K4261" i="24" s="1"/>
  <c r="N1980" i="20"/>
  <c r="N4473" i="20"/>
  <c r="O4472" i="20"/>
  <c r="J4259" i="24"/>
  <c r="K4259" i="24" s="1"/>
  <c r="U4437" i="20"/>
  <c r="R2496" i="20"/>
  <c r="AD2914" i="20"/>
  <c r="AC2914" i="20"/>
  <c r="O2914" i="20"/>
  <c r="N2914" i="20"/>
  <c r="O4436" i="20"/>
  <c r="N4436" i="20"/>
  <c r="O4435" i="20"/>
  <c r="N4435" i="20"/>
  <c r="K4258" i="24"/>
  <c r="K4260" i="24"/>
  <c r="K4262" i="24"/>
  <c r="J4252" i="24"/>
  <c r="Q640" i="20"/>
  <c r="J4231" i="24"/>
  <c r="P916" i="20"/>
  <c r="P4211" i="20"/>
  <c r="Q4242" i="20"/>
  <c r="Q4018" i="20"/>
  <c r="Q4734" i="20"/>
  <c r="R4084" i="20"/>
  <c r="U4464" i="20"/>
  <c r="O4464" i="20" s="1"/>
  <c r="P1001" i="20"/>
  <c r="V4455" i="20"/>
  <c r="N1986" i="20"/>
  <c r="U1627" i="20"/>
  <c r="R4661" i="20"/>
  <c r="AE2914" i="20" l="1"/>
  <c r="AF2914" i="20"/>
  <c r="AG2914" i="20" s="1"/>
  <c r="K4254" i="24"/>
  <c r="K4255" i="24"/>
  <c r="K4256" i="24"/>
  <c r="K4257" i="24"/>
  <c r="N1981" i="20"/>
  <c r="O4437" i="20"/>
  <c r="N4437" i="20"/>
  <c r="N4458" i="20"/>
  <c r="J4250" i="24"/>
  <c r="V4270" i="20"/>
  <c r="U4270" i="20"/>
  <c r="O4458" i="20"/>
  <c r="O1981" i="20"/>
  <c r="AC1754" i="20"/>
  <c r="AD1754" i="20"/>
  <c r="N1754" i="20"/>
  <c r="AD1862" i="20"/>
  <c r="AC1862" i="20"/>
  <c r="AF1862" i="20" s="1"/>
  <c r="O1862" i="20"/>
  <c r="N1862" i="20"/>
  <c r="Q4705" i="20"/>
  <c r="Q2461" i="20"/>
  <c r="U4739" i="20"/>
  <c r="O4455" i="20"/>
  <c r="N4455" i="20"/>
  <c r="U4421" i="20"/>
  <c r="U1985" i="20"/>
  <c r="P857" i="20"/>
  <c r="AD3979" i="20"/>
  <c r="AC3979" i="20"/>
  <c r="AF3979" i="20" s="1"/>
  <c r="O3979" i="20"/>
  <c r="N3979" i="20"/>
  <c r="AE1754" i="20" l="1"/>
  <c r="AF1754" i="20"/>
  <c r="AG1754" i="20" s="1"/>
  <c r="O1754" i="20"/>
  <c r="AE1862" i="20"/>
  <c r="AG1862" i="20"/>
  <c r="AE3979" i="20"/>
  <c r="AG3979" i="20"/>
  <c r="J4245" i="24"/>
  <c r="P1896" i="20"/>
  <c r="O4421" i="20"/>
  <c r="K4250" i="24"/>
  <c r="K4251" i="24"/>
  <c r="K4252" i="24"/>
  <c r="K4253" i="24"/>
  <c r="AD4421" i="20"/>
  <c r="AC4421" i="20"/>
  <c r="N4421" i="20"/>
  <c r="J4246" i="24"/>
  <c r="J4244" i="24"/>
  <c r="O4415" i="20"/>
  <c r="P1328" i="20"/>
  <c r="T3608" i="20"/>
  <c r="O1988" i="20"/>
  <c r="N1988" i="20"/>
  <c r="U584" i="20"/>
  <c r="U4282" i="20"/>
  <c r="J4243" i="24"/>
  <c r="AC2515" i="20"/>
  <c r="AD2515" i="20"/>
  <c r="N2515" i="20"/>
  <c r="V4827" i="20"/>
  <c r="U2358" i="20"/>
  <c r="U3232" i="20"/>
  <c r="R4384" i="20"/>
  <c r="O4384" i="20" s="1"/>
  <c r="J4247" i="24"/>
  <c r="Q4241" i="20"/>
  <c r="J4239" i="24"/>
  <c r="O4454" i="20"/>
  <c r="N4454" i="20"/>
  <c r="N4415" i="20"/>
  <c r="AE4421" i="20" l="1"/>
  <c r="AF4421" i="20"/>
  <c r="AG4421" i="20" s="1"/>
  <c r="AE2515" i="20"/>
  <c r="AF2515" i="20"/>
  <c r="AG2515" i="20" s="1"/>
  <c r="O2515" i="20"/>
  <c r="U1763" i="20"/>
  <c r="AD584" i="20" l="1"/>
  <c r="AC584" i="20"/>
  <c r="O584" i="20"/>
  <c r="N584" i="20"/>
  <c r="U4449" i="20"/>
  <c r="N10" i="20"/>
  <c r="U1397" i="20"/>
  <c r="O1926" i="20"/>
  <c r="N1926" i="20"/>
  <c r="AE584" i="20" l="1"/>
  <c r="AF584" i="20"/>
  <c r="AG584" i="20" s="1"/>
  <c r="J4242" i="24"/>
  <c r="J4131" i="24"/>
  <c r="J4238" i="24"/>
  <c r="AD3285" i="20"/>
  <c r="AD3741" i="20"/>
  <c r="N3741" i="20"/>
  <c r="U3872" i="20"/>
  <c r="U4130" i="20"/>
  <c r="O4449" i="20"/>
  <c r="N4449" i="20"/>
  <c r="AC545" i="20"/>
  <c r="O1987" i="20"/>
  <c r="N1987" i="20"/>
  <c r="J4237" i="24"/>
  <c r="N3285" i="20"/>
  <c r="U1975" i="20"/>
  <c r="T4131" i="20"/>
  <c r="AD4131" i="20" s="1"/>
  <c r="N4131" i="20"/>
  <c r="N545" i="20"/>
  <c r="Q3423" i="20"/>
  <c r="U4433" i="20"/>
  <c r="U4432" i="20"/>
  <c r="U4428" i="20"/>
  <c r="U4369" i="20"/>
  <c r="AC3741" i="20" l="1"/>
  <c r="O3741" i="20"/>
  <c r="O545" i="20"/>
  <c r="AD545" i="20"/>
  <c r="AE545" i="20" s="1"/>
  <c r="AC4131" i="20"/>
  <c r="AE4131" i="20" s="1"/>
  <c r="AC3285" i="20"/>
  <c r="O3285" i="20"/>
  <c r="O4131" i="20"/>
  <c r="AF545" i="20"/>
  <c r="AG545" i="20" s="1"/>
  <c r="AC4831" i="20"/>
  <c r="AD4831" i="20"/>
  <c r="N4831" i="20"/>
  <c r="AD4212" i="20"/>
  <c r="AC4212" i="20"/>
  <c r="O4212" i="20"/>
  <c r="N4212" i="20"/>
  <c r="T757" i="20"/>
  <c r="J4235" i="24"/>
  <c r="N3042" i="20"/>
  <c r="O3042" i="20"/>
  <c r="N3043" i="20"/>
  <c r="O3043" i="20"/>
  <c r="N3044" i="20"/>
  <c r="O3044" i="20"/>
  <c r="N3045" i="20"/>
  <c r="O3045" i="20"/>
  <c r="Q4741" i="20"/>
  <c r="O4741" i="20" s="1"/>
  <c r="N4741" i="20"/>
  <c r="N4742" i="20"/>
  <c r="N4747" i="20"/>
  <c r="O4747" i="20"/>
  <c r="AE3741" i="20" l="1"/>
  <c r="AF3741" i="20"/>
  <c r="AG3741" i="20" s="1"/>
  <c r="AE4212" i="20"/>
  <c r="AF4131" i="20"/>
  <c r="AG4131" i="20" s="1"/>
  <c r="AE3285" i="20"/>
  <c r="AF3285" i="20"/>
  <c r="AG3285" i="20" s="1"/>
  <c r="AE4831" i="20"/>
  <c r="AF4831" i="20"/>
  <c r="AG4831" i="20" s="1"/>
  <c r="O4831" i="20"/>
  <c r="AF4212" i="20"/>
  <c r="AG4212" i="20" s="1"/>
  <c r="AD4219" i="20"/>
  <c r="AC4219" i="20"/>
  <c r="O4219" i="20"/>
  <c r="N4219" i="20"/>
  <c r="Q4742" i="20"/>
  <c r="O4742" i="20" s="1"/>
  <c r="U1400" i="20"/>
  <c r="R4614" i="20"/>
  <c r="K4242" i="24"/>
  <c r="K4243" i="24"/>
  <c r="K4244" i="24"/>
  <c r="K4245" i="24"/>
  <c r="K4246" i="24"/>
  <c r="K4247" i="24"/>
  <c r="K4248" i="24"/>
  <c r="K4249" i="24"/>
  <c r="O1975" i="20"/>
  <c r="N1975" i="20"/>
  <c r="O4731" i="20"/>
  <c r="N4731" i="20"/>
  <c r="Q3119" i="20"/>
  <c r="AF4219" i="20" l="1"/>
  <c r="AG4219" i="20" s="1"/>
  <c r="AE4219" i="20"/>
  <c r="AD4731" i="20"/>
  <c r="AC4731" i="20"/>
  <c r="AD3148" i="20"/>
  <c r="N3148" i="20"/>
  <c r="AE4731" i="20" l="1"/>
  <c r="AF4731" i="20"/>
  <c r="AG4731" i="20" s="1"/>
  <c r="AC3148" i="20"/>
  <c r="O3148" i="20"/>
  <c r="J4234" i="24"/>
  <c r="Q3496" i="20"/>
  <c r="AE3148" i="20" l="1"/>
  <c r="AF3148" i="20"/>
  <c r="AG3148" i="20" s="1"/>
  <c r="U1656" i="20"/>
  <c r="O1984" i="20"/>
  <c r="N1984" i="20"/>
  <c r="U4329" i="20"/>
  <c r="O1949" i="20"/>
  <c r="R4619" i="20"/>
  <c r="N1949" i="20"/>
  <c r="N1950" i="20"/>
  <c r="N1951" i="20"/>
  <c r="O1951" i="20"/>
  <c r="K4237" i="24"/>
  <c r="K4238" i="24"/>
  <c r="K4239" i="24"/>
  <c r="K4240" i="24"/>
  <c r="K4241" i="24"/>
  <c r="Q4342" i="20"/>
  <c r="P1026" i="20"/>
  <c r="O1985" i="20"/>
  <c r="N1985" i="20"/>
  <c r="J4194" i="24"/>
  <c r="J4233" i="24"/>
  <c r="O4451" i="20" l="1"/>
  <c r="N4451" i="20"/>
  <c r="O4434" i="20"/>
  <c r="N4434" i="20"/>
  <c r="O4269" i="20" l="1"/>
  <c r="N4269" i="20"/>
  <c r="N4268" i="20"/>
  <c r="O4268" i="20"/>
  <c r="N4270" i="20"/>
  <c r="Q1972" i="20"/>
  <c r="O1972" i="20" s="1"/>
  <c r="J4232" i="24"/>
  <c r="V3464" i="20"/>
  <c r="P619" i="20"/>
  <c r="R4790" i="20"/>
  <c r="J4224" i="24"/>
  <c r="J4230" i="24"/>
  <c r="AD4275" i="20"/>
  <c r="N4275" i="20"/>
  <c r="P711" i="20"/>
  <c r="P947" i="20"/>
  <c r="R3521" i="20"/>
  <c r="P1979" i="20"/>
  <c r="P1865" i="20"/>
  <c r="AC4275" i="20" l="1"/>
  <c r="O4275" i="20"/>
  <c r="R3851" i="20"/>
  <c r="R2316" i="20"/>
  <c r="K4229" i="24"/>
  <c r="K4230" i="24"/>
  <c r="K4231" i="24"/>
  <c r="K4232" i="24"/>
  <c r="K4233" i="24"/>
  <c r="K4234" i="24"/>
  <c r="K4235" i="24"/>
  <c r="K4236" i="24"/>
  <c r="J4227" i="24"/>
  <c r="O1979" i="20"/>
  <c r="N1982" i="20"/>
  <c r="N1983" i="20"/>
  <c r="O1983" i="20"/>
  <c r="N1992" i="20"/>
  <c r="O1992" i="20"/>
  <c r="N1994" i="20"/>
  <c r="O1994" i="20"/>
  <c r="N4740" i="20"/>
  <c r="N4748" i="20"/>
  <c r="N4749" i="20"/>
  <c r="O4749" i="20"/>
  <c r="O4740" i="20"/>
  <c r="U305" i="20"/>
  <c r="AE4275" i="20" l="1"/>
  <c r="AF4275" i="20"/>
  <c r="AG4275" i="20" s="1"/>
  <c r="AC4266" i="20" l="1"/>
  <c r="J4228" i="24"/>
  <c r="J4225" i="24"/>
  <c r="U768" i="20"/>
  <c r="N4266" i="20"/>
  <c r="J4223" i="24"/>
  <c r="J4226" i="24"/>
  <c r="AD3747" i="20"/>
  <c r="AC3747" i="20"/>
  <c r="O3747" i="20"/>
  <c r="N3747" i="20"/>
  <c r="U3138" i="20"/>
  <c r="N1979" i="20"/>
  <c r="AF4266" i="20" l="1"/>
  <c r="AG4266" i="20" s="1"/>
  <c r="O4266" i="20"/>
  <c r="AD4266" i="20"/>
  <c r="AE4266" i="20" s="1"/>
  <c r="AF3747" i="20"/>
  <c r="AG3747" i="20" s="1"/>
  <c r="AE3747" i="20"/>
  <c r="AD1963" i="20" l="1"/>
  <c r="AC1963" i="20"/>
  <c r="O1963" i="20"/>
  <c r="N1963" i="20"/>
  <c r="AD1962" i="20"/>
  <c r="AC1962" i="20"/>
  <c r="O1962" i="20"/>
  <c r="N1962" i="20"/>
  <c r="O4353" i="20"/>
  <c r="N4353" i="20"/>
  <c r="J4218" i="24"/>
  <c r="J4213" i="24"/>
  <c r="J4221" i="24"/>
  <c r="U4336" i="20"/>
  <c r="AC1964" i="20"/>
  <c r="AD1964" i="20"/>
  <c r="N1964" i="20"/>
  <c r="Q975" i="20"/>
  <c r="U4099" i="20"/>
  <c r="O4738" i="20"/>
  <c r="N4738" i="20"/>
  <c r="AE1962" i="20" l="1"/>
  <c r="AE1963" i="20"/>
  <c r="AF1963" i="20"/>
  <c r="AG1963" i="20" s="1"/>
  <c r="AF1962" i="20"/>
  <c r="AG1962" i="20" s="1"/>
  <c r="AE1964" i="20"/>
  <c r="AF1964" i="20"/>
  <c r="AG1964" i="20" s="1"/>
  <c r="O1964" i="20"/>
  <c r="J4217" i="24"/>
  <c r="AC712" i="20"/>
  <c r="AD712" i="20"/>
  <c r="N712" i="20"/>
  <c r="Y713" i="20"/>
  <c r="O4171" i="20"/>
  <c r="N4171" i="20"/>
  <c r="O4398" i="20"/>
  <c r="N4398" i="20"/>
  <c r="N4737" i="20"/>
  <c r="T2473" i="20"/>
  <c r="O4737" i="20"/>
  <c r="AE712" i="20" l="1"/>
  <c r="AF712" i="20"/>
  <c r="AG712" i="20" s="1"/>
  <c r="O712" i="20"/>
  <c r="N4443" i="20"/>
  <c r="O4443" i="20"/>
  <c r="N4444" i="20"/>
  <c r="O4444" i="20"/>
  <c r="N4445" i="20"/>
  <c r="AC4739" i="20"/>
  <c r="AD4739" i="20"/>
  <c r="N4739" i="20"/>
  <c r="O4446" i="20"/>
  <c r="O4445" i="20"/>
  <c r="P1978" i="20"/>
  <c r="N4446" i="20"/>
  <c r="J4220" i="24"/>
  <c r="V4768" i="20"/>
  <c r="U1431" i="20"/>
  <c r="AE4739" i="20" l="1"/>
  <c r="AF4739" i="20"/>
  <c r="AG4739" i="20" s="1"/>
  <c r="O4739" i="20"/>
  <c r="J4219" i="24"/>
  <c r="AD4730" i="20" l="1"/>
  <c r="AC3586" i="20"/>
  <c r="AC3524" i="20"/>
  <c r="AF3524" i="20" s="1"/>
  <c r="AG3524" i="20" s="1"/>
  <c r="AD3475" i="20"/>
  <c r="AC4198" i="20"/>
  <c r="AF4198" i="20" s="1"/>
  <c r="AG4198" i="20" s="1"/>
  <c r="AD4081" i="20"/>
  <c r="AC1912" i="20"/>
  <c r="AF1912" i="20" s="1"/>
  <c r="AG1912" i="20" s="1"/>
  <c r="AC4288" i="20"/>
  <c r="U3840" i="20"/>
  <c r="O3250" i="20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J4216" i="24"/>
  <c r="AD2861" i="20"/>
  <c r="Q1982" i="20"/>
  <c r="O1982" i="20" s="1"/>
  <c r="AC4139" i="20"/>
  <c r="AF4139" i="20" s="1"/>
  <c r="AG4139" i="20" s="1"/>
  <c r="AD4169" i="20"/>
  <c r="AC4263" i="20"/>
  <c r="AC1940" i="20"/>
  <c r="AF1940" i="20" s="1"/>
  <c r="AG1940" i="20" s="1"/>
  <c r="AC1905" i="20"/>
  <c r="U1140" i="20"/>
  <c r="AD1140" i="20" s="1"/>
  <c r="AC4406" i="20"/>
  <c r="AF4406" i="20" s="1"/>
  <c r="J4215" i="24"/>
  <c r="AD3766" i="20"/>
  <c r="AC3473" i="20"/>
  <c r="AC963" i="20"/>
  <c r="AF963" i="20" s="1"/>
  <c r="AG963" i="20" s="1"/>
  <c r="AC3444" i="20"/>
  <c r="AF3444" i="20" s="1"/>
  <c r="AG3444" i="20" s="1"/>
  <c r="AC1828" i="20"/>
  <c r="AC4295" i="20"/>
  <c r="AC4369" i="20"/>
  <c r="O4433" i="20"/>
  <c r="O4432" i="20"/>
  <c r="AC4378" i="20"/>
  <c r="AF4378" i="20" s="1"/>
  <c r="AG4378" i="20" s="1"/>
  <c r="AD4402" i="20"/>
  <c r="AD1026" i="20"/>
  <c r="AC4113" i="20"/>
  <c r="AF4113" i="20" s="1"/>
  <c r="AG4113" i="20" s="1"/>
  <c r="AC1772" i="20"/>
  <c r="AC3440" i="20"/>
  <c r="AF3440" i="20" s="1"/>
  <c r="AG3440" i="20" s="1"/>
  <c r="U3951" i="20"/>
  <c r="AC3566" i="20"/>
  <c r="AC3993" i="20"/>
  <c r="AF3993" i="20" s="1"/>
  <c r="AG3993" i="20" s="1"/>
  <c r="R4633" i="20"/>
  <c r="AC4633" i="20" s="1"/>
  <c r="AF4633" i="20" s="1"/>
  <c r="AG4633" i="20" s="1"/>
  <c r="AD4301" i="20"/>
  <c r="N4433" i="20"/>
  <c r="N4432" i="20"/>
  <c r="N3250" i="20"/>
  <c r="AC4302" i="20"/>
  <c r="AF4302" i="20" s="1"/>
  <c r="AG4302" i="20" s="1"/>
  <c r="AD4424" i="20"/>
  <c r="AC3187" i="20"/>
  <c r="AF3187" i="20" s="1"/>
  <c r="AG3187" i="20" s="1"/>
  <c r="AC1749" i="20"/>
  <c r="AF1749" i="20" s="1"/>
  <c r="AG1749" i="20" s="1"/>
  <c r="AC1053" i="20"/>
  <c r="AC957" i="20"/>
  <c r="AF957" i="20" s="1"/>
  <c r="AG957" i="20" s="1"/>
  <c r="AC668" i="20"/>
  <c r="AF668" i="20" s="1"/>
  <c r="AG668" i="20" s="1"/>
  <c r="AD4431" i="20"/>
  <c r="N4431" i="20"/>
  <c r="O4431" i="20"/>
  <c r="N4447" i="20"/>
  <c r="O4447" i="20"/>
  <c r="AD4430" i="20"/>
  <c r="AC4430" i="20"/>
  <c r="O4430" i="20"/>
  <c r="N4430" i="20"/>
  <c r="U4727" i="20"/>
  <c r="AC4727" i="20" s="1"/>
  <c r="AF4727" i="20" s="1"/>
  <c r="AC4351" i="20"/>
  <c r="AF4351" i="20" s="1"/>
  <c r="AG4351" i="20" s="1"/>
  <c r="AC4422" i="20"/>
  <c r="AF4422" i="20" s="1"/>
  <c r="AC4192" i="20"/>
  <c r="AF4192" i="20" s="1"/>
  <c r="AG4192" i="20" s="1"/>
  <c r="J4207" i="24"/>
  <c r="J4210" i="24"/>
  <c r="AC4364" i="20"/>
  <c r="AF4364" i="20" s="1"/>
  <c r="AG4364" i="20" s="1"/>
  <c r="AC4734" i="20"/>
  <c r="AC3478" i="20"/>
  <c r="AD3740" i="20"/>
  <c r="AD4425" i="20"/>
  <c r="R4629" i="20"/>
  <c r="N4424" i="20"/>
  <c r="AC1160" i="20"/>
  <c r="AF1160" i="20" s="1"/>
  <c r="AG1160" i="20" s="1"/>
  <c r="AC1976" i="20"/>
  <c r="AF1976" i="20" s="1"/>
  <c r="AG1976" i="20" s="1"/>
  <c r="AC2124" i="20"/>
  <c r="AD3246" i="20"/>
  <c r="AC2952" i="20"/>
  <c r="AC4057" i="20"/>
  <c r="AF4057" i="20" s="1"/>
  <c r="AG4057" i="20" s="1"/>
  <c r="AC3810" i="20"/>
  <c r="AF3810" i="20" s="1"/>
  <c r="AG3810" i="20" s="1"/>
  <c r="AD4194" i="20"/>
  <c r="AC6" i="20"/>
  <c r="AF6" i="20" s="1"/>
  <c r="AG6" i="20" s="1"/>
  <c r="AD6" i="20"/>
  <c r="AC7" i="20"/>
  <c r="AF7" i="20" s="1"/>
  <c r="AG7" i="20" s="1"/>
  <c r="AD7" i="20"/>
  <c r="AC8" i="20"/>
  <c r="AD8" i="20"/>
  <c r="AC9" i="20"/>
  <c r="AF9" i="20" s="1"/>
  <c r="AG9" i="20" s="1"/>
  <c r="AD9" i="20"/>
  <c r="AC10" i="20"/>
  <c r="AF10" i="20" s="1"/>
  <c r="AG10" i="20" s="1"/>
  <c r="AD10" i="20"/>
  <c r="AC11" i="20"/>
  <c r="AD11" i="20"/>
  <c r="AC12" i="20"/>
  <c r="AD12" i="20"/>
  <c r="AC13" i="20"/>
  <c r="AF13" i="20" s="1"/>
  <c r="AG13" i="20" s="1"/>
  <c r="AD13" i="20"/>
  <c r="AC15" i="20"/>
  <c r="AF15" i="20" s="1"/>
  <c r="AG15" i="20" s="1"/>
  <c r="AD15" i="20"/>
  <c r="AC16" i="20"/>
  <c r="AD16" i="20"/>
  <c r="AC17" i="20"/>
  <c r="AF17" i="20" s="1"/>
  <c r="AG17" i="20" s="1"/>
  <c r="AD17" i="20"/>
  <c r="AC18" i="20"/>
  <c r="AF18" i="20" s="1"/>
  <c r="AG18" i="20" s="1"/>
  <c r="AD18" i="20"/>
  <c r="AC19" i="20"/>
  <c r="AD19" i="20"/>
  <c r="AC20" i="20"/>
  <c r="AF20" i="20" s="1"/>
  <c r="AG20" i="20" s="1"/>
  <c r="AD20" i="20"/>
  <c r="AC21" i="20"/>
  <c r="AF21" i="20" s="1"/>
  <c r="AG21" i="20" s="1"/>
  <c r="AD21" i="20"/>
  <c r="AC22" i="20"/>
  <c r="AF22" i="20" s="1"/>
  <c r="AG22" i="20" s="1"/>
  <c r="AD22" i="20"/>
  <c r="AC23" i="20"/>
  <c r="AD23" i="20"/>
  <c r="AC24" i="20"/>
  <c r="AF24" i="20" s="1"/>
  <c r="AG24" i="20" s="1"/>
  <c r="AD24" i="20"/>
  <c r="AC25" i="20"/>
  <c r="AF25" i="20" s="1"/>
  <c r="AG25" i="20" s="1"/>
  <c r="AD25" i="20"/>
  <c r="AC26" i="20"/>
  <c r="AD26" i="20"/>
  <c r="AC27" i="20"/>
  <c r="AF27" i="20" s="1"/>
  <c r="AG27" i="20" s="1"/>
  <c r="AD27" i="20"/>
  <c r="AC28" i="20"/>
  <c r="AF28" i="20" s="1"/>
  <c r="AG28" i="20" s="1"/>
  <c r="AD28" i="20"/>
  <c r="AC29" i="20"/>
  <c r="AF29" i="20" s="1"/>
  <c r="AG29" i="20" s="1"/>
  <c r="AD29" i="20"/>
  <c r="AC30" i="20"/>
  <c r="AD30" i="20"/>
  <c r="AC31" i="20"/>
  <c r="AF31" i="20" s="1"/>
  <c r="AG31" i="20" s="1"/>
  <c r="AD31" i="20"/>
  <c r="AC32" i="20"/>
  <c r="AF32" i="20" s="1"/>
  <c r="AG32" i="20" s="1"/>
  <c r="AD32" i="20"/>
  <c r="AC33" i="20"/>
  <c r="AF33" i="20" s="1"/>
  <c r="AG33" i="20" s="1"/>
  <c r="AD33" i="20"/>
  <c r="AC34" i="20"/>
  <c r="AD34" i="20"/>
  <c r="AC35" i="20"/>
  <c r="AF35" i="20" s="1"/>
  <c r="AG35" i="20" s="1"/>
  <c r="AD35" i="20"/>
  <c r="AC36" i="20"/>
  <c r="AF36" i="20" s="1"/>
  <c r="AG36" i="20" s="1"/>
  <c r="AD36" i="20"/>
  <c r="AC37" i="20"/>
  <c r="AF37" i="20" s="1"/>
  <c r="AG37" i="20" s="1"/>
  <c r="AD37" i="20"/>
  <c r="AC38" i="20"/>
  <c r="AF38" i="20" s="1"/>
  <c r="AG38" i="20" s="1"/>
  <c r="AD38" i="20"/>
  <c r="AC39" i="20"/>
  <c r="AD39" i="20"/>
  <c r="AC40" i="20"/>
  <c r="AF40" i="20" s="1"/>
  <c r="AG40" i="20" s="1"/>
  <c r="AD40" i="20"/>
  <c r="AC41" i="20"/>
  <c r="AF41" i="20" s="1"/>
  <c r="AG41" i="20" s="1"/>
  <c r="AD41" i="20"/>
  <c r="AC42" i="20"/>
  <c r="AD42" i="20"/>
  <c r="AC43" i="20"/>
  <c r="AD43" i="20"/>
  <c r="AC44" i="20"/>
  <c r="AF44" i="20" s="1"/>
  <c r="AG44" i="20" s="1"/>
  <c r="AD44" i="20"/>
  <c r="AC45" i="20"/>
  <c r="AF45" i="20" s="1"/>
  <c r="AG45" i="20" s="1"/>
  <c r="AD45" i="20"/>
  <c r="AC46" i="20"/>
  <c r="AF46" i="20" s="1"/>
  <c r="AG46" i="20" s="1"/>
  <c r="AD46" i="20"/>
  <c r="AC47" i="20"/>
  <c r="AD47" i="20"/>
  <c r="AC48" i="20"/>
  <c r="AF48" i="20" s="1"/>
  <c r="AG48" i="20" s="1"/>
  <c r="AD48" i="20"/>
  <c r="AC50" i="20"/>
  <c r="AD50" i="20"/>
  <c r="AC51" i="20"/>
  <c r="AF51" i="20" s="1"/>
  <c r="AG51" i="20" s="1"/>
  <c r="AD51" i="20"/>
  <c r="AC52" i="20"/>
  <c r="AD52" i="20"/>
  <c r="AC53" i="20"/>
  <c r="AF53" i="20" s="1"/>
  <c r="AG53" i="20" s="1"/>
  <c r="AD53" i="20"/>
  <c r="AC54" i="20"/>
  <c r="AF54" i="20" s="1"/>
  <c r="AG54" i="20" s="1"/>
  <c r="AD54" i="20"/>
  <c r="AC55" i="20"/>
  <c r="AF55" i="20" s="1"/>
  <c r="AG55" i="20" s="1"/>
  <c r="AD55" i="20"/>
  <c r="AC56" i="20"/>
  <c r="AF56" i="20" s="1"/>
  <c r="AG56" i="20" s="1"/>
  <c r="AD56" i="20"/>
  <c r="AC57" i="20"/>
  <c r="AF57" i="20" s="1"/>
  <c r="AG57" i="20" s="1"/>
  <c r="AD57" i="20"/>
  <c r="AC58" i="20"/>
  <c r="AF58" i="20" s="1"/>
  <c r="AG58" i="20" s="1"/>
  <c r="AD58" i="20"/>
  <c r="AC59" i="20"/>
  <c r="AF59" i="20" s="1"/>
  <c r="AG59" i="20" s="1"/>
  <c r="AD59" i="20"/>
  <c r="AC60" i="20"/>
  <c r="AF60" i="20" s="1"/>
  <c r="AG60" i="20" s="1"/>
  <c r="AD60" i="20"/>
  <c r="AC61" i="20"/>
  <c r="AF61" i="20" s="1"/>
  <c r="AG61" i="20" s="1"/>
  <c r="AD61" i="20"/>
  <c r="AC62" i="20"/>
  <c r="AF62" i="20" s="1"/>
  <c r="AG62" i="20" s="1"/>
  <c r="AD62" i="20"/>
  <c r="AC63" i="20"/>
  <c r="AF63" i="20" s="1"/>
  <c r="AG63" i="20" s="1"/>
  <c r="AD63" i="20"/>
  <c r="AC64" i="20"/>
  <c r="AD64" i="20"/>
  <c r="AC65" i="20"/>
  <c r="AF65" i="20" s="1"/>
  <c r="AG65" i="20" s="1"/>
  <c r="AD65" i="20"/>
  <c r="AC66" i="20"/>
  <c r="AF66" i="20" s="1"/>
  <c r="AG66" i="20" s="1"/>
  <c r="AD66" i="20"/>
  <c r="AC67" i="20"/>
  <c r="AD67" i="20"/>
  <c r="AC68" i="20"/>
  <c r="AD68" i="20"/>
  <c r="AC69" i="20"/>
  <c r="AF69" i="20" s="1"/>
  <c r="AG69" i="20" s="1"/>
  <c r="AD69" i="20"/>
  <c r="AC70" i="20"/>
  <c r="AF70" i="20" s="1"/>
  <c r="AG70" i="20" s="1"/>
  <c r="AD70" i="20"/>
  <c r="AC71" i="20"/>
  <c r="AF71" i="20" s="1"/>
  <c r="AG71" i="20" s="1"/>
  <c r="AD71" i="20"/>
  <c r="AC72" i="20"/>
  <c r="AF72" i="20" s="1"/>
  <c r="AG72" i="20" s="1"/>
  <c r="AD72" i="20"/>
  <c r="AC73" i="20"/>
  <c r="AF73" i="20" s="1"/>
  <c r="AG73" i="20" s="1"/>
  <c r="AD73" i="20"/>
  <c r="AC74" i="20"/>
  <c r="AF74" i="20" s="1"/>
  <c r="AG74" i="20" s="1"/>
  <c r="AD74" i="20"/>
  <c r="AC75" i="20"/>
  <c r="AD75" i="20"/>
  <c r="AC76" i="20"/>
  <c r="AD76" i="20"/>
  <c r="AC77" i="20"/>
  <c r="AF77" i="20" s="1"/>
  <c r="AG77" i="20" s="1"/>
  <c r="AD77" i="20"/>
  <c r="AC78" i="20"/>
  <c r="AF78" i="20" s="1"/>
  <c r="AG78" i="20" s="1"/>
  <c r="AD78" i="20"/>
  <c r="AC79" i="20"/>
  <c r="AD79" i="20"/>
  <c r="AC80" i="20"/>
  <c r="AD80" i="20"/>
  <c r="AC81" i="20"/>
  <c r="AF81" i="20" s="1"/>
  <c r="AG81" i="20" s="1"/>
  <c r="AD81" i="20"/>
  <c r="AC82" i="20"/>
  <c r="AF82" i="20" s="1"/>
  <c r="AG82" i="20" s="1"/>
  <c r="AD82" i="20"/>
  <c r="AC83" i="20"/>
  <c r="AD83" i="20"/>
  <c r="AC84" i="20"/>
  <c r="AD84" i="20"/>
  <c r="AC85" i="20"/>
  <c r="AF85" i="20" s="1"/>
  <c r="AG85" i="20" s="1"/>
  <c r="AD85" i="20"/>
  <c r="AC86" i="20"/>
  <c r="AF86" i="20" s="1"/>
  <c r="AG86" i="20" s="1"/>
  <c r="AD86" i="20"/>
  <c r="AC87" i="20"/>
  <c r="AD87" i="20"/>
  <c r="AC88" i="20"/>
  <c r="AF88" i="20" s="1"/>
  <c r="AG88" i="20" s="1"/>
  <c r="AD88" i="20"/>
  <c r="AC89" i="20"/>
  <c r="AF89" i="20" s="1"/>
  <c r="AG89" i="20" s="1"/>
  <c r="AD89" i="20"/>
  <c r="AC90" i="20"/>
  <c r="AF90" i="20" s="1"/>
  <c r="AG90" i="20" s="1"/>
  <c r="AD90" i="20"/>
  <c r="AC91" i="20"/>
  <c r="AF91" i="20" s="1"/>
  <c r="AG91" i="20" s="1"/>
  <c r="AD91" i="20"/>
  <c r="AC92" i="20"/>
  <c r="AF92" i="20" s="1"/>
  <c r="AG92" i="20" s="1"/>
  <c r="AD92" i="20"/>
  <c r="AC93" i="20"/>
  <c r="AF93" i="20" s="1"/>
  <c r="AG93" i="20" s="1"/>
  <c r="AD93" i="20"/>
  <c r="AC94" i="20"/>
  <c r="AF94" i="20" s="1"/>
  <c r="AG94" i="20" s="1"/>
  <c r="AD94" i="20"/>
  <c r="AC95" i="20"/>
  <c r="AD95" i="20"/>
  <c r="AC96" i="20"/>
  <c r="AD96" i="20"/>
  <c r="AC97" i="20"/>
  <c r="AF97" i="20" s="1"/>
  <c r="AG97" i="20" s="1"/>
  <c r="AD97" i="20"/>
  <c r="AC98" i="20"/>
  <c r="AF98" i="20" s="1"/>
  <c r="AG98" i="20" s="1"/>
  <c r="AD98" i="20"/>
  <c r="AC99" i="20"/>
  <c r="AD99" i="20"/>
  <c r="AC100" i="20"/>
  <c r="AF100" i="20" s="1"/>
  <c r="AG100" i="20" s="1"/>
  <c r="AD100" i="20"/>
  <c r="AC101" i="20"/>
  <c r="AF101" i="20" s="1"/>
  <c r="AG101" i="20" s="1"/>
  <c r="AD101" i="20"/>
  <c r="AC102" i="20"/>
  <c r="AF102" i="20" s="1"/>
  <c r="AG102" i="20" s="1"/>
  <c r="AD102" i="20"/>
  <c r="AC103" i="20"/>
  <c r="AD103" i="20"/>
  <c r="AC104" i="20"/>
  <c r="AF104" i="20" s="1"/>
  <c r="AG104" i="20" s="1"/>
  <c r="AD104" i="20"/>
  <c r="AC105" i="20"/>
  <c r="AF105" i="20" s="1"/>
  <c r="AG105" i="20" s="1"/>
  <c r="AD105" i="20"/>
  <c r="AC106" i="20"/>
  <c r="AF106" i="20" s="1"/>
  <c r="AG106" i="20" s="1"/>
  <c r="AD106" i="20"/>
  <c r="AC107" i="20"/>
  <c r="AD107" i="20"/>
  <c r="AC108" i="20"/>
  <c r="AF108" i="20" s="1"/>
  <c r="AG108" i="20" s="1"/>
  <c r="AD108" i="20"/>
  <c r="AC109" i="20"/>
  <c r="AF109" i="20" s="1"/>
  <c r="AG109" i="20" s="1"/>
  <c r="AD109" i="20"/>
  <c r="AC110" i="20"/>
  <c r="AF110" i="20" s="1"/>
  <c r="AG110" i="20" s="1"/>
  <c r="AD110" i="20"/>
  <c r="AC111" i="20"/>
  <c r="AD111" i="20"/>
  <c r="AC112" i="20"/>
  <c r="AD112" i="20"/>
  <c r="AC113" i="20"/>
  <c r="AF113" i="20" s="1"/>
  <c r="AG113" i="20" s="1"/>
  <c r="AD113" i="20"/>
  <c r="AC114" i="20"/>
  <c r="AF114" i="20" s="1"/>
  <c r="AG114" i="20" s="1"/>
  <c r="AD114" i="20"/>
  <c r="AC115" i="20"/>
  <c r="AF115" i="20" s="1"/>
  <c r="AG115" i="20" s="1"/>
  <c r="AD115" i="20"/>
  <c r="AC116" i="20"/>
  <c r="AD116" i="20"/>
  <c r="AC117" i="20"/>
  <c r="AF117" i="20" s="1"/>
  <c r="AG117" i="20" s="1"/>
  <c r="AD117" i="20"/>
  <c r="AC118" i="20"/>
  <c r="AF118" i="20" s="1"/>
  <c r="AG118" i="20" s="1"/>
  <c r="AD118" i="20"/>
  <c r="AC119" i="20"/>
  <c r="AD119" i="20"/>
  <c r="AC120" i="20"/>
  <c r="AF120" i="20" s="1"/>
  <c r="AG120" i="20" s="1"/>
  <c r="AD120" i="20"/>
  <c r="AC121" i="20"/>
  <c r="AF121" i="20" s="1"/>
  <c r="AG121" i="20" s="1"/>
  <c r="AD121" i="20"/>
  <c r="AC122" i="20"/>
  <c r="AF122" i="20" s="1"/>
  <c r="AG122" i="20" s="1"/>
  <c r="AD122" i="20"/>
  <c r="AC123" i="20"/>
  <c r="AD123" i="20"/>
  <c r="AC124" i="20"/>
  <c r="AD124" i="20"/>
  <c r="AC125" i="20"/>
  <c r="AF125" i="20" s="1"/>
  <c r="AG125" i="20" s="1"/>
  <c r="AD125" i="20"/>
  <c r="AC126" i="20"/>
  <c r="AF126" i="20" s="1"/>
  <c r="AG126" i="20" s="1"/>
  <c r="AD126" i="20"/>
  <c r="AC127" i="20"/>
  <c r="AF127" i="20" s="1"/>
  <c r="AG127" i="20" s="1"/>
  <c r="AD127" i="20"/>
  <c r="AC128" i="20"/>
  <c r="AD128" i="20"/>
  <c r="AC129" i="20"/>
  <c r="AF129" i="20" s="1"/>
  <c r="AG129" i="20" s="1"/>
  <c r="AD129" i="20"/>
  <c r="AC130" i="20"/>
  <c r="AF130" i="20" s="1"/>
  <c r="AG130" i="20" s="1"/>
  <c r="AD130" i="20"/>
  <c r="AC131" i="20"/>
  <c r="AD131" i="20"/>
  <c r="AC132" i="20"/>
  <c r="AF132" i="20" s="1"/>
  <c r="AG132" i="20" s="1"/>
  <c r="AD132" i="20"/>
  <c r="AC133" i="20"/>
  <c r="AF133" i="20" s="1"/>
  <c r="AG133" i="20" s="1"/>
  <c r="AD133" i="20"/>
  <c r="AC134" i="20"/>
  <c r="AF134" i="20" s="1"/>
  <c r="AG134" i="20" s="1"/>
  <c r="AD134" i="20"/>
  <c r="AC135" i="20"/>
  <c r="AF135" i="20" s="1"/>
  <c r="AG135" i="20" s="1"/>
  <c r="AD135" i="20"/>
  <c r="AC136" i="20"/>
  <c r="AD136" i="20"/>
  <c r="AC137" i="20"/>
  <c r="AF137" i="20" s="1"/>
  <c r="AG137" i="20" s="1"/>
  <c r="AD137" i="20"/>
  <c r="AC138" i="20"/>
  <c r="AF138" i="20" s="1"/>
  <c r="AG138" i="20" s="1"/>
  <c r="AD138" i="20"/>
  <c r="AC139" i="20"/>
  <c r="AD139" i="20"/>
  <c r="AC140" i="20"/>
  <c r="AD140" i="20"/>
  <c r="AC141" i="20"/>
  <c r="AF141" i="20" s="1"/>
  <c r="AG141" i="20" s="1"/>
  <c r="AD141" i="20"/>
  <c r="AC142" i="20"/>
  <c r="AF142" i="20" s="1"/>
  <c r="AG142" i="20" s="1"/>
  <c r="AD142" i="20"/>
  <c r="AC143" i="20"/>
  <c r="AD143" i="20"/>
  <c r="AC144" i="20"/>
  <c r="AD144" i="20"/>
  <c r="AC145" i="20"/>
  <c r="AF145" i="20" s="1"/>
  <c r="AG145" i="20" s="1"/>
  <c r="AD145" i="20"/>
  <c r="AC146" i="20"/>
  <c r="AF146" i="20" s="1"/>
  <c r="AG146" i="20" s="1"/>
  <c r="AD146" i="20"/>
  <c r="AC147" i="20"/>
  <c r="AD147" i="20"/>
  <c r="AC148" i="20"/>
  <c r="AD148" i="20"/>
  <c r="AC149" i="20"/>
  <c r="AF149" i="20" s="1"/>
  <c r="AG149" i="20" s="1"/>
  <c r="AD149" i="20"/>
  <c r="AC150" i="20"/>
  <c r="AF150" i="20" s="1"/>
  <c r="AG150" i="20" s="1"/>
  <c r="AD150" i="20"/>
  <c r="AC151" i="20"/>
  <c r="AF151" i="20" s="1"/>
  <c r="AG151" i="20" s="1"/>
  <c r="AD151" i="20"/>
  <c r="AC152" i="20"/>
  <c r="AF152" i="20" s="1"/>
  <c r="AG152" i="20" s="1"/>
  <c r="AD152" i="20"/>
  <c r="AC153" i="20"/>
  <c r="AF153" i="20" s="1"/>
  <c r="AG153" i="20" s="1"/>
  <c r="AD153" i="20"/>
  <c r="AC154" i="20"/>
  <c r="AF154" i="20" s="1"/>
  <c r="AG154" i="20" s="1"/>
  <c r="AD154" i="20"/>
  <c r="AC155" i="20"/>
  <c r="AD155" i="20"/>
  <c r="AC157" i="20"/>
  <c r="AF157" i="20" s="1"/>
  <c r="AG157" i="20" s="1"/>
  <c r="AD157" i="20"/>
  <c r="AC159" i="20"/>
  <c r="AF159" i="20" s="1"/>
  <c r="AG159" i="20" s="1"/>
  <c r="AD159" i="20"/>
  <c r="AC160" i="20"/>
  <c r="AD160" i="20"/>
  <c r="AC161" i="20"/>
  <c r="AF161" i="20" s="1"/>
  <c r="AG161" i="20" s="1"/>
  <c r="AD161" i="20"/>
  <c r="AC162" i="20"/>
  <c r="AF162" i="20" s="1"/>
  <c r="AG162" i="20" s="1"/>
  <c r="AD162" i="20"/>
  <c r="AC163" i="20"/>
  <c r="AD163" i="20"/>
  <c r="AC164" i="20"/>
  <c r="AF164" i="20" s="1"/>
  <c r="AG164" i="20" s="1"/>
  <c r="AD164" i="20"/>
  <c r="AC165" i="20"/>
  <c r="AF165" i="20" s="1"/>
  <c r="AG165" i="20" s="1"/>
  <c r="AD165" i="20"/>
  <c r="AC166" i="20"/>
  <c r="AF166" i="20" s="1"/>
  <c r="AG166" i="20" s="1"/>
  <c r="AD166" i="20"/>
  <c r="AC167" i="20"/>
  <c r="AF167" i="20" s="1"/>
  <c r="AG167" i="20" s="1"/>
  <c r="AD167" i="20"/>
  <c r="AC168" i="20"/>
  <c r="AF168" i="20" s="1"/>
  <c r="AG168" i="20" s="1"/>
  <c r="AD168" i="20"/>
  <c r="AC169" i="20"/>
  <c r="AF169" i="20" s="1"/>
  <c r="AG169" i="20" s="1"/>
  <c r="AD169" i="20"/>
  <c r="AC170" i="20"/>
  <c r="AF170" i="20" s="1"/>
  <c r="AG170" i="20" s="1"/>
  <c r="AD170" i="20"/>
  <c r="AC171" i="20"/>
  <c r="AF171" i="20" s="1"/>
  <c r="AG171" i="20" s="1"/>
  <c r="AD171" i="20"/>
  <c r="AC174" i="20"/>
  <c r="AF174" i="20" s="1"/>
  <c r="AG174" i="20" s="1"/>
  <c r="AD174" i="20"/>
  <c r="AC175" i="20"/>
  <c r="AD175" i="20"/>
  <c r="AC176" i="20"/>
  <c r="AF176" i="20" s="1"/>
  <c r="AG176" i="20" s="1"/>
  <c r="AD176" i="20"/>
  <c r="AC177" i="20"/>
  <c r="AF177" i="20" s="1"/>
  <c r="AG177" i="20" s="1"/>
  <c r="AD177" i="20"/>
  <c r="AC178" i="20"/>
  <c r="AF178" i="20" s="1"/>
  <c r="AG178" i="20" s="1"/>
  <c r="AD178" i="20"/>
  <c r="AC179" i="20"/>
  <c r="AD179" i="20"/>
  <c r="AC180" i="20"/>
  <c r="AD180" i="20"/>
  <c r="AC181" i="20"/>
  <c r="AF181" i="20" s="1"/>
  <c r="AG181" i="20" s="1"/>
  <c r="AD181" i="20"/>
  <c r="AC182" i="20"/>
  <c r="AF182" i="20" s="1"/>
  <c r="AG182" i="20" s="1"/>
  <c r="AD182" i="20"/>
  <c r="AC183" i="20"/>
  <c r="AF183" i="20" s="1"/>
  <c r="AG183" i="20" s="1"/>
  <c r="AD183" i="20"/>
  <c r="AC184" i="20"/>
  <c r="AF184" i="20" s="1"/>
  <c r="AG184" i="20" s="1"/>
  <c r="AD184" i="20"/>
  <c r="AC185" i="20"/>
  <c r="AF185" i="20" s="1"/>
  <c r="AG185" i="20" s="1"/>
  <c r="AD185" i="20"/>
  <c r="AC186" i="20"/>
  <c r="AF186" i="20" s="1"/>
  <c r="AG186" i="20" s="1"/>
  <c r="AD186" i="20"/>
  <c r="AC187" i="20"/>
  <c r="AF187" i="20" s="1"/>
  <c r="AG187" i="20" s="1"/>
  <c r="AD187" i="20"/>
  <c r="AC188" i="20"/>
  <c r="AD188" i="20"/>
  <c r="AC189" i="20"/>
  <c r="AF189" i="20" s="1"/>
  <c r="AG189" i="20" s="1"/>
  <c r="AD189" i="20"/>
  <c r="AC190" i="20"/>
  <c r="AF190" i="20" s="1"/>
  <c r="AG190" i="20" s="1"/>
  <c r="AD190" i="20"/>
  <c r="AC191" i="20"/>
  <c r="AD191" i="20"/>
  <c r="AC192" i="20"/>
  <c r="AD192" i="20"/>
  <c r="AC193" i="20"/>
  <c r="AF193" i="20" s="1"/>
  <c r="AG193" i="20" s="1"/>
  <c r="AD193" i="20"/>
  <c r="AC194" i="20"/>
  <c r="AF194" i="20" s="1"/>
  <c r="AG194" i="20" s="1"/>
  <c r="AD194" i="20"/>
  <c r="AC195" i="20"/>
  <c r="AD195" i="20"/>
  <c r="AC196" i="20"/>
  <c r="AF196" i="20" s="1"/>
  <c r="AG196" i="20" s="1"/>
  <c r="AD196" i="20"/>
  <c r="AC197" i="20"/>
  <c r="AF197" i="20" s="1"/>
  <c r="AG197" i="20" s="1"/>
  <c r="AD197" i="20"/>
  <c r="AC198" i="20"/>
  <c r="AF198" i="20" s="1"/>
  <c r="AG198" i="20" s="1"/>
  <c r="AD198" i="20"/>
  <c r="AC199" i="20"/>
  <c r="AF199" i="20" s="1"/>
  <c r="AG199" i="20" s="1"/>
  <c r="AD199" i="20"/>
  <c r="AC200" i="20"/>
  <c r="AD200" i="20"/>
  <c r="AC201" i="20"/>
  <c r="AF201" i="20" s="1"/>
  <c r="AG201" i="20" s="1"/>
  <c r="AD201" i="20"/>
  <c r="AC202" i="20"/>
  <c r="AF202" i="20" s="1"/>
  <c r="AG202" i="20" s="1"/>
  <c r="AD202" i="20"/>
  <c r="AC203" i="20"/>
  <c r="AD203" i="20"/>
  <c r="AC204" i="20"/>
  <c r="AF204" i="20" s="1"/>
  <c r="AG204" i="20" s="1"/>
  <c r="AD204" i="20"/>
  <c r="AC205" i="20"/>
  <c r="AF205" i="20" s="1"/>
  <c r="AG205" i="20" s="1"/>
  <c r="AD205" i="20"/>
  <c r="AC206" i="20"/>
  <c r="AF206" i="20" s="1"/>
  <c r="AG206" i="20" s="1"/>
  <c r="AD206" i="20"/>
  <c r="AC207" i="20"/>
  <c r="AD207" i="20"/>
  <c r="AC208" i="20"/>
  <c r="AF208" i="20" s="1"/>
  <c r="AG208" i="20" s="1"/>
  <c r="AD208" i="20"/>
  <c r="AC209" i="20"/>
  <c r="AF209" i="20" s="1"/>
  <c r="AG209" i="20" s="1"/>
  <c r="AD209" i="20"/>
  <c r="AC210" i="20"/>
  <c r="AF210" i="20" s="1"/>
  <c r="AG210" i="20" s="1"/>
  <c r="AD210" i="20"/>
  <c r="AC211" i="20"/>
  <c r="AD211" i="20"/>
  <c r="AC212" i="20"/>
  <c r="AD212" i="20"/>
  <c r="AC213" i="20"/>
  <c r="AF213" i="20" s="1"/>
  <c r="AG213" i="20" s="1"/>
  <c r="AD213" i="20"/>
  <c r="AC214" i="20"/>
  <c r="AF214" i="20" s="1"/>
  <c r="AG214" i="20" s="1"/>
  <c r="AD214" i="20"/>
  <c r="AC215" i="20"/>
  <c r="AD215" i="20"/>
  <c r="AC216" i="20"/>
  <c r="AF216" i="20" s="1"/>
  <c r="AG216" i="20" s="1"/>
  <c r="AD216" i="20"/>
  <c r="AC217" i="20"/>
  <c r="AF217" i="20" s="1"/>
  <c r="AG217" i="20" s="1"/>
  <c r="AD217" i="20"/>
  <c r="AC218" i="20"/>
  <c r="AF218" i="20" s="1"/>
  <c r="AG218" i="20" s="1"/>
  <c r="AD218" i="20"/>
  <c r="AC219" i="20"/>
  <c r="AD219" i="20"/>
  <c r="AC220" i="20"/>
  <c r="AF220" i="20" s="1"/>
  <c r="AG220" i="20" s="1"/>
  <c r="AD220" i="20"/>
  <c r="AC221" i="20"/>
  <c r="AF221" i="20" s="1"/>
  <c r="AG221" i="20" s="1"/>
  <c r="AD221" i="20"/>
  <c r="AC223" i="20"/>
  <c r="AD223" i="20"/>
  <c r="AC224" i="20"/>
  <c r="AD224" i="20"/>
  <c r="AC225" i="20"/>
  <c r="AF225" i="20" s="1"/>
  <c r="AG225" i="20" s="1"/>
  <c r="AD225" i="20"/>
  <c r="AC226" i="20"/>
  <c r="AF226" i="20" s="1"/>
  <c r="AG226" i="20" s="1"/>
  <c r="AD226" i="20"/>
  <c r="AC227" i="20"/>
  <c r="AD227" i="20"/>
  <c r="AC228" i="20"/>
  <c r="AF228" i="20" s="1"/>
  <c r="AG228" i="20" s="1"/>
  <c r="AD228" i="20"/>
  <c r="AC229" i="20"/>
  <c r="AF229" i="20" s="1"/>
  <c r="AG229" i="20" s="1"/>
  <c r="AD229" i="20"/>
  <c r="AC231" i="20"/>
  <c r="AD231" i="20"/>
  <c r="AC232" i="20"/>
  <c r="AD232" i="20"/>
  <c r="AC233" i="20"/>
  <c r="AF233" i="20" s="1"/>
  <c r="AG233" i="20" s="1"/>
  <c r="AD233" i="20"/>
  <c r="AC234" i="20"/>
  <c r="AF234" i="20" s="1"/>
  <c r="AG234" i="20" s="1"/>
  <c r="AD234" i="20"/>
  <c r="AC235" i="20"/>
  <c r="AF235" i="20" s="1"/>
  <c r="AG235" i="20" s="1"/>
  <c r="AD235" i="20"/>
  <c r="AC236" i="20"/>
  <c r="AF236" i="20" s="1"/>
  <c r="AG236" i="20" s="1"/>
  <c r="AD236" i="20"/>
  <c r="AC237" i="20"/>
  <c r="AF237" i="20" s="1"/>
  <c r="AG237" i="20" s="1"/>
  <c r="AD237" i="20"/>
  <c r="AC238" i="20"/>
  <c r="AF238" i="20" s="1"/>
  <c r="AG238" i="20" s="1"/>
  <c r="AD238" i="20"/>
  <c r="AC239" i="20"/>
  <c r="AD239" i="20"/>
  <c r="AC240" i="20"/>
  <c r="AD240" i="20"/>
  <c r="AC241" i="20"/>
  <c r="AF241" i="20" s="1"/>
  <c r="AG241" i="20" s="1"/>
  <c r="AD241" i="20"/>
  <c r="AC242" i="20"/>
  <c r="AF242" i="20" s="1"/>
  <c r="AG242" i="20" s="1"/>
  <c r="AD242" i="20"/>
  <c r="AC243" i="20"/>
  <c r="AD243" i="20"/>
  <c r="AC244" i="20"/>
  <c r="AD244" i="20"/>
  <c r="AC245" i="20"/>
  <c r="AF245" i="20" s="1"/>
  <c r="AG245" i="20" s="1"/>
  <c r="AD245" i="20"/>
  <c r="AC246" i="20"/>
  <c r="AF246" i="20" s="1"/>
  <c r="AG246" i="20" s="1"/>
  <c r="AD246" i="20"/>
  <c r="AC247" i="20"/>
  <c r="AF247" i="20" s="1"/>
  <c r="AG247" i="20" s="1"/>
  <c r="AD247" i="20"/>
  <c r="AC248" i="20"/>
  <c r="AF248" i="20" s="1"/>
  <c r="AG248" i="20" s="1"/>
  <c r="AD248" i="20"/>
  <c r="AC249" i="20"/>
  <c r="AF249" i="20" s="1"/>
  <c r="AG249" i="20" s="1"/>
  <c r="AD249" i="20"/>
  <c r="AC250" i="20"/>
  <c r="AF250" i="20" s="1"/>
  <c r="AG250" i="20" s="1"/>
  <c r="AD250" i="20"/>
  <c r="AC251" i="20"/>
  <c r="AD251" i="20"/>
  <c r="AC252" i="20"/>
  <c r="AD252" i="20"/>
  <c r="AC253" i="20"/>
  <c r="AF253" i="20" s="1"/>
  <c r="AG253" i="20" s="1"/>
  <c r="AD253" i="20"/>
  <c r="AC254" i="20"/>
  <c r="AF254" i="20" s="1"/>
  <c r="AG254" i="20" s="1"/>
  <c r="AD254" i="20"/>
  <c r="AC255" i="20"/>
  <c r="AF255" i="20" s="1"/>
  <c r="AG255" i="20" s="1"/>
  <c r="AD255" i="20"/>
  <c r="AC256" i="20"/>
  <c r="AD256" i="20"/>
  <c r="AC258" i="20"/>
  <c r="AF258" i="20" s="1"/>
  <c r="AG258" i="20" s="1"/>
  <c r="AD258" i="20"/>
  <c r="AC259" i="20"/>
  <c r="AD259" i="20"/>
  <c r="AC260" i="20"/>
  <c r="AD260" i="20"/>
  <c r="AC261" i="20"/>
  <c r="AF261" i="20" s="1"/>
  <c r="AG261" i="20" s="1"/>
  <c r="AD261" i="20"/>
  <c r="AC262" i="20"/>
  <c r="AF262" i="20" s="1"/>
  <c r="AG262" i="20" s="1"/>
  <c r="AD262" i="20"/>
  <c r="AC263" i="20"/>
  <c r="AF263" i="20" s="1"/>
  <c r="AG263" i="20" s="1"/>
  <c r="AD263" i="20"/>
  <c r="AC264" i="20"/>
  <c r="AF264" i="20" s="1"/>
  <c r="AG264" i="20" s="1"/>
  <c r="AD264" i="20"/>
  <c r="AC265" i="20"/>
  <c r="AF265" i="20" s="1"/>
  <c r="AG265" i="20" s="1"/>
  <c r="AD265" i="20"/>
  <c r="AC266" i="20"/>
  <c r="AF266" i="20" s="1"/>
  <c r="AG266" i="20" s="1"/>
  <c r="AD266" i="20"/>
  <c r="AC267" i="20"/>
  <c r="AD267" i="20"/>
  <c r="AC268" i="20"/>
  <c r="AD268" i="20"/>
  <c r="AC269" i="20"/>
  <c r="AF269" i="20" s="1"/>
  <c r="AG269" i="20" s="1"/>
  <c r="AD269" i="20"/>
  <c r="AC270" i="20"/>
  <c r="AF270" i="20" s="1"/>
  <c r="AG270" i="20" s="1"/>
  <c r="AD270" i="20"/>
  <c r="AC271" i="20"/>
  <c r="AD271" i="20"/>
  <c r="AC272" i="20"/>
  <c r="AD272" i="20"/>
  <c r="AC273" i="20"/>
  <c r="AF273" i="20" s="1"/>
  <c r="AG273" i="20" s="1"/>
  <c r="AD273" i="20"/>
  <c r="AC274" i="20"/>
  <c r="AF274" i="20" s="1"/>
  <c r="AG274" i="20" s="1"/>
  <c r="AD274" i="20"/>
  <c r="AC275" i="20"/>
  <c r="AF275" i="20" s="1"/>
  <c r="AG275" i="20" s="1"/>
  <c r="AD275" i="20"/>
  <c r="AC276" i="20"/>
  <c r="AF276" i="20" s="1"/>
  <c r="AG276" i="20" s="1"/>
  <c r="AD276" i="20"/>
  <c r="AC277" i="20"/>
  <c r="AF277" i="20" s="1"/>
  <c r="AG277" i="20" s="1"/>
  <c r="AD277" i="20"/>
  <c r="AC278" i="20"/>
  <c r="AF278" i="20" s="1"/>
  <c r="AG278" i="20" s="1"/>
  <c r="AD278" i="20"/>
  <c r="AC279" i="20"/>
  <c r="AD279" i="20"/>
  <c r="AC280" i="20"/>
  <c r="AD280" i="20"/>
  <c r="AC281" i="20"/>
  <c r="AF281" i="20" s="1"/>
  <c r="AG281" i="20" s="1"/>
  <c r="AD281" i="20"/>
  <c r="AC282" i="20"/>
  <c r="AF282" i="20" s="1"/>
  <c r="AG282" i="20" s="1"/>
  <c r="AD282" i="20"/>
  <c r="AC283" i="20"/>
  <c r="AD283" i="20"/>
  <c r="AC284" i="20"/>
  <c r="AD284" i="20"/>
  <c r="AC286" i="20"/>
  <c r="AF286" i="20" s="1"/>
  <c r="AG286" i="20" s="1"/>
  <c r="AD286" i="20"/>
  <c r="AC287" i="20"/>
  <c r="AD287" i="20"/>
  <c r="AC288" i="20"/>
  <c r="AF288" i="20" s="1"/>
  <c r="AG288" i="20" s="1"/>
  <c r="AD288" i="20"/>
  <c r="AC289" i="20"/>
  <c r="AF289" i="20" s="1"/>
  <c r="AG289" i="20" s="1"/>
  <c r="AD289" i="20"/>
  <c r="AC290" i="20"/>
  <c r="AF290" i="20" s="1"/>
  <c r="AG290" i="20" s="1"/>
  <c r="AD290" i="20"/>
  <c r="AC291" i="20"/>
  <c r="AF291" i="20" s="1"/>
  <c r="AG291" i="20" s="1"/>
  <c r="AD291" i="20"/>
  <c r="AC292" i="20"/>
  <c r="AF292" i="20" s="1"/>
  <c r="AG292" i="20" s="1"/>
  <c r="AD292" i="20"/>
  <c r="AC293" i="20"/>
  <c r="AF293" i="20" s="1"/>
  <c r="AG293" i="20" s="1"/>
  <c r="AD293" i="20"/>
  <c r="AC294" i="20"/>
  <c r="AF294" i="20" s="1"/>
  <c r="AG294" i="20" s="1"/>
  <c r="AD294" i="20"/>
  <c r="AC295" i="20"/>
  <c r="AD295" i="20"/>
  <c r="AC296" i="20"/>
  <c r="AF296" i="20" s="1"/>
  <c r="AG296" i="20" s="1"/>
  <c r="AD296" i="20"/>
  <c r="AC297" i="20"/>
  <c r="AF297" i="20" s="1"/>
  <c r="AG297" i="20" s="1"/>
  <c r="AD297" i="20"/>
  <c r="AC299" i="20"/>
  <c r="AD299" i="20"/>
  <c r="AC300" i="20"/>
  <c r="AF300" i="20" s="1"/>
  <c r="AG300" i="20" s="1"/>
  <c r="AD300" i="20"/>
  <c r="AC301" i="20"/>
  <c r="AF301" i="20" s="1"/>
  <c r="AG301" i="20" s="1"/>
  <c r="AD301" i="20"/>
  <c r="AC302" i="20"/>
  <c r="AD302" i="20"/>
  <c r="AC303" i="20"/>
  <c r="AF303" i="20" s="1"/>
  <c r="AG303" i="20" s="1"/>
  <c r="AD303" i="20"/>
  <c r="AC304" i="20"/>
  <c r="AD304" i="20"/>
  <c r="AC306" i="20"/>
  <c r="AD306" i="20"/>
  <c r="AC307" i="20"/>
  <c r="AD307" i="20"/>
  <c r="AC308" i="20"/>
  <c r="AF308" i="20" s="1"/>
  <c r="AG308" i="20" s="1"/>
  <c r="AD308" i="20"/>
  <c r="AC309" i="20"/>
  <c r="AF309" i="20" s="1"/>
  <c r="AG309" i="20" s="1"/>
  <c r="AD309" i="20"/>
  <c r="AC310" i="20"/>
  <c r="AD310" i="20"/>
  <c r="AC311" i="20"/>
  <c r="AF311" i="20" s="1"/>
  <c r="AG311" i="20" s="1"/>
  <c r="AD311" i="20"/>
  <c r="AC312" i="20"/>
  <c r="AD312" i="20"/>
  <c r="AC313" i="20"/>
  <c r="AD313" i="20"/>
  <c r="AC315" i="20"/>
  <c r="AD315" i="20"/>
  <c r="AC316" i="20"/>
  <c r="AF316" i="20" s="1"/>
  <c r="AG316" i="20" s="1"/>
  <c r="AD316" i="20"/>
  <c r="AC317" i="20"/>
  <c r="AD317" i="20"/>
  <c r="AC318" i="20"/>
  <c r="AD318" i="20"/>
  <c r="AC319" i="20"/>
  <c r="AF319" i="20" s="1"/>
  <c r="AG319" i="20" s="1"/>
  <c r="AD319" i="20"/>
  <c r="AC320" i="20"/>
  <c r="AF320" i="20" s="1"/>
  <c r="AG320" i="20" s="1"/>
  <c r="AD320" i="20"/>
  <c r="AC322" i="20"/>
  <c r="AD322" i="20"/>
  <c r="AC323" i="20"/>
  <c r="AD323" i="20"/>
  <c r="AC324" i="20"/>
  <c r="AF324" i="20" s="1"/>
  <c r="AG324" i="20" s="1"/>
  <c r="AD324" i="20"/>
  <c r="AC325" i="20"/>
  <c r="AD325" i="20"/>
  <c r="AC326" i="20"/>
  <c r="AD326" i="20"/>
  <c r="AC327" i="20"/>
  <c r="AD327" i="20"/>
  <c r="AC328" i="20"/>
  <c r="AF328" i="20" s="1"/>
  <c r="AG328" i="20" s="1"/>
  <c r="AD328" i="20"/>
  <c r="AC329" i="20"/>
  <c r="AF329" i="20" s="1"/>
  <c r="AG329" i="20" s="1"/>
  <c r="AD329" i="20"/>
  <c r="AC330" i="20"/>
  <c r="AD330" i="20"/>
  <c r="AC331" i="20"/>
  <c r="AD331" i="20"/>
  <c r="AC333" i="20"/>
  <c r="AF333" i="20" s="1"/>
  <c r="AG333" i="20" s="1"/>
  <c r="AD333" i="20"/>
  <c r="AC334" i="20"/>
  <c r="AD334" i="20"/>
  <c r="AC335" i="20"/>
  <c r="AF335" i="20" s="1"/>
  <c r="AD335" i="20"/>
  <c r="AC336" i="20"/>
  <c r="AF336" i="20" s="1"/>
  <c r="AG336" i="20" s="1"/>
  <c r="AD336" i="20"/>
  <c r="AC337" i="20"/>
  <c r="AF337" i="20" s="1"/>
  <c r="AG337" i="20" s="1"/>
  <c r="AD337" i="20"/>
  <c r="AC338" i="20"/>
  <c r="AD338" i="20"/>
  <c r="AC339" i="20"/>
  <c r="AD339" i="20"/>
  <c r="AC340" i="20"/>
  <c r="AD340" i="20"/>
  <c r="AC341" i="20"/>
  <c r="AD341" i="20"/>
  <c r="AC342" i="20"/>
  <c r="AD342" i="20"/>
  <c r="AC343" i="20"/>
  <c r="AF343" i="20" s="1"/>
  <c r="AD343" i="20"/>
  <c r="AC344" i="20"/>
  <c r="AF344" i="20" s="1"/>
  <c r="AG344" i="20" s="1"/>
  <c r="AD344" i="20"/>
  <c r="AC345" i="20"/>
  <c r="AF345" i="20" s="1"/>
  <c r="AG345" i="20" s="1"/>
  <c r="AD345" i="20"/>
  <c r="AC346" i="20"/>
  <c r="AD346" i="20"/>
  <c r="AC347" i="20"/>
  <c r="AD347" i="20"/>
  <c r="AC348" i="20"/>
  <c r="AD348" i="20"/>
  <c r="AC349" i="20"/>
  <c r="AD349" i="20"/>
  <c r="AC350" i="20"/>
  <c r="AD350" i="20"/>
  <c r="AC351" i="20"/>
  <c r="AF351" i="20" s="1"/>
  <c r="AD351" i="20"/>
  <c r="AC352" i="20"/>
  <c r="AF352" i="20" s="1"/>
  <c r="AG352" i="20" s="1"/>
  <c r="AD352" i="20"/>
  <c r="AC353" i="20"/>
  <c r="AF353" i="20" s="1"/>
  <c r="AG353" i="20" s="1"/>
  <c r="AD353" i="20"/>
  <c r="AC354" i="20"/>
  <c r="AD354" i="20"/>
  <c r="AC355" i="20"/>
  <c r="AD355" i="20"/>
  <c r="AC356" i="20"/>
  <c r="AF356" i="20" s="1"/>
  <c r="AG356" i="20" s="1"/>
  <c r="AD356" i="20"/>
  <c r="AC357" i="20"/>
  <c r="AF357" i="20" s="1"/>
  <c r="AG357" i="20" s="1"/>
  <c r="AD357" i="20"/>
  <c r="AC358" i="20"/>
  <c r="AD358" i="20"/>
  <c r="AC359" i="20"/>
  <c r="AF359" i="20" s="1"/>
  <c r="AG359" i="20" s="1"/>
  <c r="AD359" i="20"/>
  <c r="AC360" i="20"/>
  <c r="AD360" i="20"/>
  <c r="AC361" i="20"/>
  <c r="AD361" i="20"/>
  <c r="AC362" i="20"/>
  <c r="AF362" i="20" s="1"/>
  <c r="AG362" i="20" s="1"/>
  <c r="AD362" i="20"/>
  <c r="AC363" i="20"/>
  <c r="AD363" i="20"/>
  <c r="AC364" i="20"/>
  <c r="AD364" i="20"/>
  <c r="AC365" i="20"/>
  <c r="AD365" i="20"/>
  <c r="AC366" i="20"/>
  <c r="AF366" i="20" s="1"/>
  <c r="AG366" i="20" s="1"/>
  <c r="AD366" i="20"/>
  <c r="AC367" i="20"/>
  <c r="AD367" i="20"/>
  <c r="AC368" i="20"/>
  <c r="AD368" i="20"/>
  <c r="AC369" i="20"/>
  <c r="AD369" i="20"/>
  <c r="AC370" i="20"/>
  <c r="AF370" i="20" s="1"/>
  <c r="AG370" i="20" s="1"/>
  <c r="AD370" i="20"/>
  <c r="AC371" i="20"/>
  <c r="AD371" i="20"/>
  <c r="AC372" i="20"/>
  <c r="AF372" i="20" s="1"/>
  <c r="AG372" i="20" s="1"/>
  <c r="AD372" i="20"/>
  <c r="AC373" i="20"/>
  <c r="AD373" i="20"/>
  <c r="AC374" i="20"/>
  <c r="AF374" i="20" s="1"/>
  <c r="AG374" i="20" s="1"/>
  <c r="AD374" i="20"/>
  <c r="AC375" i="20"/>
  <c r="AD375" i="20"/>
  <c r="AC376" i="20"/>
  <c r="AD376" i="20"/>
  <c r="AC377" i="20"/>
  <c r="AD377" i="20"/>
  <c r="AC378" i="20"/>
  <c r="AF378" i="20" s="1"/>
  <c r="AG378" i="20" s="1"/>
  <c r="AD378" i="20"/>
  <c r="AC379" i="20"/>
  <c r="AD379" i="20"/>
  <c r="AC380" i="20"/>
  <c r="AD380" i="20"/>
  <c r="AC381" i="20"/>
  <c r="AD381" i="20"/>
  <c r="AC382" i="20"/>
  <c r="AF382" i="20" s="1"/>
  <c r="AG382" i="20" s="1"/>
  <c r="AD382" i="20"/>
  <c r="AC383" i="20"/>
  <c r="AD383" i="20"/>
  <c r="AC384" i="20"/>
  <c r="AD384" i="20"/>
  <c r="AC385" i="20"/>
  <c r="AD385" i="20"/>
  <c r="AC386" i="20"/>
  <c r="AF386" i="20" s="1"/>
  <c r="AG386" i="20" s="1"/>
  <c r="AD386" i="20"/>
  <c r="AC387" i="20"/>
  <c r="AD387" i="20"/>
  <c r="AC388" i="20"/>
  <c r="AD388" i="20"/>
  <c r="AC389" i="20"/>
  <c r="AD389" i="20"/>
  <c r="AC390" i="20"/>
  <c r="AF390" i="20" s="1"/>
  <c r="AG390" i="20" s="1"/>
  <c r="AD390" i="20"/>
  <c r="AC391" i="20"/>
  <c r="AD391" i="20"/>
  <c r="AC393" i="20"/>
  <c r="AD393" i="20"/>
  <c r="AC394" i="20"/>
  <c r="AF394" i="20" s="1"/>
  <c r="AG394" i="20" s="1"/>
  <c r="AD394" i="20"/>
  <c r="AC395" i="20"/>
  <c r="AD395" i="20"/>
  <c r="AC396" i="20"/>
  <c r="AF396" i="20" s="1"/>
  <c r="AG396" i="20" s="1"/>
  <c r="AD396" i="20"/>
  <c r="AC397" i="20"/>
  <c r="AD397" i="20"/>
  <c r="AC398" i="20"/>
  <c r="AF398" i="20" s="1"/>
  <c r="AG398" i="20" s="1"/>
  <c r="AD398" i="20"/>
  <c r="AC399" i="20"/>
  <c r="AD399" i="20"/>
  <c r="AC400" i="20"/>
  <c r="AD400" i="20"/>
  <c r="AC401" i="20"/>
  <c r="AD401" i="20"/>
  <c r="AC402" i="20"/>
  <c r="AF402" i="20" s="1"/>
  <c r="AG402" i="20" s="1"/>
  <c r="AD402" i="20"/>
  <c r="AC403" i="20"/>
  <c r="AD403" i="20"/>
  <c r="AC404" i="20"/>
  <c r="AD404" i="20"/>
  <c r="AC406" i="20"/>
  <c r="AF406" i="20" s="1"/>
  <c r="AG406" i="20" s="1"/>
  <c r="AD406" i="20"/>
  <c r="AC407" i="20"/>
  <c r="AF407" i="20" s="1"/>
  <c r="AG407" i="20" s="1"/>
  <c r="AD407" i="20"/>
  <c r="AC408" i="20"/>
  <c r="AD408" i="20"/>
  <c r="AC409" i="20"/>
  <c r="AD409" i="20"/>
  <c r="AC410" i="20"/>
  <c r="AF410" i="20" s="1"/>
  <c r="AG410" i="20" s="1"/>
  <c r="AD410" i="20"/>
  <c r="AC411" i="20"/>
  <c r="AD411" i="20"/>
  <c r="AC412" i="20"/>
  <c r="AD412" i="20"/>
  <c r="AC413" i="20"/>
  <c r="AD413" i="20"/>
  <c r="AC414" i="20"/>
  <c r="AF414" i="20" s="1"/>
  <c r="AG414" i="20" s="1"/>
  <c r="AD414" i="20"/>
  <c r="AC415" i="20"/>
  <c r="AD415" i="20"/>
  <c r="AC416" i="20"/>
  <c r="AD416" i="20"/>
  <c r="AC417" i="20"/>
  <c r="AD417" i="20"/>
  <c r="AC418" i="20"/>
  <c r="AF418" i="20" s="1"/>
  <c r="AG418" i="20" s="1"/>
  <c r="AD418" i="20"/>
  <c r="AC419" i="20"/>
  <c r="AD419" i="20"/>
  <c r="AC420" i="20"/>
  <c r="AD420" i="20"/>
  <c r="AC422" i="20"/>
  <c r="AF422" i="20" s="1"/>
  <c r="AG422" i="20" s="1"/>
  <c r="AD422" i="20"/>
  <c r="AC423" i="20"/>
  <c r="AD423" i="20"/>
  <c r="AC424" i="20"/>
  <c r="AF424" i="20" s="1"/>
  <c r="AG424" i="20" s="1"/>
  <c r="AD424" i="20"/>
  <c r="AC425" i="20"/>
  <c r="AD425" i="20"/>
  <c r="AC426" i="20"/>
  <c r="AF426" i="20" s="1"/>
  <c r="AG426" i="20" s="1"/>
  <c r="AD426" i="20"/>
  <c r="AC427" i="20"/>
  <c r="AD427" i="20"/>
  <c r="AC428" i="20"/>
  <c r="AD428" i="20"/>
  <c r="AC429" i="20"/>
  <c r="AD429" i="20"/>
  <c r="AC430" i="20"/>
  <c r="AF430" i="20" s="1"/>
  <c r="AG430" i="20" s="1"/>
  <c r="AD430" i="20"/>
  <c r="AC431" i="20"/>
  <c r="AF431" i="20" s="1"/>
  <c r="AG431" i="20" s="1"/>
  <c r="AD431" i="20"/>
  <c r="AC432" i="20"/>
  <c r="AF432" i="20" s="1"/>
  <c r="AG432" i="20" s="1"/>
  <c r="AD432" i="20"/>
  <c r="AC433" i="20"/>
  <c r="AD433" i="20"/>
  <c r="AC434" i="20"/>
  <c r="AF434" i="20" s="1"/>
  <c r="AG434" i="20" s="1"/>
  <c r="AD434" i="20"/>
  <c r="AC435" i="20"/>
  <c r="AF435" i="20" s="1"/>
  <c r="AG435" i="20" s="1"/>
  <c r="AD435" i="20"/>
  <c r="AC436" i="20"/>
  <c r="AF436" i="20" s="1"/>
  <c r="AG436" i="20" s="1"/>
  <c r="AD436" i="20"/>
  <c r="AC437" i="20"/>
  <c r="AD437" i="20"/>
  <c r="AC438" i="20"/>
  <c r="AF438" i="20" s="1"/>
  <c r="AG438" i="20" s="1"/>
  <c r="AD438" i="20"/>
  <c r="AC439" i="20"/>
  <c r="AD439" i="20"/>
  <c r="AC440" i="20"/>
  <c r="AF440" i="20" s="1"/>
  <c r="AG440" i="20" s="1"/>
  <c r="AD440" i="20"/>
  <c r="AC441" i="20"/>
  <c r="AD441" i="20"/>
  <c r="AC442" i="20"/>
  <c r="AF442" i="20" s="1"/>
  <c r="AG442" i="20" s="1"/>
  <c r="AD442" i="20"/>
  <c r="AC443" i="20"/>
  <c r="AF443" i="20" s="1"/>
  <c r="AG443" i="20" s="1"/>
  <c r="AD443" i="20"/>
  <c r="AC444" i="20"/>
  <c r="AD444" i="20"/>
  <c r="AC445" i="20"/>
  <c r="AD445" i="20"/>
  <c r="AC446" i="20"/>
  <c r="AF446" i="20" s="1"/>
  <c r="AG446" i="20" s="1"/>
  <c r="AD446" i="20"/>
  <c r="AC447" i="20"/>
  <c r="AD447" i="20"/>
  <c r="AC448" i="20"/>
  <c r="AD448" i="20"/>
  <c r="AC449" i="20"/>
  <c r="AD449" i="20"/>
  <c r="AC450" i="20"/>
  <c r="AF450" i="20" s="1"/>
  <c r="AG450" i="20" s="1"/>
  <c r="AD450" i="20"/>
  <c r="AC452" i="20"/>
  <c r="AD452" i="20"/>
  <c r="AC453" i="20"/>
  <c r="AD453" i="20"/>
  <c r="AC454" i="20"/>
  <c r="AF454" i="20" s="1"/>
  <c r="AG454" i="20" s="1"/>
  <c r="AD454" i="20"/>
  <c r="AC455" i="20"/>
  <c r="AD455" i="20"/>
  <c r="AC456" i="20"/>
  <c r="AD456" i="20"/>
  <c r="AC457" i="20"/>
  <c r="AD457" i="20"/>
  <c r="AC458" i="20"/>
  <c r="AF458" i="20" s="1"/>
  <c r="AG458" i="20" s="1"/>
  <c r="AD458" i="20"/>
  <c r="AC459" i="20"/>
  <c r="AD459" i="20"/>
  <c r="AC460" i="20"/>
  <c r="AD460" i="20"/>
  <c r="AC461" i="20"/>
  <c r="AD461" i="20"/>
  <c r="AC462" i="20"/>
  <c r="AF462" i="20" s="1"/>
  <c r="AG462" i="20" s="1"/>
  <c r="AD462" i="20"/>
  <c r="AC463" i="20"/>
  <c r="AD463" i="20"/>
  <c r="AC464" i="20"/>
  <c r="AD464" i="20"/>
  <c r="AC465" i="20"/>
  <c r="AD465" i="20"/>
  <c r="AC466" i="20"/>
  <c r="AF466" i="20" s="1"/>
  <c r="AG466" i="20" s="1"/>
  <c r="AD466" i="20"/>
  <c r="AC467" i="20"/>
  <c r="AD467" i="20"/>
  <c r="AC468" i="20"/>
  <c r="AD468" i="20"/>
  <c r="AC469" i="20"/>
  <c r="AD469" i="20"/>
  <c r="AC470" i="20"/>
  <c r="AF470" i="20" s="1"/>
  <c r="AG470" i="20" s="1"/>
  <c r="AD470" i="20"/>
  <c r="AC471" i="20"/>
  <c r="AD471" i="20"/>
  <c r="AC472" i="20"/>
  <c r="AF472" i="20" s="1"/>
  <c r="AG472" i="20" s="1"/>
  <c r="AD472" i="20"/>
  <c r="AC473" i="20"/>
  <c r="AD473" i="20"/>
  <c r="AC474" i="20"/>
  <c r="AF474" i="20" s="1"/>
  <c r="AG474" i="20" s="1"/>
  <c r="AD474" i="20"/>
  <c r="AC475" i="20"/>
  <c r="AD475" i="20"/>
  <c r="AC476" i="20"/>
  <c r="AD476" i="20"/>
  <c r="AC477" i="20"/>
  <c r="AD477" i="20"/>
  <c r="AC478" i="20"/>
  <c r="AF478" i="20" s="1"/>
  <c r="AG478" i="20" s="1"/>
  <c r="AD478" i="20"/>
  <c r="AC479" i="20"/>
  <c r="AD479" i="20"/>
  <c r="AC480" i="20"/>
  <c r="AD480" i="20"/>
  <c r="AC481" i="20"/>
  <c r="AD481" i="20"/>
  <c r="AC483" i="20"/>
  <c r="AD483" i="20"/>
  <c r="AC484" i="20"/>
  <c r="AD484" i="20"/>
  <c r="AC485" i="20"/>
  <c r="AD485" i="20"/>
  <c r="AC486" i="20"/>
  <c r="AF486" i="20" s="1"/>
  <c r="AG486" i="20" s="1"/>
  <c r="AD486" i="20"/>
  <c r="AC487" i="20"/>
  <c r="AD487" i="20"/>
  <c r="AC488" i="20"/>
  <c r="AD488" i="20"/>
  <c r="AC489" i="20"/>
  <c r="AD489" i="20"/>
  <c r="AC490" i="20"/>
  <c r="AF490" i="20" s="1"/>
  <c r="AG490" i="20" s="1"/>
  <c r="AD490" i="20"/>
  <c r="AC491" i="20"/>
  <c r="AF491" i="20" s="1"/>
  <c r="AG491" i="20" s="1"/>
  <c r="AD491" i="20"/>
  <c r="AC492" i="20"/>
  <c r="AD492" i="20"/>
  <c r="AC493" i="20"/>
  <c r="AD493" i="20"/>
  <c r="AC494" i="20"/>
  <c r="AF494" i="20" s="1"/>
  <c r="AG494" i="20" s="1"/>
  <c r="AD494" i="20"/>
  <c r="AC495" i="20"/>
  <c r="AD495" i="20"/>
  <c r="AC496" i="20"/>
  <c r="AD496" i="20"/>
  <c r="AC497" i="20"/>
  <c r="AD497" i="20"/>
  <c r="AC498" i="20"/>
  <c r="AF498" i="20" s="1"/>
  <c r="AG498" i="20" s="1"/>
  <c r="AD498" i="20"/>
  <c r="AC499" i="20"/>
  <c r="AD499" i="20"/>
  <c r="AC500" i="20"/>
  <c r="AD500" i="20"/>
  <c r="AC501" i="20"/>
  <c r="AD501" i="20"/>
  <c r="AC502" i="20"/>
  <c r="AF502" i="20" s="1"/>
  <c r="AG502" i="20" s="1"/>
  <c r="AD502" i="20"/>
  <c r="AC503" i="20"/>
  <c r="AD503" i="20"/>
  <c r="AC504" i="20"/>
  <c r="AD504" i="20"/>
  <c r="AC505" i="20"/>
  <c r="AD505" i="20"/>
  <c r="AC506" i="20"/>
  <c r="AF506" i="20" s="1"/>
  <c r="AG506" i="20" s="1"/>
  <c r="AD506" i="20"/>
  <c r="AC507" i="20"/>
  <c r="AD507" i="20"/>
  <c r="AC508" i="20"/>
  <c r="AD508" i="20"/>
  <c r="AC509" i="20"/>
  <c r="AD509" i="20"/>
  <c r="AC510" i="20"/>
  <c r="AF510" i="20" s="1"/>
  <c r="AG510" i="20" s="1"/>
  <c r="AD510" i="20"/>
  <c r="AC511" i="20"/>
  <c r="AD511" i="20"/>
  <c r="AC512" i="20"/>
  <c r="AD512" i="20"/>
  <c r="AC513" i="20"/>
  <c r="AD513" i="20"/>
  <c r="AC514" i="20"/>
  <c r="AF514" i="20" s="1"/>
  <c r="AG514" i="20" s="1"/>
  <c r="AD514" i="20"/>
  <c r="AC515" i="20"/>
  <c r="AD515" i="20"/>
  <c r="AC516" i="20"/>
  <c r="AD516" i="20"/>
  <c r="AC517" i="20"/>
  <c r="AD517" i="20"/>
  <c r="AC518" i="20"/>
  <c r="AF518" i="20" s="1"/>
  <c r="AG518" i="20" s="1"/>
  <c r="AD518" i="20"/>
  <c r="AC519" i="20"/>
  <c r="AD519" i="20"/>
  <c r="AC520" i="20"/>
  <c r="AD520" i="20"/>
  <c r="AC521" i="20"/>
  <c r="AD521" i="20"/>
  <c r="AC522" i="20"/>
  <c r="AF522" i="20" s="1"/>
  <c r="AG522" i="20" s="1"/>
  <c r="AD522" i="20"/>
  <c r="AC523" i="20"/>
  <c r="AD523" i="20"/>
  <c r="AC524" i="20"/>
  <c r="AD524" i="20"/>
  <c r="AC525" i="20"/>
  <c r="AD525" i="20"/>
  <c r="AC526" i="20"/>
  <c r="AF526" i="20" s="1"/>
  <c r="AG526" i="20" s="1"/>
  <c r="AD526" i="20"/>
  <c r="AC527" i="20"/>
  <c r="AF527" i="20" s="1"/>
  <c r="AG527" i="20" s="1"/>
  <c r="AD527" i="20"/>
  <c r="AC528" i="20"/>
  <c r="AF528" i="20" s="1"/>
  <c r="AG528" i="20" s="1"/>
  <c r="AD528" i="20"/>
  <c r="AC529" i="20"/>
  <c r="AD529" i="20"/>
  <c r="AC531" i="20"/>
  <c r="AD531" i="20"/>
  <c r="AC532" i="20"/>
  <c r="AF532" i="20" s="1"/>
  <c r="AG532" i="20" s="1"/>
  <c r="AD532" i="20"/>
  <c r="AC533" i="20"/>
  <c r="AD533" i="20"/>
  <c r="AC534" i="20"/>
  <c r="AF534" i="20" s="1"/>
  <c r="AG534" i="20" s="1"/>
  <c r="AD534" i="20"/>
  <c r="AC535" i="20"/>
  <c r="AD535" i="20"/>
  <c r="AC536" i="20"/>
  <c r="AF536" i="20" s="1"/>
  <c r="AG536" i="20" s="1"/>
  <c r="AD536" i="20"/>
  <c r="AC537" i="20"/>
  <c r="AD537" i="20"/>
  <c r="AC538" i="20"/>
  <c r="AF538" i="20" s="1"/>
  <c r="AG538" i="20" s="1"/>
  <c r="AD538" i="20"/>
  <c r="AC540" i="20"/>
  <c r="AD540" i="20"/>
  <c r="AC541" i="20"/>
  <c r="AD541" i="20"/>
  <c r="AC542" i="20"/>
  <c r="AF542" i="20" s="1"/>
  <c r="AG542" i="20" s="1"/>
  <c r="AD542" i="20"/>
  <c r="AC543" i="20"/>
  <c r="AF543" i="20" s="1"/>
  <c r="AG543" i="20" s="1"/>
  <c r="AD543" i="20"/>
  <c r="AC544" i="20"/>
  <c r="AF544" i="20" s="1"/>
  <c r="AG544" i="20" s="1"/>
  <c r="AD544" i="20"/>
  <c r="AC546" i="20"/>
  <c r="AD546" i="20"/>
  <c r="AC547" i="20"/>
  <c r="AF547" i="20" s="1"/>
  <c r="AG547" i="20" s="1"/>
  <c r="AD547" i="20"/>
  <c r="AC548" i="20"/>
  <c r="AD548" i="20"/>
  <c r="AC549" i="20"/>
  <c r="AF549" i="20" s="1"/>
  <c r="AG549" i="20" s="1"/>
  <c r="AD549" i="20"/>
  <c r="AC550" i="20"/>
  <c r="AD550" i="20"/>
  <c r="AC551" i="20"/>
  <c r="AF551" i="20" s="1"/>
  <c r="AG551" i="20" s="1"/>
  <c r="AD551" i="20"/>
  <c r="AC552" i="20"/>
  <c r="AF552" i="20" s="1"/>
  <c r="AG552" i="20" s="1"/>
  <c r="AD552" i="20"/>
  <c r="AC553" i="20"/>
  <c r="AF553" i="20" s="1"/>
  <c r="AG553" i="20" s="1"/>
  <c r="AD553" i="20"/>
  <c r="AC554" i="20"/>
  <c r="AD554" i="20"/>
  <c r="AC555" i="20"/>
  <c r="AF555" i="20" s="1"/>
  <c r="AG555" i="20" s="1"/>
  <c r="AD555" i="20"/>
  <c r="AC556" i="20"/>
  <c r="AD556" i="20"/>
  <c r="AC557" i="20"/>
  <c r="AD557" i="20"/>
  <c r="AC558" i="20"/>
  <c r="AD558" i="20"/>
  <c r="AC559" i="20"/>
  <c r="AF559" i="20" s="1"/>
  <c r="AG559" i="20" s="1"/>
  <c r="AD559" i="20"/>
  <c r="AC560" i="20"/>
  <c r="AD560" i="20"/>
  <c r="AC561" i="20"/>
  <c r="AD561" i="20"/>
  <c r="AC562" i="20"/>
  <c r="AD562" i="20"/>
  <c r="AC563" i="20"/>
  <c r="AF563" i="20" s="1"/>
  <c r="AG563" i="20" s="1"/>
  <c r="AD563" i="20"/>
  <c r="AC564" i="20"/>
  <c r="AF564" i="20" s="1"/>
  <c r="AG564" i="20" s="1"/>
  <c r="AD564" i="20"/>
  <c r="AC565" i="20"/>
  <c r="AD565" i="20"/>
  <c r="AC566" i="20"/>
  <c r="AD566" i="20"/>
  <c r="AC567" i="20"/>
  <c r="AF567" i="20" s="1"/>
  <c r="AG567" i="20" s="1"/>
  <c r="AD567" i="20"/>
  <c r="AC568" i="20"/>
  <c r="AF568" i="20" s="1"/>
  <c r="AG568" i="20" s="1"/>
  <c r="AD568" i="20"/>
  <c r="AC570" i="20"/>
  <c r="AD570" i="20"/>
  <c r="AC571" i="20"/>
  <c r="AF571" i="20" s="1"/>
  <c r="AG571" i="20" s="1"/>
  <c r="AD571" i="20"/>
  <c r="AC572" i="20"/>
  <c r="AD572" i="20"/>
  <c r="AC573" i="20"/>
  <c r="AF573" i="20" s="1"/>
  <c r="AG573" i="20" s="1"/>
  <c r="AD573" i="20"/>
  <c r="AC575" i="20"/>
  <c r="AF575" i="20" s="1"/>
  <c r="AG575" i="20" s="1"/>
  <c r="AD575" i="20"/>
  <c r="AC576" i="20"/>
  <c r="AD576" i="20"/>
  <c r="AC577" i="20"/>
  <c r="AD577" i="20"/>
  <c r="AC578" i="20"/>
  <c r="AD578" i="20"/>
  <c r="AC579" i="20"/>
  <c r="AF579" i="20" s="1"/>
  <c r="AG579" i="20" s="1"/>
  <c r="AD579" i="20"/>
  <c r="AC580" i="20"/>
  <c r="AF580" i="20" s="1"/>
  <c r="AG580" i="20" s="1"/>
  <c r="AD580" i="20"/>
  <c r="AC581" i="20"/>
  <c r="AF581" i="20" s="1"/>
  <c r="AG581" i="20" s="1"/>
  <c r="AD581" i="20"/>
  <c r="AC582" i="20"/>
  <c r="AD582" i="20"/>
  <c r="AC583" i="20"/>
  <c r="AF583" i="20" s="1"/>
  <c r="AG583" i="20" s="1"/>
  <c r="AD583" i="20"/>
  <c r="AC585" i="20"/>
  <c r="AF585" i="20" s="1"/>
  <c r="AG585" i="20" s="1"/>
  <c r="AD585" i="20"/>
  <c r="AC586" i="20"/>
  <c r="AF586" i="20" s="1"/>
  <c r="AG586" i="20" s="1"/>
  <c r="AD586" i="20"/>
  <c r="AC587" i="20"/>
  <c r="AD587" i="20"/>
  <c r="AC588" i="20"/>
  <c r="AF588" i="20" s="1"/>
  <c r="AG588" i="20" s="1"/>
  <c r="AD588" i="20"/>
  <c r="AC589" i="20"/>
  <c r="AF589" i="20" s="1"/>
  <c r="AG589" i="20" s="1"/>
  <c r="AD589" i="20"/>
  <c r="AC590" i="20"/>
  <c r="AF590" i="20" s="1"/>
  <c r="AG590" i="20" s="1"/>
  <c r="AD590" i="20"/>
  <c r="AC591" i="20"/>
  <c r="AD591" i="20"/>
  <c r="AC592" i="20"/>
  <c r="AF592" i="20" s="1"/>
  <c r="AG592" i="20" s="1"/>
  <c r="AD592" i="20"/>
  <c r="AC593" i="20"/>
  <c r="AF593" i="20" s="1"/>
  <c r="AG593" i="20" s="1"/>
  <c r="AD593" i="20"/>
  <c r="AC594" i="20"/>
  <c r="AF594" i="20" s="1"/>
  <c r="AG594" i="20" s="1"/>
  <c r="AD594" i="20"/>
  <c r="AC595" i="20"/>
  <c r="AD595" i="20"/>
  <c r="AC596" i="20"/>
  <c r="AF596" i="20" s="1"/>
  <c r="AG596" i="20" s="1"/>
  <c r="AD596" i="20"/>
  <c r="AC597" i="20"/>
  <c r="AF597" i="20" s="1"/>
  <c r="AG597" i="20" s="1"/>
  <c r="AD597" i="20"/>
  <c r="AC598" i="20"/>
  <c r="AF598" i="20" s="1"/>
  <c r="AG598" i="20" s="1"/>
  <c r="AD598" i="20"/>
  <c r="AC599" i="20"/>
  <c r="AD599" i="20"/>
  <c r="AC600" i="20"/>
  <c r="AF600" i="20" s="1"/>
  <c r="AG600" i="20" s="1"/>
  <c r="AD600" i="20"/>
  <c r="AC601" i="20"/>
  <c r="AF601" i="20" s="1"/>
  <c r="AG601" i="20" s="1"/>
  <c r="AD601" i="20"/>
  <c r="AC602" i="20"/>
  <c r="AF602" i="20" s="1"/>
  <c r="AG602" i="20" s="1"/>
  <c r="AD602" i="20"/>
  <c r="AC603" i="20"/>
  <c r="AD603" i="20"/>
  <c r="AC604" i="20"/>
  <c r="AF604" i="20" s="1"/>
  <c r="AG604" i="20" s="1"/>
  <c r="AD604" i="20"/>
  <c r="AC606" i="20"/>
  <c r="AD606" i="20"/>
  <c r="AC607" i="20"/>
  <c r="AD607" i="20"/>
  <c r="AC608" i="20"/>
  <c r="AF608" i="20" s="1"/>
  <c r="AG608" i="20" s="1"/>
  <c r="AD608" i="20"/>
  <c r="AC609" i="20"/>
  <c r="AF609" i="20" s="1"/>
  <c r="AG609" i="20" s="1"/>
  <c r="AD609" i="20"/>
  <c r="AC610" i="20"/>
  <c r="AF610" i="20" s="1"/>
  <c r="AG610" i="20" s="1"/>
  <c r="AD610" i="20"/>
  <c r="AC611" i="20"/>
  <c r="AD611" i="20"/>
  <c r="AC613" i="20"/>
  <c r="AD613" i="20"/>
  <c r="AC614" i="20"/>
  <c r="AD614" i="20"/>
  <c r="AC615" i="20"/>
  <c r="AD615" i="20"/>
  <c r="AC616" i="20"/>
  <c r="AF616" i="20" s="1"/>
  <c r="AG616" i="20" s="1"/>
  <c r="AD616" i="20"/>
  <c r="AC617" i="20"/>
  <c r="AF617" i="20" s="1"/>
  <c r="AG617" i="20" s="1"/>
  <c r="AD617" i="20"/>
  <c r="AC618" i="20"/>
  <c r="AD618" i="20"/>
  <c r="AC619" i="20"/>
  <c r="AD619" i="20"/>
  <c r="AC620" i="20"/>
  <c r="AF620" i="20" s="1"/>
  <c r="AG620" i="20" s="1"/>
  <c r="AD620" i="20"/>
  <c r="AC621" i="20"/>
  <c r="AF621" i="20" s="1"/>
  <c r="AG621" i="20" s="1"/>
  <c r="AD621" i="20"/>
  <c r="AC622" i="20"/>
  <c r="AF622" i="20" s="1"/>
  <c r="AG622" i="20" s="1"/>
  <c r="AD622" i="20"/>
  <c r="AC623" i="20"/>
  <c r="AD623" i="20"/>
  <c r="AC624" i="20"/>
  <c r="AF624" i="20" s="1"/>
  <c r="AG624" i="20" s="1"/>
  <c r="AD624" i="20"/>
  <c r="AC625" i="20"/>
  <c r="AF625" i="20" s="1"/>
  <c r="AG625" i="20" s="1"/>
  <c r="AD625" i="20"/>
  <c r="AC626" i="20"/>
  <c r="AF626" i="20" s="1"/>
  <c r="AG626" i="20" s="1"/>
  <c r="AD626" i="20"/>
  <c r="AC627" i="20"/>
  <c r="AD627" i="20"/>
  <c r="AC628" i="20"/>
  <c r="AF628" i="20" s="1"/>
  <c r="AG628" i="20" s="1"/>
  <c r="AD628" i="20"/>
  <c r="AC629" i="20"/>
  <c r="AD629" i="20"/>
  <c r="AC630" i="20"/>
  <c r="AF630" i="20" s="1"/>
  <c r="AG630" i="20" s="1"/>
  <c r="AD630" i="20"/>
  <c r="AC631" i="20"/>
  <c r="AD631" i="20"/>
  <c r="AC632" i="20"/>
  <c r="AF632" i="20" s="1"/>
  <c r="AG632" i="20" s="1"/>
  <c r="AD632" i="20"/>
  <c r="AC633" i="20"/>
  <c r="AF633" i="20" s="1"/>
  <c r="AG633" i="20" s="1"/>
  <c r="AD633" i="20"/>
  <c r="AC634" i="20"/>
  <c r="AF634" i="20" s="1"/>
  <c r="AG634" i="20" s="1"/>
  <c r="AD634" i="20"/>
  <c r="AC635" i="20"/>
  <c r="AD635" i="20"/>
  <c r="AC636" i="20"/>
  <c r="AF636" i="20" s="1"/>
  <c r="AG636" i="20" s="1"/>
  <c r="AD636" i="20"/>
  <c r="AC637" i="20"/>
  <c r="AF637" i="20" s="1"/>
  <c r="AG637" i="20" s="1"/>
  <c r="AD637" i="20"/>
  <c r="AC638" i="20"/>
  <c r="AF638" i="20" s="1"/>
  <c r="AG638" i="20" s="1"/>
  <c r="AD638" i="20"/>
  <c r="AC639" i="20"/>
  <c r="AD639" i="20"/>
  <c r="AC641" i="20"/>
  <c r="AF641" i="20" s="1"/>
  <c r="AG641" i="20" s="1"/>
  <c r="AD641" i="20"/>
  <c r="AC642" i="20"/>
  <c r="AF642" i="20" s="1"/>
  <c r="AG642" i="20" s="1"/>
  <c r="AD642" i="20"/>
  <c r="AC643" i="20"/>
  <c r="AD643" i="20"/>
  <c r="AC644" i="20"/>
  <c r="AF644" i="20" s="1"/>
  <c r="AG644" i="20" s="1"/>
  <c r="AD644" i="20"/>
  <c r="AC645" i="20"/>
  <c r="AD645" i="20"/>
  <c r="AC646" i="20"/>
  <c r="AD646" i="20"/>
  <c r="AC647" i="20"/>
  <c r="AD647" i="20"/>
  <c r="AC648" i="20"/>
  <c r="AD648" i="20"/>
  <c r="AC649" i="20"/>
  <c r="AD649" i="20"/>
  <c r="AC650" i="20"/>
  <c r="AF650" i="20" s="1"/>
  <c r="AG650" i="20" s="1"/>
  <c r="AD650" i="20"/>
  <c r="AC651" i="20"/>
  <c r="AD651" i="20"/>
  <c r="AC652" i="20"/>
  <c r="AD652" i="20"/>
  <c r="AC653" i="20"/>
  <c r="AF653" i="20" s="1"/>
  <c r="AG653" i="20" s="1"/>
  <c r="AD653" i="20"/>
  <c r="AC654" i="20"/>
  <c r="AF654" i="20" s="1"/>
  <c r="AG654" i="20" s="1"/>
  <c r="AD654" i="20"/>
  <c r="AC655" i="20"/>
  <c r="AD655" i="20"/>
  <c r="AC656" i="20"/>
  <c r="AF656" i="20" s="1"/>
  <c r="AD656" i="20"/>
  <c r="AC657" i="20"/>
  <c r="AF657" i="20" s="1"/>
  <c r="AG657" i="20" s="1"/>
  <c r="AD657" i="20"/>
  <c r="AC659" i="20"/>
  <c r="AD659" i="20"/>
  <c r="AC660" i="20"/>
  <c r="AD660" i="20"/>
  <c r="AC661" i="20"/>
  <c r="AD661" i="20"/>
  <c r="AC662" i="20"/>
  <c r="AF662" i="20" s="1"/>
  <c r="AG662" i="20" s="1"/>
  <c r="AD662" i="20"/>
  <c r="AC663" i="20"/>
  <c r="AD663" i="20"/>
  <c r="AC664" i="20"/>
  <c r="AD664" i="20"/>
  <c r="AC665" i="20"/>
  <c r="AD665" i="20"/>
  <c r="AC667" i="20"/>
  <c r="AD667" i="20"/>
  <c r="AC669" i="20"/>
  <c r="AD669" i="20"/>
  <c r="AC670" i="20"/>
  <c r="AD670" i="20"/>
  <c r="AC671" i="20"/>
  <c r="AD671" i="20"/>
  <c r="AC672" i="20"/>
  <c r="AD672" i="20"/>
  <c r="AC673" i="20"/>
  <c r="AD673" i="20"/>
  <c r="AC674" i="20"/>
  <c r="AD674" i="20"/>
  <c r="AC675" i="20"/>
  <c r="AD675" i="20"/>
  <c r="AC676" i="20"/>
  <c r="AD676" i="20"/>
  <c r="AC677" i="20"/>
  <c r="AD677" i="20"/>
  <c r="AC678" i="20"/>
  <c r="AF678" i="20" s="1"/>
  <c r="AG678" i="20" s="1"/>
  <c r="AD678" i="20"/>
  <c r="AC679" i="20"/>
  <c r="AD679" i="20"/>
  <c r="AC680" i="20"/>
  <c r="AD680" i="20"/>
  <c r="AC681" i="20"/>
  <c r="AF681" i="20" s="1"/>
  <c r="AG681" i="20" s="1"/>
  <c r="AD681" i="20"/>
  <c r="AC682" i="20"/>
  <c r="AF682" i="20" s="1"/>
  <c r="AG682" i="20" s="1"/>
  <c r="AD682" i="20"/>
  <c r="AC683" i="20"/>
  <c r="AD683" i="20"/>
  <c r="AC684" i="20"/>
  <c r="AF684" i="20" s="1"/>
  <c r="AD684" i="20"/>
  <c r="AC685" i="20"/>
  <c r="AD685" i="20"/>
  <c r="AC686" i="20"/>
  <c r="AF686" i="20" s="1"/>
  <c r="AG686" i="20" s="1"/>
  <c r="AD686" i="20"/>
  <c r="AC688" i="20"/>
  <c r="AD688" i="20"/>
  <c r="AC689" i="20"/>
  <c r="AF689" i="20" s="1"/>
  <c r="AG689" i="20" s="1"/>
  <c r="AD689" i="20"/>
  <c r="AC690" i="20"/>
  <c r="AF690" i="20" s="1"/>
  <c r="AG690" i="20" s="1"/>
  <c r="AD690" i="20"/>
  <c r="AC691" i="20"/>
  <c r="AD691" i="20"/>
  <c r="AC692" i="20"/>
  <c r="AD692" i="20"/>
  <c r="AC693" i="20"/>
  <c r="AD693" i="20"/>
  <c r="AC694" i="20"/>
  <c r="AF694" i="20" s="1"/>
  <c r="AG694" i="20" s="1"/>
  <c r="AD694" i="20"/>
  <c r="AC695" i="20"/>
  <c r="AD695" i="20"/>
  <c r="AC696" i="20"/>
  <c r="AF696" i="20" s="1"/>
  <c r="AG696" i="20" s="1"/>
  <c r="AD696" i="20"/>
  <c r="AC697" i="20"/>
  <c r="AF697" i="20" s="1"/>
  <c r="AG697" i="20" s="1"/>
  <c r="AD697" i="20"/>
  <c r="AC698" i="20"/>
  <c r="AF698" i="20" s="1"/>
  <c r="AG698" i="20" s="1"/>
  <c r="AD698" i="20"/>
  <c r="AC699" i="20"/>
  <c r="AF699" i="20" s="1"/>
  <c r="AG699" i="20" s="1"/>
  <c r="AD699" i="20"/>
  <c r="AC700" i="20"/>
  <c r="AF700" i="20" s="1"/>
  <c r="AG700" i="20" s="1"/>
  <c r="AD700" i="20"/>
  <c r="AC701" i="20"/>
  <c r="AF701" i="20" s="1"/>
  <c r="AG701" i="20" s="1"/>
  <c r="AD701" i="20"/>
  <c r="AC703" i="20"/>
  <c r="AF703" i="20" s="1"/>
  <c r="AG703" i="20" s="1"/>
  <c r="AD703" i="20"/>
  <c r="AC704" i="20"/>
  <c r="AF704" i="20" s="1"/>
  <c r="AG704" i="20" s="1"/>
  <c r="AD704" i="20"/>
  <c r="AC705" i="20"/>
  <c r="AF705" i="20" s="1"/>
  <c r="AG705" i="20" s="1"/>
  <c r="AD705" i="20"/>
  <c r="AC706" i="20"/>
  <c r="AF706" i="20" s="1"/>
  <c r="AG706" i="20" s="1"/>
  <c r="AD706" i="20"/>
  <c r="AC707" i="20"/>
  <c r="AF707" i="20" s="1"/>
  <c r="AG707" i="20" s="1"/>
  <c r="AD707" i="20"/>
  <c r="AC708" i="20"/>
  <c r="AF708" i="20" s="1"/>
  <c r="AG708" i="20" s="1"/>
  <c r="AD708" i="20"/>
  <c r="AC709" i="20"/>
  <c r="AF709" i="20" s="1"/>
  <c r="AG709" i="20" s="1"/>
  <c r="AD709" i="20"/>
  <c r="AC714" i="20"/>
  <c r="AF714" i="20" s="1"/>
  <c r="AG714" i="20" s="1"/>
  <c r="AD714" i="20"/>
  <c r="AC715" i="20"/>
  <c r="AF715" i="20" s="1"/>
  <c r="AG715" i="20" s="1"/>
  <c r="AD715" i="20"/>
  <c r="AC716" i="20"/>
  <c r="AD716" i="20"/>
  <c r="AC717" i="20"/>
  <c r="AF717" i="20" s="1"/>
  <c r="AG717" i="20" s="1"/>
  <c r="AD717" i="20"/>
  <c r="AC718" i="20"/>
  <c r="AF718" i="20" s="1"/>
  <c r="AG718" i="20" s="1"/>
  <c r="AD718" i="20"/>
  <c r="AC719" i="20"/>
  <c r="AF719" i="20" s="1"/>
  <c r="AG719" i="20" s="1"/>
  <c r="AD719" i="20"/>
  <c r="AC721" i="20"/>
  <c r="AD721" i="20"/>
  <c r="AC722" i="20"/>
  <c r="AF722" i="20" s="1"/>
  <c r="AG722" i="20" s="1"/>
  <c r="AD722" i="20"/>
  <c r="AC723" i="20"/>
  <c r="AF723" i="20" s="1"/>
  <c r="AG723" i="20" s="1"/>
  <c r="AD723" i="20"/>
  <c r="AC724" i="20"/>
  <c r="AF724" i="20" s="1"/>
  <c r="AG724" i="20" s="1"/>
  <c r="AD724" i="20"/>
  <c r="AC725" i="20"/>
  <c r="AF725" i="20" s="1"/>
  <c r="AG725" i="20" s="1"/>
  <c r="AD725" i="20"/>
  <c r="AC726" i="20"/>
  <c r="AF726" i="20" s="1"/>
  <c r="AG726" i="20" s="1"/>
  <c r="AD726" i="20"/>
  <c r="AC727" i="20"/>
  <c r="AF727" i="20" s="1"/>
  <c r="AG727" i="20" s="1"/>
  <c r="AD727" i="20"/>
  <c r="AC728" i="20"/>
  <c r="AF728" i="20" s="1"/>
  <c r="AG728" i="20" s="1"/>
  <c r="AD728" i="20"/>
  <c r="AC729" i="20"/>
  <c r="AF729" i="20" s="1"/>
  <c r="AG729" i="20" s="1"/>
  <c r="AD729" i="20"/>
  <c r="AC730" i="20"/>
  <c r="AF730" i="20" s="1"/>
  <c r="AG730" i="20" s="1"/>
  <c r="AD730" i="20"/>
  <c r="AC731" i="20"/>
  <c r="AF731" i="20" s="1"/>
  <c r="AG731" i="20" s="1"/>
  <c r="AD731" i="20"/>
  <c r="AC732" i="20"/>
  <c r="AD732" i="20"/>
  <c r="AC734" i="20"/>
  <c r="AF734" i="20" s="1"/>
  <c r="AG734" i="20" s="1"/>
  <c r="AD734" i="20"/>
  <c r="AC735" i="20"/>
  <c r="AF735" i="20" s="1"/>
  <c r="AG735" i="20" s="1"/>
  <c r="AD735" i="20"/>
  <c r="AC736" i="20"/>
  <c r="AF736" i="20" s="1"/>
  <c r="AG736" i="20" s="1"/>
  <c r="AD736" i="20"/>
  <c r="AC737" i="20"/>
  <c r="AD737" i="20"/>
  <c r="AC738" i="20"/>
  <c r="AF738" i="20" s="1"/>
  <c r="AG738" i="20" s="1"/>
  <c r="AD738" i="20"/>
  <c r="AC739" i="20"/>
  <c r="AF739" i="20" s="1"/>
  <c r="AG739" i="20" s="1"/>
  <c r="AD739" i="20"/>
  <c r="AC741" i="20"/>
  <c r="AD741" i="20"/>
  <c r="AC742" i="20"/>
  <c r="AF742" i="20" s="1"/>
  <c r="AG742" i="20" s="1"/>
  <c r="AD742" i="20"/>
  <c r="AC743" i="20"/>
  <c r="AF743" i="20" s="1"/>
  <c r="AG743" i="20" s="1"/>
  <c r="AD743" i="20"/>
  <c r="AC744" i="20"/>
  <c r="AF744" i="20" s="1"/>
  <c r="AG744" i="20" s="1"/>
  <c r="AD744" i="20"/>
  <c r="AC745" i="20"/>
  <c r="AF745" i="20" s="1"/>
  <c r="AG745" i="20" s="1"/>
  <c r="AD745" i="20"/>
  <c r="AC746" i="20"/>
  <c r="AF746" i="20" s="1"/>
  <c r="AG746" i="20" s="1"/>
  <c r="AD746" i="20"/>
  <c r="AC747" i="20"/>
  <c r="AF747" i="20" s="1"/>
  <c r="AG747" i="20" s="1"/>
  <c r="AD747" i="20"/>
  <c r="AC748" i="20"/>
  <c r="AF748" i="20" s="1"/>
  <c r="AG748" i="20" s="1"/>
  <c r="AD748" i="20"/>
  <c r="AC749" i="20"/>
  <c r="AD749" i="20"/>
  <c r="AC750" i="20"/>
  <c r="AF750" i="20" s="1"/>
  <c r="AG750" i="20" s="1"/>
  <c r="AD750" i="20"/>
  <c r="AC751" i="20"/>
  <c r="AF751" i="20" s="1"/>
  <c r="AG751" i="20" s="1"/>
  <c r="AD751" i="20"/>
  <c r="AC753" i="20"/>
  <c r="AD753" i="20"/>
  <c r="AC754" i="20"/>
  <c r="AF754" i="20" s="1"/>
  <c r="AG754" i="20" s="1"/>
  <c r="AD754" i="20"/>
  <c r="AC755" i="20"/>
  <c r="AF755" i="20" s="1"/>
  <c r="AG755" i="20" s="1"/>
  <c r="AD755" i="20"/>
  <c r="AC756" i="20"/>
  <c r="AF756" i="20" s="1"/>
  <c r="AG756" i="20" s="1"/>
  <c r="AD756" i="20"/>
  <c r="AC758" i="20"/>
  <c r="AF758" i="20" s="1"/>
  <c r="AG758" i="20" s="1"/>
  <c r="AD758" i="20"/>
  <c r="AC759" i="20"/>
  <c r="AF759" i="20" s="1"/>
  <c r="AG759" i="20" s="1"/>
  <c r="AD759" i="20"/>
  <c r="AC760" i="20"/>
  <c r="AF760" i="20" s="1"/>
  <c r="AG760" i="20" s="1"/>
  <c r="AD760" i="20"/>
  <c r="AC761" i="20"/>
  <c r="AD761" i="20"/>
  <c r="AC762" i="20"/>
  <c r="AF762" i="20" s="1"/>
  <c r="AG762" i="20" s="1"/>
  <c r="AD762" i="20"/>
  <c r="AC763" i="20"/>
  <c r="AF763" i="20" s="1"/>
  <c r="AG763" i="20" s="1"/>
  <c r="AD763" i="20"/>
  <c r="AC764" i="20"/>
  <c r="AD764" i="20"/>
  <c r="AC765" i="20"/>
  <c r="AF765" i="20" s="1"/>
  <c r="AG765" i="20" s="1"/>
  <c r="AD765" i="20"/>
  <c r="AC766" i="20"/>
  <c r="AF766" i="20" s="1"/>
  <c r="AG766" i="20" s="1"/>
  <c r="AD766" i="20"/>
  <c r="AC767" i="20"/>
  <c r="AF767" i="20" s="1"/>
  <c r="AG767" i="20" s="1"/>
  <c r="AD767" i="20"/>
  <c r="AC769" i="20"/>
  <c r="AD769" i="20"/>
  <c r="AC770" i="20"/>
  <c r="AF770" i="20" s="1"/>
  <c r="AG770" i="20" s="1"/>
  <c r="AD770" i="20"/>
  <c r="AC771" i="20"/>
  <c r="AF771" i="20" s="1"/>
  <c r="AG771" i="20" s="1"/>
  <c r="AD771" i="20"/>
  <c r="AC772" i="20"/>
  <c r="AD772" i="20"/>
  <c r="AC773" i="20"/>
  <c r="AF773" i="20" s="1"/>
  <c r="AG773" i="20" s="1"/>
  <c r="AD773" i="20"/>
  <c r="AC774" i="20"/>
  <c r="AF774" i="20" s="1"/>
  <c r="AG774" i="20" s="1"/>
  <c r="AD774" i="20"/>
  <c r="AC775" i="20"/>
  <c r="AF775" i="20" s="1"/>
  <c r="AG775" i="20" s="1"/>
  <c r="AD775" i="20"/>
  <c r="AC776" i="20"/>
  <c r="AF776" i="20" s="1"/>
  <c r="AG776" i="20" s="1"/>
  <c r="AD776" i="20"/>
  <c r="AC778" i="20"/>
  <c r="AF778" i="20" s="1"/>
  <c r="AG778" i="20" s="1"/>
  <c r="AD778" i="20"/>
  <c r="AC779" i="20"/>
  <c r="AF779" i="20" s="1"/>
  <c r="AG779" i="20" s="1"/>
  <c r="AD779" i="20"/>
  <c r="AC780" i="20"/>
  <c r="AF780" i="20" s="1"/>
  <c r="AG780" i="20" s="1"/>
  <c r="AD780" i="20"/>
  <c r="AC782" i="20"/>
  <c r="AF782" i="20" s="1"/>
  <c r="AG782" i="20" s="1"/>
  <c r="AD782" i="20"/>
  <c r="AC783" i="20"/>
  <c r="AF783" i="20" s="1"/>
  <c r="AG783" i="20" s="1"/>
  <c r="AD783" i="20"/>
  <c r="AC784" i="20"/>
  <c r="AF784" i="20" s="1"/>
  <c r="AG784" i="20" s="1"/>
  <c r="AD784" i="20"/>
  <c r="AC785" i="20"/>
  <c r="AF785" i="20" s="1"/>
  <c r="AG785" i="20" s="1"/>
  <c r="AD785" i="20"/>
  <c r="AC786" i="20"/>
  <c r="AF786" i="20" s="1"/>
  <c r="AG786" i="20" s="1"/>
  <c r="AD786" i="20"/>
  <c r="AC787" i="20"/>
  <c r="AF787" i="20" s="1"/>
  <c r="AG787" i="20" s="1"/>
  <c r="AD787" i="20"/>
  <c r="AC788" i="20"/>
  <c r="AF788" i="20" s="1"/>
  <c r="AG788" i="20" s="1"/>
  <c r="AD788" i="20"/>
  <c r="AC789" i="20"/>
  <c r="AD789" i="20"/>
  <c r="AC790" i="20"/>
  <c r="AF790" i="20" s="1"/>
  <c r="AG790" i="20" s="1"/>
  <c r="AD790" i="20"/>
  <c r="AC791" i="20"/>
  <c r="AF791" i="20" s="1"/>
  <c r="AG791" i="20" s="1"/>
  <c r="AD791" i="20"/>
  <c r="AC792" i="20"/>
  <c r="AD792" i="20"/>
  <c r="AC793" i="20"/>
  <c r="AD793" i="20"/>
  <c r="AC794" i="20"/>
  <c r="AF794" i="20" s="1"/>
  <c r="AG794" i="20" s="1"/>
  <c r="AD794" i="20"/>
  <c r="AC795" i="20"/>
  <c r="AF795" i="20" s="1"/>
  <c r="AG795" i="20" s="1"/>
  <c r="AD795" i="20"/>
  <c r="AC796" i="20"/>
  <c r="AD796" i="20"/>
  <c r="AC797" i="20"/>
  <c r="AF797" i="20" s="1"/>
  <c r="AG797" i="20" s="1"/>
  <c r="AD797" i="20"/>
  <c r="AC798" i="20"/>
  <c r="AF798" i="20" s="1"/>
  <c r="AG798" i="20" s="1"/>
  <c r="AD798" i="20"/>
  <c r="AC799" i="20"/>
  <c r="AF799" i="20" s="1"/>
  <c r="AG799" i="20" s="1"/>
  <c r="AD799" i="20"/>
  <c r="AC800" i="20"/>
  <c r="AD800" i="20"/>
  <c r="AC801" i="20"/>
  <c r="AD801" i="20"/>
  <c r="AC802" i="20"/>
  <c r="AF802" i="20" s="1"/>
  <c r="AG802" i="20" s="1"/>
  <c r="AD802" i="20"/>
  <c r="AC803" i="20"/>
  <c r="AF803" i="20" s="1"/>
  <c r="AG803" i="20" s="1"/>
  <c r="AD803" i="20"/>
  <c r="AC805" i="20"/>
  <c r="AF805" i="20" s="1"/>
  <c r="AG805" i="20" s="1"/>
  <c r="AD805" i="20"/>
  <c r="AC806" i="20"/>
  <c r="AF806" i="20" s="1"/>
  <c r="AG806" i="20" s="1"/>
  <c r="AD806" i="20"/>
  <c r="AC807" i="20"/>
  <c r="AF807" i="20" s="1"/>
  <c r="AG807" i="20" s="1"/>
  <c r="AD807" i="20"/>
  <c r="AC808" i="20"/>
  <c r="AF808" i="20" s="1"/>
  <c r="AG808" i="20" s="1"/>
  <c r="AD808" i="20"/>
  <c r="AC809" i="20"/>
  <c r="AF809" i="20" s="1"/>
  <c r="AG809" i="20" s="1"/>
  <c r="AD809" i="20"/>
  <c r="AC810" i="20"/>
  <c r="AF810" i="20" s="1"/>
  <c r="AG810" i="20" s="1"/>
  <c r="AD810" i="20"/>
  <c r="AC811" i="20"/>
  <c r="AF811" i="20" s="1"/>
  <c r="AG811" i="20" s="1"/>
  <c r="AD811" i="20"/>
  <c r="AC812" i="20"/>
  <c r="AD812" i="20"/>
  <c r="AC813" i="20"/>
  <c r="AF813" i="20" s="1"/>
  <c r="AG813" i="20" s="1"/>
  <c r="AD813" i="20"/>
  <c r="AC815" i="20"/>
  <c r="AF815" i="20" s="1"/>
  <c r="AG815" i="20" s="1"/>
  <c r="AD815" i="20"/>
  <c r="AC816" i="20"/>
  <c r="AF816" i="20" s="1"/>
  <c r="AG816" i="20" s="1"/>
  <c r="AD816" i="20"/>
  <c r="AC817" i="20"/>
  <c r="AD817" i="20"/>
  <c r="AC818" i="20"/>
  <c r="AF818" i="20" s="1"/>
  <c r="AG818" i="20" s="1"/>
  <c r="AD818" i="20"/>
  <c r="AC819" i="20"/>
  <c r="AF819" i="20" s="1"/>
  <c r="AG819" i="20" s="1"/>
  <c r="AD819" i="20"/>
  <c r="AC820" i="20"/>
  <c r="AF820" i="20" s="1"/>
  <c r="AG820" i="20" s="1"/>
  <c r="AD820" i="20"/>
  <c r="AC821" i="20"/>
  <c r="AF821" i="20" s="1"/>
  <c r="AG821" i="20" s="1"/>
  <c r="AD821" i="20"/>
  <c r="AC822" i="20"/>
  <c r="AF822" i="20" s="1"/>
  <c r="AG822" i="20" s="1"/>
  <c r="AD822" i="20"/>
  <c r="AC823" i="20"/>
  <c r="AF823" i="20" s="1"/>
  <c r="AG823" i="20" s="1"/>
  <c r="AD823" i="20"/>
  <c r="AC824" i="20"/>
  <c r="AD824" i="20"/>
  <c r="AC825" i="20"/>
  <c r="AD825" i="20"/>
  <c r="AC826" i="20"/>
  <c r="AF826" i="20" s="1"/>
  <c r="AG826" i="20" s="1"/>
  <c r="AD826" i="20"/>
  <c r="AC827" i="20"/>
  <c r="AF827" i="20" s="1"/>
  <c r="AG827" i="20" s="1"/>
  <c r="AD827" i="20"/>
  <c r="AC828" i="20"/>
  <c r="AD828" i="20"/>
  <c r="AC829" i="20"/>
  <c r="AF829" i="20" s="1"/>
  <c r="AG829" i="20" s="1"/>
  <c r="AD829" i="20"/>
  <c r="AC830" i="20"/>
  <c r="AF830" i="20" s="1"/>
  <c r="AG830" i="20" s="1"/>
  <c r="AD830" i="20"/>
  <c r="AC831" i="20"/>
  <c r="AF831" i="20" s="1"/>
  <c r="AG831" i="20" s="1"/>
  <c r="AD831" i="20"/>
  <c r="AC832" i="20"/>
  <c r="AF832" i="20" s="1"/>
  <c r="AG832" i="20" s="1"/>
  <c r="AD832" i="20"/>
  <c r="AC833" i="20"/>
  <c r="AF833" i="20" s="1"/>
  <c r="AG833" i="20" s="1"/>
  <c r="AD833" i="20"/>
  <c r="AC834" i="20"/>
  <c r="AF834" i="20" s="1"/>
  <c r="AG834" i="20" s="1"/>
  <c r="AD834" i="20"/>
  <c r="AC835" i="20"/>
  <c r="AF835" i="20" s="1"/>
  <c r="AG835" i="20" s="1"/>
  <c r="AD835" i="20"/>
  <c r="AC836" i="20"/>
  <c r="AD836" i="20"/>
  <c r="AC837" i="20"/>
  <c r="AD837" i="20"/>
  <c r="AC838" i="20"/>
  <c r="AF838" i="20" s="1"/>
  <c r="AG838" i="20" s="1"/>
  <c r="AD838" i="20"/>
  <c r="AC839" i="20"/>
  <c r="AF839" i="20" s="1"/>
  <c r="AG839" i="20" s="1"/>
  <c r="AD839" i="20"/>
  <c r="AC840" i="20"/>
  <c r="AD840" i="20"/>
  <c r="AC841" i="20"/>
  <c r="AD841" i="20"/>
  <c r="AC842" i="20"/>
  <c r="AF842" i="20" s="1"/>
  <c r="AG842" i="20" s="1"/>
  <c r="AD842" i="20"/>
  <c r="AC843" i="20"/>
  <c r="AF843" i="20" s="1"/>
  <c r="AG843" i="20" s="1"/>
  <c r="AD843" i="20"/>
  <c r="AC845" i="20"/>
  <c r="AD845" i="20"/>
  <c r="AC846" i="20"/>
  <c r="AF846" i="20" s="1"/>
  <c r="AG846" i="20" s="1"/>
  <c r="AD846" i="20"/>
  <c r="AC847" i="20"/>
  <c r="AF847" i="20" s="1"/>
  <c r="AG847" i="20" s="1"/>
  <c r="AD847" i="20"/>
  <c r="AC848" i="20"/>
  <c r="AD848" i="20"/>
  <c r="AC849" i="20"/>
  <c r="AD849" i="20"/>
  <c r="AC850" i="20"/>
  <c r="AF850" i="20" s="1"/>
  <c r="AG850" i="20" s="1"/>
  <c r="AD850" i="20"/>
  <c r="AC851" i="20"/>
  <c r="AF851" i="20" s="1"/>
  <c r="AG851" i="20" s="1"/>
  <c r="AD851" i="20"/>
  <c r="AC852" i="20"/>
  <c r="AD852" i="20"/>
  <c r="AC854" i="20"/>
  <c r="AF854" i="20" s="1"/>
  <c r="AG854" i="20" s="1"/>
  <c r="AD854" i="20"/>
  <c r="AC855" i="20"/>
  <c r="AF855" i="20" s="1"/>
  <c r="AG855" i="20" s="1"/>
  <c r="AD855" i="20"/>
  <c r="AC856" i="20"/>
  <c r="AD856" i="20"/>
  <c r="AC858" i="20"/>
  <c r="AF858" i="20" s="1"/>
  <c r="AG858" i="20" s="1"/>
  <c r="AD858" i="20"/>
  <c r="AC859" i="20"/>
  <c r="AF859" i="20" s="1"/>
  <c r="AG859" i="20" s="1"/>
  <c r="AD859" i="20"/>
  <c r="AC861" i="20"/>
  <c r="AD861" i="20"/>
  <c r="AC862" i="20"/>
  <c r="AF862" i="20" s="1"/>
  <c r="AG862" i="20" s="1"/>
  <c r="AD862" i="20"/>
  <c r="AC863" i="20"/>
  <c r="AF863" i="20" s="1"/>
  <c r="AG863" i="20" s="1"/>
  <c r="AD863" i="20"/>
  <c r="AC864" i="20"/>
  <c r="AF864" i="20" s="1"/>
  <c r="AG864" i="20" s="1"/>
  <c r="AD864" i="20"/>
  <c r="AC865" i="20"/>
  <c r="AD865" i="20"/>
  <c r="AC866" i="20"/>
  <c r="AF866" i="20" s="1"/>
  <c r="AG866" i="20" s="1"/>
  <c r="AD866" i="20"/>
  <c r="AC867" i="20"/>
  <c r="AF867" i="20" s="1"/>
  <c r="AG867" i="20" s="1"/>
  <c r="AD867" i="20"/>
  <c r="AC868" i="20"/>
  <c r="AD868" i="20"/>
  <c r="AC869" i="20"/>
  <c r="AF869" i="20" s="1"/>
  <c r="AG869" i="20" s="1"/>
  <c r="AD869" i="20"/>
  <c r="AC870" i="20"/>
  <c r="AF870" i="20" s="1"/>
  <c r="AG870" i="20" s="1"/>
  <c r="AD870" i="20"/>
  <c r="AC871" i="20"/>
  <c r="AF871" i="20" s="1"/>
  <c r="AG871" i="20" s="1"/>
  <c r="AD871" i="20"/>
  <c r="AC873" i="20"/>
  <c r="AD873" i="20"/>
  <c r="AC874" i="20"/>
  <c r="AF874" i="20" s="1"/>
  <c r="AG874" i="20" s="1"/>
  <c r="AD874" i="20"/>
  <c r="AC875" i="20"/>
  <c r="AF875" i="20" s="1"/>
  <c r="AG875" i="20" s="1"/>
  <c r="AD875" i="20"/>
  <c r="AC876" i="20"/>
  <c r="AD876" i="20"/>
  <c r="AC877" i="20"/>
  <c r="AF877" i="20" s="1"/>
  <c r="AG877" i="20" s="1"/>
  <c r="AD877" i="20"/>
  <c r="AC878" i="20"/>
  <c r="AF878" i="20" s="1"/>
  <c r="AG878" i="20" s="1"/>
  <c r="AD878" i="20"/>
  <c r="AC879" i="20"/>
  <c r="AF879" i="20" s="1"/>
  <c r="AG879" i="20" s="1"/>
  <c r="AD879" i="20"/>
  <c r="AC880" i="20"/>
  <c r="AF880" i="20" s="1"/>
  <c r="AG880" i="20" s="1"/>
  <c r="AD880" i="20"/>
  <c r="AC881" i="20"/>
  <c r="AD881" i="20"/>
  <c r="AC882" i="20"/>
  <c r="AF882" i="20" s="1"/>
  <c r="AG882" i="20" s="1"/>
  <c r="AD882" i="20"/>
  <c r="AC883" i="20"/>
  <c r="AF883" i="20" s="1"/>
  <c r="AG883" i="20" s="1"/>
  <c r="AD883" i="20"/>
  <c r="AC884" i="20"/>
  <c r="AD884" i="20"/>
  <c r="AC885" i="20"/>
  <c r="AF885" i="20" s="1"/>
  <c r="AG885" i="20" s="1"/>
  <c r="AD885" i="20"/>
  <c r="AC886" i="20"/>
  <c r="AF886" i="20" s="1"/>
  <c r="AG886" i="20" s="1"/>
  <c r="AD886" i="20"/>
  <c r="AC887" i="20"/>
  <c r="AF887" i="20" s="1"/>
  <c r="AG887" i="20" s="1"/>
  <c r="AD887" i="20"/>
  <c r="AC888" i="20"/>
  <c r="AF888" i="20" s="1"/>
  <c r="AG888" i="20" s="1"/>
  <c r="AD888" i="20"/>
  <c r="AC889" i="20"/>
  <c r="AD889" i="20"/>
  <c r="AC890" i="20"/>
  <c r="AF890" i="20" s="1"/>
  <c r="AG890" i="20" s="1"/>
  <c r="AD890" i="20"/>
  <c r="AC892" i="20"/>
  <c r="AD892" i="20"/>
  <c r="AC895" i="20"/>
  <c r="AF895" i="20" s="1"/>
  <c r="AG895" i="20" s="1"/>
  <c r="AD895" i="20"/>
  <c r="AC896" i="20"/>
  <c r="AF896" i="20" s="1"/>
  <c r="AG896" i="20" s="1"/>
  <c r="AD896" i="20"/>
  <c r="AC897" i="20"/>
  <c r="AD897" i="20"/>
  <c r="AC898" i="20"/>
  <c r="AF898" i="20" s="1"/>
  <c r="AG898" i="20" s="1"/>
  <c r="AD898" i="20"/>
  <c r="AC899" i="20"/>
  <c r="AF899" i="20" s="1"/>
  <c r="AG899" i="20" s="1"/>
  <c r="AD899" i="20"/>
  <c r="AC900" i="20"/>
  <c r="AD900" i="20"/>
  <c r="AC901" i="20"/>
  <c r="AF901" i="20" s="1"/>
  <c r="AG901" i="20" s="1"/>
  <c r="AD901" i="20"/>
  <c r="AC902" i="20"/>
  <c r="AF902" i="20" s="1"/>
  <c r="AG902" i="20" s="1"/>
  <c r="AD902" i="20"/>
  <c r="AC903" i="20"/>
  <c r="AF903" i="20" s="1"/>
  <c r="AG903" i="20" s="1"/>
  <c r="AD903" i="20"/>
  <c r="AC904" i="20"/>
  <c r="AD904" i="20"/>
  <c r="AC905" i="20"/>
  <c r="AF905" i="20" s="1"/>
  <c r="AG905" i="20" s="1"/>
  <c r="AD905" i="20"/>
  <c r="AC906" i="20"/>
  <c r="AF906" i="20" s="1"/>
  <c r="AG906" i="20" s="1"/>
  <c r="AD906" i="20"/>
  <c r="AC907" i="20"/>
  <c r="AF907" i="20" s="1"/>
  <c r="AG907" i="20" s="1"/>
  <c r="AD907" i="20"/>
  <c r="AC908" i="20"/>
  <c r="AF908" i="20" s="1"/>
  <c r="AG908" i="20" s="1"/>
  <c r="AD908" i="20"/>
  <c r="AC909" i="20"/>
  <c r="AF909" i="20" s="1"/>
  <c r="AG909" i="20" s="1"/>
  <c r="AD909" i="20"/>
  <c r="AC910" i="20"/>
  <c r="AF910" i="20" s="1"/>
  <c r="AG910" i="20" s="1"/>
  <c r="AD910" i="20"/>
  <c r="AC911" i="20"/>
  <c r="AF911" i="20" s="1"/>
  <c r="AG911" i="20" s="1"/>
  <c r="AD911" i="20"/>
  <c r="AC912" i="20"/>
  <c r="AD912" i="20"/>
  <c r="AC913" i="20"/>
  <c r="AD913" i="20"/>
  <c r="AC914" i="20"/>
  <c r="AF914" i="20" s="1"/>
  <c r="AG914" i="20" s="1"/>
  <c r="AD914" i="20"/>
  <c r="AC915" i="20"/>
  <c r="AF915" i="20" s="1"/>
  <c r="AG915" i="20" s="1"/>
  <c r="AD915" i="20"/>
  <c r="AC916" i="20"/>
  <c r="AF916" i="20" s="1"/>
  <c r="AG916" i="20" s="1"/>
  <c r="AD916" i="20"/>
  <c r="AC918" i="20"/>
  <c r="AF918" i="20" s="1"/>
  <c r="AG918" i="20" s="1"/>
  <c r="AD918" i="20"/>
  <c r="AC919" i="20"/>
  <c r="AF919" i="20" s="1"/>
  <c r="AG919" i="20" s="1"/>
  <c r="AD919" i="20"/>
  <c r="AC920" i="20"/>
  <c r="AF920" i="20" s="1"/>
  <c r="AG920" i="20" s="1"/>
  <c r="AD920" i="20"/>
  <c r="AC921" i="20"/>
  <c r="AD921" i="20"/>
  <c r="AC922" i="20"/>
  <c r="AF922" i="20" s="1"/>
  <c r="AG922" i="20" s="1"/>
  <c r="AD922" i="20"/>
  <c r="AC924" i="20"/>
  <c r="AD924" i="20"/>
  <c r="AC925" i="20"/>
  <c r="AD925" i="20"/>
  <c r="AC926" i="20"/>
  <c r="AF926" i="20" s="1"/>
  <c r="AG926" i="20" s="1"/>
  <c r="AD926" i="20"/>
  <c r="AC927" i="20"/>
  <c r="AF927" i="20" s="1"/>
  <c r="AG927" i="20" s="1"/>
  <c r="AD927" i="20"/>
  <c r="AC928" i="20"/>
  <c r="AD928" i="20"/>
  <c r="AC929" i="20"/>
  <c r="AD929" i="20"/>
  <c r="AC930" i="20"/>
  <c r="AF930" i="20" s="1"/>
  <c r="AG930" i="20" s="1"/>
  <c r="AD930" i="20"/>
  <c r="AC931" i="20"/>
  <c r="AF931" i="20" s="1"/>
  <c r="AG931" i="20" s="1"/>
  <c r="AD931" i="20"/>
  <c r="AC932" i="20"/>
  <c r="AD932" i="20"/>
  <c r="AC933" i="20"/>
  <c r="AF933" i="20" s="1"/>
  <c r="AG933" i="20" s="1"/>
  <c r="AD933" i="20"/>
  <c r="AC934" i="20"/>
  <c r="AF934" i="20" s="1"/>
  <c r="AG934" i="20" s="1"/>
  <c r="AD934" i="20"/>
  <c r="AC935" i="20"/>
  <c r="AF935" i="20" s="1"/>
  <c r="AG935" i="20" s="1"/>
  <c r="AD935" i="20"/>
  <c r="AC936" i="20"/>
  <c r="AD936" i="20"/>
  <c r="AC937" i="20"/>
  <c r="AD937" i="20"/>
  <c r="AC938" i="20"/>
  <c r="AF938" i="20" s="1"/>
  <c r="AG938" i="20" s="1"/>
  <c r="AD938" i="20"/>
  <c r="AC939" i="20"/>
  <c r="AF939" i="20" s="1"/>
  <c r="AG939" i="20" s="1"/>
  <c r="AD939" i="20"/>
  <c r="AC940" i="20"/>
  <c r="AF940" i="20" s="1"/>
  <c r="AG940" i="20" s="1"/>
  <c r="AD940" i="20"/>
  <c r="AC941" i="20"/>
  <c r="AD941" i="20"/>
  <c r="AC942" i="20"/>
  <c r="AF942" i="20" s="1"/>
  <c r="AG942" i="20" s="1"/>
  <c r="AD942" i="20"/>
  <c r="AC943" i="20"/>
  <c r="AF943" i="20" s="1"/>
  <c r="AG943" i="20" s="1"/>
  <c r="AD943" i="20"/>
  <c r="AC944" i="20"/>
  <c r="AF944" i="20" s="1"/>
  <c r="AG944" i="20" s="1"/>
  <c r="AD944" i="20"/>
  <c r="AC945" i="20"/>
  <c r="AF945" i="20" s="1"/>
  <c r="AG945" i="20" s="1"/>
  <c r="AD945" i="20"/>
  <c r="AC946" i="20"/>
  <c r="AF946" i="20" s="1"/>
  <c r="AG946" i="20" s="1"/>
  <c r="AD946" i="20"/>
  <c r="AC947" i="20"/>
  <c r="AF947" i="20" s="1"/>
  <c r="AG947" i="20" s="1"/>
  <c r="AD947" i="20"/>
  <c r="AC949" i="20"/>
  <c r="AD949" i="20"/>
  <c r="AC950" i="20"/>
  <c r="AF950" i="20" s="1"/>
  <c r="AG950" i="20" s="1"/>
  <c r="AD950" i="20"/>
  <c r="AC951" i="20"/>
  <c r="AF951" i="20" s="1"/>
  <c r="AG951" i="20" s="1"/>
  <c r="AD951" i="20"/>
  <c r="AC952" i="20"/>
  <c r="AD952" i="20"/>
  <c r="AC953" i="20"/>
  <c r="AF953" i="20" s="1"/>
  <c r="AG953" i="20" s="1"/>
  <c r="AD953" i="20"/>
  <c r="AC954" i="20"/>
  <c r="AF954" i="20" s="1"/>
  <c r="AG954" i="20" s="1"/>
  <c r="AD954" i="20"/>
  <c r="AC955" i="20"/>
  <c r="AF955" i="20" s="1"/>
  <c r="AG955" i="20" s="1"/>
  <c r="AD955" i="20"/>
  <c r="AC956" i="20"/>
  <c r="AF956" i="20" s="1"/>
  <c r="AG956" i="20" s="1"/>
  <c r="AD956" i="20"/>
  <c r="AC958" i="20"/>
  <c r="AF958" i="20" s="1"/>
  <c r="AG958" i="20" s="1"/>
  <c r="AD958" i="20"/>
  <c r="AC959" i="20"/>
  <c r="AF959" i="20" s="1"/>
  <c r="AG959" i="20" s="1"/>
  <c r="AD959" i="20"/>
  <c r="AC960" i="20"/>
  <c r="AF960" i="20" s="1"/>
  <c r="AG960" i="20" s="1"/>
  <c r="AD960" i="20"/>
  <c r="AC961" i="20"/>
  <c r="AD961" i="20"/>
  <c r="AC964" i="20"/>
  <c r="AF964" i="20" s="1"/>
  <c r="AG964" i="20" s="1"/>
  <c r="AD964" i="20"/>
  <c r="AC965" i="20"/>
  <c r="AD965" i="20"/>
  <c r="AC966" i="20"/>
  <c r="AF966" i="20" s="1"/>
  <c r="AG966" i="20" s="1"/>
  <c r="AD966" i="20"/>
  <c r="AC967" i="20"/>
  <c r="AF967" i="20" s="1"/>
  <c r="AG967" i="20" s="1"/>
  <c r="AD967" i="20"/>
  <c r="AC968" i="20"/>
  <c r="AF968" i="20" s="1"/>
  <c r="AG968" i="20" s="1"/>
  <c r="AD968" i="20"/>
  <c r="AC969" i="20"/>
  <c r="AF969" i="20" s="1"/>
  <c r="AG969" i="20" s="1"/>
  <c r="AD969" i="20"/>
  <c r="AC970" i="20"/>
  <c r="AF970" i="20" s="1"/>
  <c r="AG970" i="20" s="1"/>
  <c r="AD970" i="20"/>
  <c r="AC971" i="20"/>
  <c r="AF971" i="20" s="1"/>
  <c r="AG971" i="20" s="1"/>
  <c r="AD971" i="20"/>
  <c r="AC972" i="20"/>
  <c r="AF972" i="20" s="1"/>
  <c r="AG972" i="20" s="1"/>
  <c r="AD972" i="20"/>
  <c r="AC973" i="20"/>
  <c r="AF973" i="20" s="1"/>
  <c r="AG973" i="20" s="1"/>
  <c r="AD973" i="20"/>
  <c r="AC974" i="20"/>
  <c r="AF974" i="20" s="1"/>
  <c r="AG974" i="20" s="1"/>
  <c r="AD974" i="20"/>
  <c r="AC975" i="20"/>
  <c r="AF975" i="20" s="1"/>
  <c r="AG975" i="20" s="1"/>
  <c r="AD975" i="20"/>
  <c r="AC976" i="20"/>
  <c r="AF976" i="20" s="1"/>
  <c r="AG976" i="20" s="1"/>
  <c r="AD976" i="20"/>
  <c r="AC977" i="20"/>
  <c r="AF977" i="20" s="1"/>
  <c r="AG977" i="20" s="1"/>
  <c r="AD977" i="20"/>
  <c r="AC978" i="20"/>
  <c r="AF978" i="20" s="1"/>
  <c r="AG978" i="20" s="1"/>
  <c r="AD978" i="20"/>
  <c r="AC979" i="20"/>
  <c r="AF979" i="20" s="1"/>
  <c r="AG979" i="20" s="1"/>
  <c r="AD979" i="20"/>
  <c r="AC980" i="20"/>
  <c r="AD980" i="20"/>
  <c r="AC981" i="20"/>
  <c r="AD981" i="20"/>
  <c r="AC982" i="20"/>
  <c r="AF982" i="20" s="1"/>
  <c r="AG982" i="20" s="1"/>
  <c r="AD982" i="20"/>
  <c r="AC983" i="20"/>
  <c r="AF983" i="20" s="1"/>
  <c r="AG983" i="20" s="1"/>
  <c r="AD983" i="20"/>
  <c r="AC984" i="20"/>
  <c r="AF984" i="20" s="1"/>
  <c r="AG984" i="20" s="1"/>
  <c r="AD984" i="20"/>
  <c r="AC985" i="20"/>
  <c r="AF985" i="20" s="1"/>
  <c r="AG985" i="20" s="1"/>
  <c r="AD985" i="20"/>
  <c r="AC987" i="20"/>
  <c r="AF987" i="20" s="1"/>
  <c r="AG987" i="20" s="1"/>
  <c r="AD987" i="20"/>
  <c r="AC988" i="20"/>
  <c r="AF988" i="20" s="1"/>
  <c r="AG988" i="20" s="1"/>
  <c r="AD988" i="20"/>
  <c r="AC989" i="20"/>
  <c r="AF989" i="20" s="1"/>
  <c r="AG989" i="20" s="1"/>
  <c r="AD989" i="20"/>
  <c r="AC990" i="20"/>
  <c r="AF990" i="20" s="1"/>
  <c r="AG990" i="20" s="1"/>
  <c r="AD990" i="20"/>
  <c r="AC991" i="20"/>
  <c r="AF991" i="20" s="1"/>
  <c r="AG991" i="20" s="1"/>
  <c r="AD991" i="20"/>
  <c r="AC992" i="20"/>
  <c r="AD992" i="20"/>
  <c r="AC993" i="20"/>
  <c r="AF993" i="20" s="1"/>
  <c r="AG993" i="20" s="1"/>
  <c r="AD993" i="20"/>
  <c r="AC994" i="20"/>
  <c r="AF994" i="20" s="1"/>
  <c r="AG994" i="20" s="1"/>
  <c r="AD994" i="20"/>
  <c r="AC995" i="20"/>
  <c r="AF995" i="20" s="1"/>
  <c r="AG995" i="20" s="1"/>
  <c r="AD995" i="20"/>
  <c r="AC996" i="20"/>
  <c r="AF996" i="20" s="1"/>
  <c r="AG996" i="20" s="1"/>
  <c r="AD996" i="20"/>
  <c r="AC997" i="20"/>
  <c r="AD997" i="20"/>
  <c r="AC998" i="20"/>
  <c r="AF998" i="20" s="1"/>
  <c r="AG998" i="20" s="1"/>
  <c r="AD998" i="20"/>
  <c r="AC999" i="20"/>
  <c r="AF999" i="20" s="1"/>
  <c r="AG999" i="20" s="1"/>
  <c r="AD999" i="20"/>
  <c r="AC1000" i="20"/>
  <c r="AD1000" i="20"/>
  <c r="AC1003" i="20"/>
  <c r="AF1003" i="20" s="1"/>
  <c r="AG1003" i="20" s="1"/>
  <c r="AD1003" i="20"/>
  <c r="AC1004" i="20"/>
  <c r="AF1004" i="20" s="1"/>
  <c r="AG1004" i="20" s="1"/>
  <c r="AD1004" i="20"/>
  <c r="AC1005" i="20"/>
  <c r="AD1005" i="20"/>
  <c r="AC1007" i="20"/>
  <c r="AF1007" i="20" s="1"/>
  <c r="AG1007" i="20" s="1"/>
  <c r="AD1007" i="20"/>
  <c r="AC1008" i="20"/>
  <c r="AF1008" i="20" s="1"/>
  <c r="AG1008" i="20" s="1"/>
  <c r="AD1008" i="20"/>
  <c r="AC1009" i="20"/>
  <c r="AD1009" i="20"/>
  <c r="AC1012" i="20"/>
  <c r="AF1012" i="20" s="1"/>
  <c r="AG1012" i="20" s="1"/>
  <c r="AD1012" i="20"/>
  <c r="AC1013" i="20"/>
  <c r="AD1013" i="20"/>
  <c r="AC1014" i="20"/>
  <c r="AF1014" i="20" s="1"/>
  <c r="AG1014" i="20" s="1"/>
  <c r="AD1014" i="20"/>
  <c r="AC1016" i="20"/>
  <c r="AF1016" i="20" s="1"/>
  <c r="AG1016" i="20" s="1"/>
  <c r="AD1016" i="20"/>
  <c r="AC1017" i="20"/>
  <c r="AD1017" i="20"/>
  <c r="AC1018" i="20"/>
  <c r="AF1018" i="20" s="1"/>
  <c r="AG1018" i="20" s="1"/>
  <c r="AD1018" i="20"/>
  <c r="AC1019" i="20"/>
  <c r="AF1019" i="20" s="1"/>
  <c r="AG1019" i="20" s="1"/>
  <c r="AD1019" i="20"/>
  <c r="AC1020" i="20"/>
  <c r="AF1020" i="20" s="1"/>
  <c r="AG1020" i="20" s="1"/>
  <c r="AD1020" i="20"/>
  <c r="AC1021" i="20"/>
  <c r="AF1021" i="20" s="1"/>
  <c r="AG1021" i="20" s="1"/>
  <c r="AD1021" i="20"/>
  <c r="AC1022" i="20"/>
  <c r="AF1022" i="20" s="1"/>
  <c r="AG1022" i="20" s="1"/>
  <c r="AD1022" i="20"/>
  <c r="AC1023" i="20"/>
  <c r="AF1023" i="20" s="1"/>
  <c r="AG1023" i="20" s="1"/>
  <c r="AD1023" i="20"/>
  <c r="AC1024" i="20"/>
  <c r="AF1024" i="20" s="1"/>
  <c r="AG1024" i="20" s="1"/>
  <c r="AD1024" i="20"/>
  <c r="AC1025" i="20"/>
  <c r="AF1025" i="20" s="1"/>
  <c r="AG1025" i="20" s="1"/>
  <c r="AD1025" i="20"/>
  <c r="AC1027" i="20"/>
  <c r="AF1027" i="20" s="1"/>
  <c r="AG1027" i="20" s="1"/>
  <c r="AD1027" i="20"/>
  <c r="AC1028" i="20"/>
  <c r="AD1028" i="20"/>
  <c r="AC1029" i="20"/>
  <c r="AD1029" i="20"/>
  <c r="AC1030" i="20"/>
  <c r="AF1030" i="20" s="1"/>
  <c r="AG1030" i="20" s="1"/>
  <c r="AD1030" i="20"/>
  <c r="AC1033" i="20"/>
  <c r="AF1033" i="20" s="1"/>
  <c r="AG1033" i="20" s="1"/>
  <c r="AD1033" i="20"/>
  <c r="AC1034" i="20"/>
  <c r="AF1034" i="20" s="1"/>
  <c r="AG1034" i="20" s="1"/>
  <c r="AD1034" i="20"/>
  <c r="AC1035" i="20"/>
  <c r="AF1035" i="20" s="1"/>
  <c r="AG1035" i="20" s="1"/>
  <c r="AD1035" i="20"/>
  <c r="AC1036" i="20"/>
  <c r="AD1036" i="20"/>
  <c r="AC1037" i="20"/>
  <c r="AF1037" i="20" s="1"/>
  <c r="AG1037" i="20" s="1"/>
  <c r="AD1037" i="20"/>
  <c r="AC1038" i="20"/>
  <c r="AF1038" i="20" s="1"/>
  <c r="AG1038" i="20" s="1"/>
  <c r="AD1038" i="20"/>
  <c r="AC1039" i="20"/>
  <c r="AF1039" i="20" s="1"/>
  <c r="AG1039" i="20" s="1"/>
  <c r="AD1039" i="20"/>
  <c r="AC1040" i="20"/>
  <c r="AF1040" i="20" s="1"/>
  <c r="AG1040" i="20" s="1"/>
  <c r="AD1040" i="20"/>
  <c r="AC1041" i="20"/>
  <c r="AF1041" i="20" s="1"/>
  <c r="AG1041" i="20" s="1"/>
  <c r="AD1041" i="20"/>
  <c r="AC1042" i="20"/>
  <c r="AF1042" i="20" s="1"/>
  <c r="AG1042" i="20" s="1"/>
  <c r="AD1042" i="20"/>
  <c r="AC1043" i="20"/>
  <c r="AF1043" i="20" s="1"/>
  <c r="AG1043" i="20" s="1"/>
  <c r="AD1043" i="20"/>
  <c r="AC1044" i="20"/>
  <c r="AD1044" i="20"/>
  <c r="AC1045" i="20"/>
  <c r="AD1045" i="20"/>
  <c r="AC1046" i="20"/>
  <c r="AF1046" i="20" s="1"/>
  <c r="AG1046" i="20" s="1"/>
  <c r="AD1046" i="20"/>
  <c r="AC1047" i="20"/>
  <c r="AF1047" i="20" s="1"/>
  <c r="AG1047" i="20" s="1"/>
  <c r="AD1047" i="20"/>
  <c r="AC1048" i="20"/>
  <c r="AF1048" i="20" s="1"/>
  <c r="AG1048" i="20" s="1"/>
  <c r="AD1048" i="20"/>
  <c r="AC1049" i="20"/>
  <c r="AF1049" i="20" s="1"/>
  <c r="AG1049" i="20" s="1"/>
  <c r="AD1049" i="20"/>
  <c r="AC1050" i="20"/>
  <c r="AF1050" i="20" s="1"/>
  <c r="AG1050" i="20" s="1"/>
  <c r="AD1050" i="20"/>
  <c r="AC1051" i="20"/>
  <c r="AF1051" i="20" s="1"/>
  <c r="AG1051" i="20" s="1"/>
  <c r="AD1051" i="20"/>
  <c r="AC1052" i="20"/>
  <c r="AF1052" i="20" s="1"/>
  <c r="AG1052" i="20" s="1"/>
  <c r="AD1052" i="20"/>
  <c r="AC1055" i="20"/>
  <c r="AF1055" i="20" s="1"/>
  <c r="AG1055" i="20" s="1"/>
  <c r="AD1055" i="20"/>
  <c r="AC1056" i="20"/>
  <c r="AF1056" i="20" s="1"/>
  <c r="AG1056" i="20" s="1"/>
  <c r="AD1056" i="20"/>
  <c r="AC1057" i="20"/>
  <c r="AF1057" i="20" s="1"/>
  <c r="AG1057" i="20" s="1"/>
  <c r="AD1057" i="20"/>
  <c r="AC1058" i="20"/>
  <c r="AF1058" i="20" s="1"/>
  <c r="AG1058" i="20" s="1"/>
  <c r="AD1058" i="20"/>
  <c r="AC1059" i="20"/>
  <c r="AF1059" i="20" s="1"/>
  <c r="AG1059" i="20" s="1"/>
  <c r="AD1059" i="20"/>
  <c r="AC1060" i="20"/>
  <c r="AF1060" i="20" s="1"/>
  <c r="AG1060" i="20" s="1"/>
  <c r="AD1060" i="20"/>
  <c r="AC1061" i="20"/>
  <c r="AF1061" i="20" s="1"/>
  <c r="AG1061" i="20" s="1"/>
  <c r="AD1061" i="20"/>
  <c r="AC1063" i="20"/>
  <c r="AF1063" i="20" s="1"/>
  <c r="AG1063" i="20" s="1"/>
  <c r="AD1063" i="20"/>
  <c r="AC1064" i="20"/>
  <c r="AF1064" i="20" s="1"/>
  <c r="AG1064" i="20" s="1"/>
  <c r="AD1064" i="20"/>
  <c r="AC1065" i="20"/>
  <c r="AD1065" i="20"/>
  <c r="AC1066" i="20"/>
  <c r="AF1066" i="20" s="1"/>
  <c r="AG1066" i="20" s="1"/>
  <c r="AD1066" i="20"/>
  <c r="AC1067" i="20"/>
  <c r="AF1067" i="20" s="1"/>
  <c r="AG1067" i="20" s="1"/>
  <c r="AD1067" i="20"/>
  <c r="AC1068" i="20"/>
  <c r="AF1068" i="20" s="1"/>
  <c r="AG1068" i="20" s="1"/>
  <c r="AD1068" i="20"/>
  <c r="AC1069" i="20"/>
  <c r="AF1069" i="20" s="1"/>
  <c r="AG1069" i="20" s="1"/>
  <c r="AD1069" i="20"/>
  <c r="AC1070" i="20"/>
  <c r="AF1070" i="20" s="1"/>
  <c r="AG1070" i="20" s="1"/>
  <c r="AD1070" i="20"/>
  <c r="AC1071" i="20"/>
  <c r="AF1071" i="20" s="1"/>
  <c r="AG1071" i="20" s="1"/>
  <c r="AD1071" i="20"/>
  <c r="AC1072" i="20"/>
  <c r="AF1072" i="20" s="1"/>
  <c r="AG1072" i="20" s="1"/>
  <c r="AD1072" i="20"/>
  <c r="AC1073" i="20"/>
  <c r="AF1073" i="20" s="1"/>
  <c r="AG1073" i="20" s="1"/>
  <c r="AD1073" i="20"/>
  <c r="AC1075" i="20"/>
  <c r="AF1075" i="20" s="1"/>
  <c r="AG1075" i="20" s="1"/>
  <c r="AD1075" i="20"/>
  <c r="AC1076" i="20"/>
  <c r="AD1076" i="20"/>
  <c r="AC1077" i="20"/>
  <c r="AF1077" i="20" s="1"/>
  <c r="AG1077" i="20" s="1"/>
  <c r="AD1077" i="20"/>
  <c r="AC1078" i="20"/>
  <c r="AF1078" i="20" s="1"/>
  <c r="AG1078" i="20" s="1"/>
  <c r="AD1078" i="20"/>
  <c r="AC1079" i="20"/>
  <c r="AF1079" i="20" s="1"/>
  <c r="AG1079" i="20" s="1"/>
  <c r="AD1079" i="20"/>
  <c r="AC1080" i="20"/>
  <c r="AD1080" i="20"/>
  <c r="AC1081" i="20"/>
  <c r="AD1081" i="20"/>
  <c r="AC1082" i="20"/>
  <c r="AF1082" i="20" s="1"/>
  <c r="AG1082" i="20" s="1"/>
  <c r="AD1082" i="20"/>
  <c r="AC1083" i="20"/>
  <c r="AF1083" i="20" s="1"/>
  <c r="AG1083" i="20" s="1"/>
  <c r="AD1083" i="20"/>
  <c r="AC1084" i="20"/>
  <c r="AF1084" i="20" s="1"/>
  <c r="AG1084" i="20" s="1"/>
  <c r="AD1084" i="20"/>
  <c r="AC1085" i="20"/>
  <c r="AD1085" i="20"/>
  <c r="AC1086" i="20"/>
  <c r="AF1086" i="20" s="1"/>
  <c r="AG1086" i="20" s="1"/>
  <c r="AD1086" i="20"/>
  <c r="AC1087" i="20"/>
  <c r="AF1087" i="20" s="1"/>
  <c r="AG1087" i="20" s="1"/>
  <c r="AD1087" i="20"/>
  <c r="AC1088" i="20"/>
  <c r="AD1088" i="20"/>
  <c r="AC1090" i="20"/>
  <c r="AF1090" i="20" s="1"/>
  <c r="AG1090" i="20" s="1"/>
  <c r="AD1090" i="20"/>
  <c r="AC1091" i="20"/>
  <c r="AF1091" i="20" s="1"/>
  <c r="AG1091" i="20" s="1"/>
  <c r="AD1091" i="20"/>
  <c r="AC1092" i="20"/>
  <c r="AD1092" i="20"/>
  <c r="AC1093" i="20"/>
  <c r="AF1093" i="20" s="1"/>
  <c r="AG1093" i="20" s="1"/>
  <c r="AD1093" i="20"/>
  <c r="AC1094" i="20"/>
  <c r="AF1094" i="20" s="1"/>
  <c r="AG1094" i="20" s="1"/>
  <c r="AD1094" i="20"/>
  <c r="AC1095" i="20"/>
  <c r="AF1095" i="20" s="1"/>
  <c r="AG1095" i="20" s="1"/>
  <c r="AD1095" i="20"/>
  <c r="AC1096" i="20"/>
  <c r="AD1096" i="20"/>
  <c r="AC1097" i="20"/>
  <c r="AD1097" i="20"/>
  <c r="AC1098" i="20"/>
  <c r="AF1098" i="20" s="1"/>
  <c r="AG1098" i="20" s="1"/>
  <c r="AD1098" i="20"/>
  <c r="AC1100" i="20"/>
  <c r="AD1100" i="20"/>
  <c r="AC1102" i="20"/>
  <c r="AF1102" i="20" s="1"/>
  <c r="AG1102" i="20" s="1"/>
  <c r="AD1102" i="20"/>
  <c r="AC1103" i="20"/>
  <c r="AF1103" i="20" s="1"/>
  <c r="AG1103" i="20" s="1"/>
  <c r="AD1103" i="20"/>
  <c r="AC1104" i="20"/>
  <c r="AF1104" i="20" s="1"/>
  <c r="AG1104" i="20" s="1"/>
  <c r="AD1104" i="20"/>
  <c r="AC1105" i="20"/>
  <c r="AD1105" i="20"/>
  <c r="AC1106" i="20"/>
  <c r="AF1106" i="20" s="1"/>
  <c r="AG1106" i="20" s="1"/>
  <c r="AD1106" i="20"/>
  <c r="AC1107" i="20"/>
  <c r="AF1107" i="20" s="1"/>
  <c r="AG1107" i="20" s="1"/>
  <c r="AD1107" i="20"/>
  <c r="AC1108" i="20"/>
  <c r="AD1108" i="20"/>
  <c r="AC1109" i="20"/>
  <c r="AF1109" i="20" s="1"/>
  <c r="AG1109" i="20" s="1"/>
  <c r="AD1109" i="20"/>
  <c r="AC1111" i="20"/>
  <c r="AF1111" i="20" s="1"/>
  <c r="AG1111" i="20" s="1"/>
  <c r="AD1111" i="20"/>
  <c r="AC1112" i="20"/>
  <c r="AF1112" i="20" s="1"/>
  <c r="AG1112" i="20" s="1"/>
  <c r="AD1112" i="20"/>
  <c r="AC1113" i="20"/>
  <c r="AD1113" i="20"/>
  <c r="AC1114" i="20"/>
  <c r="AF1114" i="20" s="1"/>
  <c r="AG1114" i="20" s="1"/>
  <c r="AD1114" i="20"/>
  <c r="AC1115" i="20"/>
  <c r="AF1115" i="20" s="1"/>
  <c r="AG1115" i="20" s="1"/>
  <c r="AD1115" i="20"/>
  <c r="AC1116" i="20"/>
  <c r="AD1116" i="20"/>
  <c r="AC1117" i="20"/>
  <c r="AF1117" i="20" s="1"/>
  <c r="AG1117" i="20" s="1"/>
  <c r="AD1117" i="20"/>
  <c r="AC1118" i="20"/>
  <c r="AF1118" i="20" s="1"/>
  <c r="AG1118" i="20" s="1"/>
  <c r="AD1118" i="20"/>
  <c r="AC1119" i="20"/>
  <c r="AF1119" i="20" s="1"/>
  <c r="AG1119" i="20" s="1"/>
  <c r="AD1119" i="20"/>
  <c r="AC1120" i="20"/>
  <c r="AF1120" i="20" s="1"/>
  <c r="AG1120" i="20" s="1"/>
  <c r="AD1120" i="20"/>
  <c r="AC1121" i="20"/>
  <c r="AD1121" i="20"/>
  <c r="AC1122" i="20"/>
  <c r="AF1122" i="20" s="1"/>
  <c r="AG1122" i="20" s="1"/>
  <c r="AD1122" i="20"/>
  <c r="AC1123" i="20"/>
  <c r="AD1123" i="20"/>
  <c r="AC1124" i="20"/>
  <c r="AD1124" i="20"/>
  <c r="AC1125" i="20"/>
  <c r="AF1125" i="20" s="1"/>
  <c r="AG1125" i="20" s="1"/>
  <c r="AD1125" i="20"/>
  <c r="AC1126" i="20"/>
  <c r="AF1126" i="20" s="1"/>
  <c r="AG1126" i="20" s="1"/>
  <c r="AD1126" i="20"/>
  <c r="AC1127" i="20"/>
  <c r="AD1127" i="20"/>
  <c r="AC1128" i="20"/>
  <c r="AD1128" i="20"/>
  <c r="AC1129" i="20"/>
  <c r="AD1129" i="20"/>
  <c r="AC1130" i="20"/>
  <c r="AF1130" i="20" s="1"/>
  <c r="AG1130" i="20" s="1"/>
  <c r="AD1130" i="20"/>
  <c r="AC1131" i="20"/>
  <c r="AD1131" i="20"/>
  <c r="AC1132" i="20"/>
  <c r="AD1132" i="20"/>
  <c r="AC1133" i="20"/>
  <c r="AD1133" i="20"/>
  <c r="AC1134" i="20"/>
  <c r="AF1134" i="20" s="1"/>
  <c r="AG1134" i="20" s="1"/>
  <c r="AD1134" i="20"/>
  <c r="AC1135" i="20"/>
  <c r="AD1135" i="20"/>
  <c r="AC1136" i="20"/>
  <c r="AD1136" i="20"/>
  <c r="AC1138" i="20"/>
  <c r="AF1138" i="20" s="1"/>
  <c r="AG1138" i="20" s="1"/>
  <c r="AD1138" i="20"/>
  <c r="AC1139" i="20"/>
  <c r="AD1139" i="20"/>
  <c r="AC1142" i="20"/>
  <c r="AF1142" i="20" s="1"/>
  <c r="AG1142" i="20" s="1"/>
  <c r="AD1142" i="20"/>
  <c r="AC1143" i="20"/>
  <c r="AD1143" i="20"/>
  <c r="AC1144" i="20"/>
  <c r="AF1144" i="20" s="1"/>
  <c r="AG1144" i="20" s="1"/>
  <c r="AD1144" i="20"/>
  <c r="AC1145" i="20"/>
  <c r="AD1145" i="20"/>
  <c r="AC1146" i="20"/>
  <c r="AF1146" i="20" s="1"/>
  <c r="AD1146" i="20"/>
  <c r="AC1147" i="20"/>
  <c r="AF1147" i="20" s="1"/>
  <c r="AD1147" i="20"/>
  <c r="AC1148" i="20"/>
  <c r="AD1148" i="20"/>
  <c r="AC1149" i="20"/>
  <c r="AF1149" i="20" s="1"/>
  <c r="AG1149" i="20" s="1"/>
  <c r="AD1149" i="20"/>
  <c r="AC1150" i="20"/>
  <c r="AD1150" i="20"/>
  <c r="AC1151" i="20"/>
  <c r="AD1151" i="20"/>
  <c r="AC1152" i="20"/>
  <c r="AD1152" i="20"/>
  <c r="AC1153" i="20"/>
  <c r="AD1153" i="20"/>
  <c r="AC1154" i="20"/>
  <c r="AD1154" i="20"/>
  <c r="AC1156" i="20"/>
  <c r="AF1156" i="20" s="1"/>
  <c r="AG1156" i="20" s="1"/>
  <c r="AD1156" i="20"/>
  <c r="AC1157" i="20"/>
  <c r="AF1157" i="20" s="1"/>
  <c r="AG1157" i="20" s="1"/>
  <c r="AD1157" i="20"/>
  <c r="AC1159" i="20"/>
  <c r="AF1159" i="20" s="1"/>
  <c r="AD1159" i="20"/>
  <c r="AC1162" i="20"/>
  <c r="AD1162" i="20"/>
  <c r="AC1163" i="20"/>
  <c r="AF1163" i="20" s="1"/>
  <c r="AG1163" i="20" s="1"/>
  <c r="AD1163" i="20"/>
  <c r="AC1164" i="20"/>
  <c r="AF1164" i="20" s="1"/>
  <c r="AG1164" i="20" s="1"/>
  <c r="AD1164" i="20"/>
  <c r="AC1165" i="20"/>
  <c r="AF1165" i="20" s="1"/>
  <c r="AG1165" i="20" s="1"/>
  <c r="AD1165" i="20"/>
  <c r="AC1166" i="20"/>
  <c r="AD1166" i="20"/>
  <c r="AC1167" i="20"/>
  <c r="AD1167" i="20"/>
  <c r="AC1168" i="20"/>
  <c r="AF1168" i="20" s="1"/>
  <c r="AG1168" i="20" s="1"/>
  <c r="AD1168" i="20"/>
  <c r="AC1169" i="20"/>
  <c r="AF1169" i="20" s="1"/>
  <c r="AG1169" i="20" s="1"/>
  <c r="AD1169" i="20"/>
  <c r="AC1170" i="20"/>
  <c r="AD1170" i="20"/>
  <c r="AC1171" i="20"/>
  <c r="AD1171" i="20"/>
  <c r="AC1172" i="20"/>
  <c r="AD1172" i="20"/>
  <c r="AC1173" i="20"/>
  <c r="AF1173" i="20" s="1"/>
  <c r="AG1173" i="20" s="1"/>
  <c r="AD1173" i="20"/>
  <c r="AC1175" i="20"/>
  <c r="AF1175" i="20" s="1"/>
  <c r="AD1175" i="20"/>
  <c r="AC1176" i="20"/>
  <c r="AF1176" i="20" s="1"/>
  <c r="AG1176" i="20" s="1"/>
  <c r="AD1176" i="20"/>
  <c r="AC1177" i="20"/>
  <c r="AF1177" i="20" s="1"/>
  <c r="AG1177" i="20" s="1"/>
  <c r="AD1177" i="20"/>
  <c r="AC1178" i="20"/>
  <c r="AD1178" i="20"/>
  <c r="AC1179" i="20"/>
  <c r="AF1179" i="20" s="1"/>
  <c r="AG1179" i="20" s="1"/>
  <c r="AD1179" i="20"/>
  <c r="AC1180" i="20"/>
  <c r="AD1180" i="20"/>
  <c r="AC1181" i="20"/>
  <c r="AF1181" i="20" s="1"/>
  <c r="AG1181" i="20" s="1"/>
  <c r="AD1181" i="20"/>
  <c r="AC1182" i="20"/>
  <c r="AD1182" i="20"/>
  <c r="AC1183" i="20"/>
  <c r="AD1183" i="20"/>
  <c r="AC1185" i="20"/>
  <c r="AF1185" i="20" s="1"/>
  <c r="AG1185" i="20" s="1"/>
  <c r="AD1185" i="20"/>
  <c r="AC1186" i="20"/>
  <c r="AF1186" i="20" s="1"/>
  <c r="AD1186" i="20"/>
  <c r="AC1187" i="20"/>
  <c r="AD1187" i="20"/>
  <c r="AC1188" i="20"/>
  <c r="AD1188" i="20"/>
  <c r="AC1189" i="20"/>
  <c r="AD1189" i="20"/>
  <c r="AC1190" i="20"/>
  <c r="AD1190" i="20"/>
  <c r="AC1191" i="20"/>
  <c r="AF1191" i="20" s="1"/>
  <c r="AG1191" i="20" s="1"/>
  <c r="AD1191" i="20"/>
  <c r="AC1192" i="20"/>
  <c r="AD1192" i="20"/>
  <c r="AC1193" i="20"/>
  <c r="AF1193" i="20" s="1"/>
  <c r="AG1193" i="20" s="1"/>
  <c r="AD1193" i="20"/>
  <c r="AC1194" i="20"/>
  <c r="AF1194" i="20" s="1"/>
  <c r="AD1194" i="20"/>
  <c r="AC1195" i="20"/>
  <c r="AF1195" i="20" s="1"/>
  <c r="AD1195" i="20"/>
  <c r="AC1196" i="20"/>
  <c r="AF1196" i="20" s="1"/>
  <c r="AG1196" i="20" s="1"/>
  <c r="AD1196" i="20"/>
  <c r="AC1197" i="20"/>
  <c r="AF1197" i="20" s="1"/>
  <c r="AG1197" i="20" s="1"/>
  <c r="AD1197" i="20"/>
  <c r="AC1198" i="20"/>
  <c r="AF1198" i="20" s="1"/>
  <c r="AD1198" i="20"/>
  <c r="AC1199" i="20"/>
  <c r="AD1199" i="20"/>
  <c r="AC1200" i="20"/>
  <c r="AF1200" i="20" s="1"/>
  <c r="AG1200" i="20" s="1"/>
  <c r="AD1200" i="20"/>
  <c r="AC1201" i="20"/>
  <c r="AD1201" i="20"/>
  <c r="AC1202" i="20"/>
  <c r="AF1202" i="20" s="1"/>
  <c r="AD1202" i="20"/>
  <c r="AC1203" i="20"/>
  <c r="AD1203" i="20"/>
  <c r="AC1204" i="20"/>
  <c r="AD1204" i="20"/>
  <c r="AC1205" i="20"/>
  <c r="AD1205" i="20"/>
  <c r="AC1206" i="20"/>
  <c r="AD1206" i="20"/>
  <c r="AC1207" i="20"/>
  <c r="AF1207" i="20" s="1"/>
  <c r="AG1207" i="20" s="1"/>
  <c r="AD1207" i="20"/>
  <c r="AC1208" i="20"/>
  <c r="AF1208" i="20" s="1"/>
  <c r="AG1208" i="20" s="1"/>
  <c r="AD1208" i="20"/>
  <c r="AC1209" i="20"/>
  <c r="AF1209" i="20" s="1"/>
  <c r="AG1209" i="20" s="1"/>
  <c r="AD1209" i="20"/>
  <c r="AC1210" i="20"/>
  <c r="AF1210" i="20" s="1"/>
  <c r="AD1210" i="20"/>
  <c r="AC1211" i="20"/>
  <c r="AD1211" i="20"/>
  <c r="AC1212" i="20"/>
  <c r="AF1212" i="20" s="1"/>
  <c r="AG1212" i="20" s="1"/>
  <c r="AD1212" i="20"/>
  <c r="AC1213" i="20"/>
  <c r="AF1213" i="20" s="1"/>
  <c r="AG1213" i="20" s="1"/>
  <c r="AD1213" i="20"/>
  <c r="AC1214" i="20"/>
  <c r="AF1214" i="20" s="1"/>
  <c r="AD1214" i="20"/>
  <c r="AC1215" i="20"/>
  <c r="AD1215" i="20"/>
  <c r="AC1216" i="20"/>
  <c r="AF1216" i="20" s="1"/>
  <c r="AG1216" i="20" s="1"/>
  <c r="AD1216" i="20"/>
  <c r="AC1217" i="20"/>
  <c r="AD1217" i="20"/>
  <c r="AC1218" i="20"/>
  <c r="AF1218" i="20" s="1"/>
  <c r="AD1218" i="20"/>
  <c r="AC1219" i="20"/>
  <c r="AD1219" i="20"/>
  <c r="AC1220" i="20"/>
  <c r="AD1220" i="20"/>
  <c r="AC1221" i="20"/>
  <c r="AF1221" i="20" s="1"/>
  <c r="AG1221" i="20" s="1"/>
  <c r="AD1221" i="20"/>
  <c r="AC1222" i="20"/>
  <c r="AF1222" i="20" s="1"/>
  <c r="AD1222" i="20"/>
  <c r="AC1223" i="20"/>
  <c r="AF1223" i="20" s="1"/>
  <c r="AG1223" i="20" s="1"/>
  <c r="AD1223" i="20"/>
  <c r="AC1224" i="20"/>
  <c r="AD1224" i="20"/>
  <c r="AC1225" i="20"/>
  <c r="AF1225" i="20" s="1"/>
  <c r="AG1225" i="20" s="1"/>
  <c r="AD1225" i="20"/>
  <c r="AC1227" i="20"/>
  <c r="AF1227" i="20" s="1"/>
  <c r="AD1227" i="20"/>
  <c r="AC1228" i="20"/>
  <c r="AF1228" i="20" s="1"/>
  <c r="AG1228" i="20" s="1"/>
  <c r="AD1228" i="20"/>
  <c r="AC1229" i="20"/>
  <c r="AF1229" i="20" s="1"/>
  <c r="AG1229" i="20" s="1"/>
  <c r="AD1229" i="20"/>
  <c r="AC1230" i="20"/>
  <c r="AF1230" i="20" s="1"/>
  <c r="AD1230" i="20"/>
  <c r="AC1231" i="20"/>
  <c r="AD1231" i="20"/>
  <c r="AC1232" i="20"/>
  <c r="AF1232" i="20" s="1"/>
  <c r="AG1232" i="20" s="1"/>
  <c r="AD1232" i="20"/>
  <c r="AC1233" i="20"/>
  <c r="AF1233" i="20" s="1"/>
  <c r="AG1233" i="20" s="1"/>
  <c r="AD1233" i="20"/>
  <c r="AC1234" i="20"/>
  <c r="AF1234" i="20" s="1"/>
  <c r="AD1234" i="20"/>
  <c r="AC1235" i="20"/>
  <c r="AD1235" i="20"/>
  <c r="AC1236" i="20"/>
  <c r="AF1236" i="20" s="1"/>
  <c r="AG1236" i="20" s="1"/>
  <c r="AD1236" i="20"/>
  <c r="AC1237" i="20"/>
  <c r="AF1237" i="20" s="1"/>
  <c r="AG1237" i="20" s="1"/>
  <c r="AD1237" i="20"/>
  <c r="AC1238" i="20"/>
  <c r="AD1238" i="20"/>
  <c r="AC1239" i="20"/>
  <c r="AF1239" i="20" s="1"/>
  <c r="AG1239" i="20" s="1"/>
  <c r="AD1239" i="20"/>
  <c r="AC1240" i="20"/>
  <c r="AD1240" i="20"/>
  <c r="AC1241" i="20"/>
  <c r="AF1241" i="20" s="1"/>
  <c r="AG1241" i="20" s="1"/>
  <c r="AD1241" i="20"/>
  <c r="AC1242" i="20"/>
  <c r="AF1242" i="20" s="1"/>
  <c r="AD1242" i="20"/>
  <c r="AC1243" i="20"/>
  <c r="AF1243" i="20" s="1"/>
  <c r="AD1243" i="20"/>
  <c r="AC1244" i="20"/>
  <c r="AF1244" i="20" s="1"/>
  <c r="AG1244" i="20" s="1"/>
  <c r="AD1244" i="20"/>
  <c r="AC1245" i="20"/>
  <c r="AF1245" i="20" s="1"/>
  <c r="AG1245" i="20" s="1"/>
  <c r="AD1245" i="20"/>
  <c r="AC1246" i="20"/>
  <c r="AF1246" i="20" s="1"/>
  <c r="AD1246" i="20"/>
  <c r="AC1247" i="20"/>
  <c r="AD1247" i="20"/>
  <c r="AC1248" i="20"/>
  <c r="AF1248" i="20" s="1"/>
  <c r="AG1248" i="20" s="1"/>
  <c r="AD1248" i="20"/>
  <c r="AC1249" i="20"/>
  <c r="AD1249" i="20"/>
  <c r="AC1250" i="20"/>
  <c r="AF1250" i="20" s="1"/>
  <c r="AG1250" i="20" s="1"/>
  <c r="AD1250" i="20"/>
  <c r="AC1251" i="20"/>
  <c r="AD1251" i="20"/>
  <c r="AC1252" i="20"/>
  <c r="AD1252" i="20"/>
  <c r="AC1253" i="20"/>
  <c r="AD1253" i="20"/>
  <c r="AC1254" i="20"/>
  <c r="AD1254" i="20"/>
  <c r="AC1255" i="20"/>
  <c r="AF1255" i="20" s="1"/>
  <c r="AG1255" i="20" s="1"/>
  <c r="AD1255" i="20"/>
  <c r="AC1256" i="20"/>
  <c r="AF1256" i="20" s="1"/>
  <c r="AG1256" i="20" s="1"/>
  <c r="AD1256" i="20"/>
  <c r="AC1257" i="20"/>
  <c r="AF1257" i="20" s="1"/>
  <c r="AG1257" i="20" s="1"/>
  <c r="AD1257" i="20"/>
  <c r="AC1258" i="20"/>
  <c r="AF1258" i="20" s="1"/>
  <c r="AD1258" i="20"/>
  <c r="AC1259" i="20"/>
  <c r="AF1259" i="20" s="1"/>
  <c r="AD1259" i="20"/>
  <c r="AC1261" i="20"/>
  <c r="AF1261" i="20" s="1"/>
  <c r="AG1261" i="20" s="1"/>
  <c r="AD1261" i="20"/>
  <c r="AC1262" i="20"/>
  <c r="AF1262" i="20" s="1"/>
  <c r="AD1262" i="20"/>
  <c r="AC1263" i="20"/>
  <c r="AD1263" i="20"/>
  <c r="AC1264" i="20"/>
  <c r="AF1264" i="20" s="1"/>
  <c r="AG1264" i="20" s="1"/>
  <c r="AD1264" i="20"/>
  <c r="AC1265" i="20"/>
  <c r="AF1265" i="20" s="1"/>
  <c r="AG1265" i="20" s="1"/>
  <c r="AD1265" i="20"/>
  <c r="AC1266" i="20"/>
  <c r="AD1266" i="20"/>
  <c r="AC1267" i="20"/>
  <c r="AD1267" i="20"/>
  <c r="AC1268" i="20"/>
  <c r="AD1268" i="20"/>
  <c r="AC1269" i="20"/>
  <c r="AD1269" i="20"/>
  <c r="AC1270" i="20"/>
  <c r="AD1270" i="20"/>
  <c r="AC1271" i="20"/>
  <c r="AF1271" i="20" s="1"/>
  <c r="AG1271" i="20" s="1"/>
  <c r="AD1271" i="20"/>
  <c r="AC1272" i="20"/>
  <c r="AF1272" i="20" s="1"/>
  <c r="AG1272" i="20" s="1"/>
  <c r="AD1272" i="20"/>
  <c r="AC1273" i="20"/>
  <c r="AF1273" i="20" s="1"/>
  <c r="AG1273" i="20" s="1"/>
  <c r="AD1273" i="20"/>
  <c r="AC1274" i="20"/>
  <c r="AF1274" i="20" s="1"/>
  <c r="AD1274" i="20"/>
  <c r="AC1275" i="20"/>
  <c r="AF1275" i="20" s="1"/>
  <c r="AD1275" i="20"/>
  <c r="AC1276" i="20"/>
  <c r="AD1276" i="20"/>
  <c r="AC1277" i="20"/>
  <c r="AF1277" i="20" s="1"/>
  <c r="AG1277" i="20" s="1"/>
  <c r="AD1277" i="20"/>
  <c r="AC1278" i="20"/>
  <c r="AF1278" i="20" s="1"/>
  <c r="AD1278" i="20"/>
  <c r="AC1279" i="20"/>
  <c r="AD1279" i="20"/>
  <c r="AC1280" i="20"/>
  <c r="AF1280" i="20" s="1"/>
  <c r="AG1280" i="20" s="1"/>
  <c r="AD1280" i="20"/>
  <c r="AC1281" i="20"/>
  <c r="AD1281" i="20"/>
  <c r="AC1282" i="20"/>
  <c r="AF1282" i="20" s="1"/>
  <c r="AD1282" i="20"/>
  <c r="AC1283" i="20"/>
  <c r="AD1283" i="20"/>
  <c r="AC1284" i="20"/>
  <c r="AF1284" i="20" s="1"/>
  <c r="AG1284" i="20" s="1"/>
  <c r="AD1284" i="20"/>
  <c r="AC1285" i="20"/>
  <c r="AF1285" i="20" s="1"/>
  <c r="AG1285" i="20" s="1"/>
  <c r="AD1285" i="20"/>
  <c r="AC1286" i="20"/>
  <c r="AF1286" i="20" s="1"/>
  <c r="AD1286" i="20"/>
  <c r="AC1287" i="20"/>
  <c r="AF1287" i="20" s="1"/>
  <c r="AG1287" i="20" s="1"/>
  <c r="AD1287" i="20"/>
  <c r="AC1288" i="20"/>
  <c r="AD1288" i="20"/>
  <c r="AC1289" i="20"/>
  <c r="AF1289" i="20" s="1"/>
  <c r="AG1289" i="20" s="1"/>
  <c r="AD1289" i="20"/>
  <c r="AC1290" i="20"/>
  <c r="AF1290" i="20" s="1"/>
  <c r="AD1290" i="20"/>
  <c r="AC1291" i="20"/>
  <c r="AF1291" i="20" s="1"/>
  <c r="AD1291" i="20"/>
  <c r="AC1292" i="20"/>
  <c r="AF1292" i="20" s="1"/>
  <c r="AG1292" i="20" s="1"/>
  <c r="AD1292" i="20"/>
  <c r="AC1293" i="20"/>
  <c r="AF1293" i="20" s="1"/>
  <c r="AG1293" i="20" s="1"/>
  <c r="AD1293" i="20"/>
  <c r="AC1294" i="20"/>
  <c r="AF1294" i="20" s="1"/>
  <c r="AD1294" i="20"/>
  <c r="AC1295" i="20"/>
  <c r="AF1295" i="20" s="1"/>
  <c r="AG1295" i="20" s="1"/>
  <c r="AD1295" i="20"/>
  <c r="AC1296" i="20"/>
  <c r="AD1296" i="20"/>
  <c r="AC1297" i="20"/>
  <c r="AF1297" i="20" s="1"/>
  <c r="AG1297" i="20" s="1"/>
  <c r="AD1297" i="20"/>
  <c r="AC1298" i="20"/>
  <c r="AF1298" i="20" s="1"/>
  <c r="AG1298" i="20" s="1"/>
  <c r="AD1298" i="20"/>
  <c r="AC1299" i="20"/>
  <c r="AF1299" i="20" s="1"/>
  <c r="AG1299" i="20" s="1"/>
  <c r="AD1299" i="20"/>
  <c r="AC1300" i="20"/>
  <c r="AF1300" i="20" s="1"/>
  <c r="AG1300" i="20" s="1"/>
  <c r="AD1300" i="20"/>
  <c r="AC1301" i="20"/>
  <c r="AD1301" i="20"/>
  <c r="AC1302" i="20"/>
  <c r="AF1302" i="20" s="1"/>
  <c r="AG1302" i="20" s="1"/>
  <c r="AD1302" i="20"/>
  <c r="AC1303" i="20"/>
  <c r="AF1303" i="20" s="1"/>
  <c r="AG1303" i="20" s="1"/>
  <c r="AD1303" i="20"/>
  <c r="AC1304" i="20"/>
  <c r="AF1304" i="20" s="1"/>
  <c r="AG1304" i="20" s="1"/>
  <c r="AD1304" i="20"/>
  <c r="AC1305" i="20"/>
  <c r="AD1305" i="20"/>
  <c r="AC1306" i="20"/>
  <c r="AF1306" i="20" s="1"/>
  <c r="AG1306" i="20" s="1"/>
  <c r="AD1306" i="20"/>
  <c r="AC1307" i="20"/>
  <c r="AF1307" i="20" s="1"/>
  <c r="AG1307" i="20" s="1"/>
  <c r="AD1307" i="20"/>
  <c r="AC1309" i="20"/>
  <c r="AD1309" i="20"/>
  <c r="AC1310" i="20"/>
  <c r="AF1310" i="20" s="1"/>
  <c r="AG1310" i="20" s="1"/>
  <c r="AD1310" i="20"/>
  <c r="AC1311" i="20"/>
  <c r="AF1311" i="20" s="1"/>
  <c r="AG1311" i="20" s="1"/>
  <c r="AD1311" i="20"/>
  <c r="AC1312" i="20"/>
  <c r="AF1312" i="20" s="1"/>
  <c r="AG1312" i="20" s="1"/>
  <c r="AD1312" i="20"/>
  <c r="AC1313" i="20"/>
  <c r="AF1313" i="20" s="1"/>
  <c r="AG1313" i="20" s="1"/>
  <c r="AD1313" i="20"/>
  <c r="AC1315" i="20"/>
  <c r="AF1315" i="20" s="1"/>
  <c r="AG1315" i="20" s="1"/>
  <c r="AD1315" i="20"/>
  <c r="AC1317" i="20"/>
  <c r="AD1317" i="20"/>
  <c r="AC1318" i="20"/>
  <c r="AF1318" i="20" s="1"/>
  <c r="AG1318" i="20" s="1"/>
  <c r="AD1318" i="20"/>
  <c r="AC1319" i="20"/>
  <c r="AF1319" i="20" s="1"/>
  <c r="AG1319" i="20" s="1"/>
  <c r="AD1319" i="20"/>
  <c r="AC1320" i="20"/>
  <c r="AD1320" i="20"/>
  <c r="AC1321" i="20"/>
  <c r="AF1321" i="20" s="1"/>
  <c r="AG1321" i="20" s="1"/>
  <c r="AD1321" i="20"/>
  <c r="AC1322" i="20"/>
  <c r="AF1322" i="20" s="1"/>
  <c r="AG1322" i="20" s="1"/>
  <c r="AD1322" i="20"/>
  <c r="AC1323" i="20"/>
  <c r="AF1323" i="20" s="1"/>
  <c r="AG1323" i="20" s="1"/>
  <c r="AD1323" i="20"/>
  <c r="AC1324" i="20"/>
  <c r="AD1324" i="20"/>
  <c r="AC1325" i="20"/>
  <c r="AD1325" i="20"/>
  <c r="AC1326" i="20"/>
  <c r="AF1326" i="20" s="1"/>
  <c r="AG1326" i="20" s="1"/>
  <c r="AD1326" i="20"/>
  <c r="AC1327" i="20"/>
  <c r="AF1327" i="20" s="1"/>
  <c r="AG1327" i="20" s="1"/>
  <c r="AD1327" i="20"/>
  <c r="AC1329" i="20"/>
  <c r="AF1329" i="20" s="1"/>
  <c r="AG1329" i="20" s="1"/>
  <c r="AD1329" i="20"/>
  <c r="AC1330" i="20"/>
  <c r="AF1330" i="20" s="1"/>
  <c r="AG1330" i="20" s="1"/>
  <c r="AD1330" i="20"/>
  <c r="AC1331" i="20"/>
  <c r="AF1331" i="20" s="1"/>
  <c r="AG1331" i="20" s="1"/>
  <c r="AD1331" i="20"/>
  <c r="AC1332" i="20"/>
  <c r="AF1332" i="20" s="1"/>
  <c r="AG1332" i="20" s="1"/>
  <c r="AD1332" i="20"/>
  <c r="AC1333" i="20"/>
  <c r="AD1333" i="20"/>
  <c r="AC1335" i="20"/>
  <c r="AF1335" i="20" s="1"/>
  <c r="AG1335" i="20" s="1"/>
  <c r="AD1335" i="20"/>
  <c r="AC1336" i="20"/>
  <c r="AF1336" i="20" s="1"/>
  <c r="AG1336" i="20" s="1"/>
  <c r="AD1336" i="20"/>
  <c r="AC1337" i="20"/>
  <c r="AD1337" i="20"/>
  <c r="AC1338" i="20"/>
  <c r="AF1338" i="20" s="1"/>
  <c r="AG1338" i="20" s="1"/>
  <c r="AD1338" i="20"/>
  <c r="AC1339" i="20"/>
  <c r="AF1339" i="20" s="1"/>
  <c r="AG1339" i="20" s="1"/>
  <c r="AD1339" i="20"/>
  <c r="AC1340" i="20"/>
  <c r="AD1340" i="20"/>
  <c r="AC1341" i="20"/>
  <c r="AF1341" i="20" s="1"/>
  <c r="AG1341" i="20" s="1"/>
  <c r="AD1341" i="20"/>
  <c r="AC1342" i="20"/>
  <c r="AF1342" i="20" s="1"/>
  <c r="AG1342" i="20" s="1"/>
  <c r="AD1342" i="20"/>
  <c r="AC1343" i="20"/>
  <c r="AF1343" i="20" s="1"/>
  <c r="AG1343" i="20" s="1"/>
  <c r="AD1343" i="20"/>
  <c r="AC1344" i="20"/>
  <c r="AF1344" i="20" s="1"/>
  <c r="AG1344" i="20" s="1"/>
  <c r="AD1344" i="20"/>
  <c r="AC1345" i="20"/>
  <c r="AF1345" i="20" s="1"/>
  <c r="AG1345" i="20" s="1"/>
  <c r="AD1345" i="20"/>
  <c r="AC1346" i="20"/>
  <c r="AF1346" i="20" s="1"/>
  <c r="AG1346" i="20" s="1"/>
  <c r="AD1346" i="20"/>
  <c r="AC1347" i="20"/>
  <c r="AF1347" i="20" s="1"/>
  <c r="AG1347" i="20" s="1"/>
  <c r="AD1347" i="20"/>
  <c r="AC1348" i="20"/>
  <c r="AF1348" i="20" s="1"/>
  <c r="AG1348" i="20" s="1"/>
  <c r="AD1348" i="20"/>
  <c r="AC1349" i="20"/>
  <c r="AD1349" i="20"/>
  <c r="AC1350" i="20"/>
  <c r="AF1350" i="20" s="1"/>
  <c r="AG1350" i="20" s="1"/>
  <c r="AD1350" i="20"/>
  <c r="AC1351" i="20"/>
  <c r="AF1351" i="20" s="1"/>
  <c r="AG1351" i="20" s="1"/>
  <c r="AD1351" i="20"/>
  <c r="AC1352" i="20"/>
  <c r="AF1352" i="20" s="1"/>
  <c r="AG1352" i="20" s="1"/>
  <c r="AD1352" i="20"/>
  <c r="AC1353" i="20"/>
  <c r="AD1353" i="20"/>
  <c r="AC1354" i="20"/>
  <c r="AF1354" i="20" s="1"/>
  <c r="AG1354" i="20" s="1"/>
  <c r="AD1354" i="20"/>
  <c r="AC1356" i="20"/>
  <c r="AF1356" i="20" s="1"/>
  <c r="AG1356" i="20" s="1"/>
  <c r="AD1356" i="20"/>
  <c r="AC1357" i="20"/>
  <c r="AD1357" i="20"/>
  <c r="AC1358" i="20"/>
  <c r="AF1358" i="20" s="1"/>
  <c r="AG1358" i="20" s="1"/>
  <c r="AD1358" i="20"/>
  <c r="AC1359" i="20"/>
  <c r="AF1359" i="20" s="1"/>
  <c r="AG1359" i="20" s="1"/>
  <c r="AD1359" i="20"/>
  <c r="AC1360" i="20"/>
  <c r="AD1360" i="20"/>
  <c r="AC1362" i="20"/>
  <c r="AF1362" i="20" s="1"/>
  <c r="AG1362" i="20" s="1"/>
  <c r="AD1362" i="20"/>
  <c r="AC1363" i="20"/>
  <c r="AF1363" i="20" s="1"/>
  <c r="AG1363" i="20" s="1"/>
  <c r="AD1363" i="20"/>
  <c r="AC1364" i="20"/>
  <c r="AD1364" i="20"/>
  <c r="AC1365" i="20"/>
  <c r="AD1365" i="20"/>
  <c r="AC1367" i="20"/>
  <c r="AF1367" i="20" s="1"/>
  <c r="AG1367" i="20" s="1"/>
  <c r="AD1367" i="20"/>
  <c r="AC1368" i="20"/>
  <c r="AF1368" i="20" s="1"/>
  <c r="AG1368" i="20" s="1"/>
  <c r="AD1368" i="20"/>
  <c r="AC1369" i="20"/>
  <c r="AD1369" i="20"/>
  <c r="AC1370" i="20"/>
  <c r="AF1370" i="20" s="1"/>
  <c r="AG1370" i="20" s="1"/>
  <c r="AD1370" i="20"/>
  <c r="AC1371" i="20"/>
  <c r="AF1371" i="20" s="1"/>
  <c r="AG1371" i="20" s="1"/>
  <c r="AD1371" i="20"/>
  <c r="AC1372" i="20"/>
  <c r="AD1372" i="20"/>
  <c r="AC1373" i="20"/>
  <c r="AD1373" i="20"/>
  <c r="AC1374" i="20"/>
  <c r="AF1374" i="20" s="1"/>
  <c r="AG1374" i="20" s="1"/>
  <c r="AD1374" i="20"/>
  <c r="AC1375" i="20"/>
  <c r="AF1375" i="20" s="1"/>
  <c r="AG1375" i="20" s="1"/>
  <c r="AD1375" i="20"/>
  <c r="AC1376" i="20"/>
  <c r="AF1376" i="20" s="1"/>
  <c r="AG1376" i="20" s="1"/>
  <c r="AD1376" i="20"/>
  <c r="AC1377" i="20"/>
  <c r="AF1377" i="20" s="1"/>
  <c r="AG1377" i="20" s="1"/>
  <c r="AD1377" i="20"/>
  <c r="AC1378" i="20"/>
  <c r="AF1378" i="20" s="1"/>
  <c r="AG1378" i="20" s="1"/>
  <c r="AD1378" i="20"/>
  <c r="AC1379" i="20"/>
  <c r="AF1379" i="20" s="1"/>
  <c r="AG1379" i="20" s="1"/>
  <c r="AD1379" i="20"/>
  <c r="AC1380" i="20"/>
  <c r="AF1380" i="20" s="1"/>
  <c r="AG1380" i="20" s="1"/>
  <c r="AD1380" i="20"/>
  <c r="AC1381" i="20"/>
  <c r="AF1381" i="20" s="1"/>
  <c r="AG1381" i="20" s="1"/>
  <c r="AD1381" i="20"/>
  <c r="AC1382" i="20"/>
  <c r="AF1382" i="20" s="1"/>
  <c r="AG1382" i="20" s="1"/>
  <c r="AD1382" i="20"/>
  <c r="AC1383" i="20"/>
  <c r="AF1383" i="20" s="1"/>
  <c r="AG1383" i="20" s="1"/>
  <c r="AD1383" i="20"/>
  <c r="AC1384" i="20"/>
  <c r="AD1384" i="20"/>
  <c r="AC1385" i="20"/>
  <c r="AF1385" i="20" s="1"/>
  <c r="AG1385" i="20" s="1"/>
  <c r="AD1385" i="20"/>
  <c r="AC1386" i="20"/>
  <c r="AF1386" i="20" s="1"/>
  <c r="AG1386" i="20" s="1"/>
  <c r="AD1386" i="20"/>
  <c r="AC1387" i="20"/>
  <c r="AF1387" i="20" s="1"/>
  <c r="AG1387" i="20" s="1"/>
  <c r="AD1387" i="20"/>
  <c r="AC1388" i="20"/>
  <c r="AD1388" i="20"/>
  <c r="AC1389" i="20"/>
  <c r="AF1389" i="20" s="1"/>
  <c r="AG1389" i="20" s="1"/>
  <c r="AD1389" i="20"/>
  <c r="AC1390" i="20"/>
  <c r="AF1390" i="20" s="1"/>
  <c r="AG1390" i="20" s="1"/>
  <c r="AD1390" i="20"/>
  <c r="AC1391" i="20"/>
  <c r="AF1391" i="20" s="1"/>
  <c r="AG1391" i="20" s="1"/>
  <c r="AD1391" i="20"/>
  <c r="AC1392" i="20"/>
  <c r="AD1392" i="20"/>
  <c r="AC1393" i="20"/>
  <c r="AD1393" i="20"/>
  <c r="AC1394" i="20"/>
  <c r="AF1394" i="20" s="1"/>
  <c r="AG1394" i="20" s="1"/>
  <c r="AD1394" i="20"/>
  <c r="AC1395" i="20"/>
  <c r="AF1395" i="20" s="1"/>
  <c r="AG1395" i="20" s="1"/>
  <c r="AD1395" i="20"/>
  <c r="AC1398" i="20"/>
  <c r="AF1398" i="20" s="1"/>
  <c r="AG1398" i="20" s="1"/>
  <c r="AD1398" i="20"/>
  <c r="AC1401" i="20"/>
  <c r="AD1401" i="20"/>
  <c r="AC1403" i="20"/>
  <c r="AF1403" i="20" s="1"/>
  <c r="AG1403" i="20" s="1"/>
  <c r="AD1403" i="20"/>
  <c r="AC1404" i="20"/>
  <c r="AD1404" i="20"/>
  <c r="AC1405" i="20"/>
  <c r="AF1405" i="20" s="1"/>
  <c r="AG1405" i="20" s="1"/>
  <c r="AD1405" i="20"/>
  <c r="AC1406" i="20"/>
  <c r="AF1406" i="20" s="1"/>
  <c r="AG1406" i="20" s="1"/>
  <c r="AD1406" i="20"/>
  <c r="AC1408" i="20"/>
  <c r="AF1408" i="20" s="1"/>
  <c r="AG1408" i="20" s="1"/>
  <c r="AD1408" i="20"/>
  <c r="AC1409" i="20"/>
  <c r="AD1409" i="20"/>
  <c r="AC1410" i="20"/>
  <c r="AF1410" i="20" s="1"/>
  <c r="AG1410" i="20" s="1"/>
  <c r="AD1410" i="20"/>
  <c r="AC1411" i="20"/>
  <c r="AF1411" i="20" s="1"/>
  <c r="AG1411" i="20" s="1"/>
  <c r="AD1411" i="20"/>
  <c r="AC1412" i="20"/>
  <c r="AF1412" i="20" s="1"/>
  <c r="AG1412" i="20" s="1"/>
  <c r="AD1412" i="20"/>
  <c r="AC1413" i="20"/>
  <c r="AD1413" i="20"/>
  <c r="AC1414" i="20"/>
  <c r="AF1414" i="20" s="1"/>
  <c r="AG1414" i="20" s="1"/>
  <c r="AD1414" i="20"/>
  <c r="AC1415" i="20"/>
  <c r="AF1415" i="20" s="1"/>
  <c r="AG1415" i="20" s="1"/>
  <c r="AD1415" i="20"/>
  <c r="AC1416" i="20"/>
  <c r="AF1416" i="20" s="1"/>
  <c r="AG1416" i="20" s="1"/>
  <c r="AD1416" i="20"/>
  <c r="AC1417" i="20"/>
  <c r="AF1417" i="20" s="1"/>
  <c r="AG1417" i="20" s="1"/>
  <c r="AD1417" i="20"/>
  <c r="AC1419" i="20"/>
  <c r="AF1419" i="20" s="1"/>
  <c r="AG1419" i="20" s="1"/>
  <c r="AD1419" i="20"/>
  <c r="AC1420" i="20"/>
  <c r="AF1420" i="20" s="1"/>
  <c r="AG1420" i="20" s="1"/>
  <c r="AD1420" i="20"/>
  <c r="AC1421" i="20"/>
  <c r="AD1421" i="20"/>
  <c r="AC1422" i="20"/>
  <c r="AF1422" i="20" s="1"/>
  <c r="AG1422" i="20" s="1"/>
  <c r="AD1422" i="20"/>
  <c r="AC1423" i="20"/>
  <c r="AF1423" i="20" s="1"/>
  <c r="AG1423" i="20" s="1"/>
  <c r="AD1423" i="20"/>
  <c r="AC1424" i="20"/>
  <c r="AF1424" i="20" s="1"/>
  <c r="AG1424" i="20" s="1"/>
  <c r="AD1424" i="20"/>
  <c r="AC1425" i="20"/>
  <c r="AF1425" i="20" s="1"/>
  <c r="AG1425" i="20" s="1"/>
  <c r="AD1425" i="20"/>
  <c r="AC1426" i="20"/>
  <c r="AF1426" i="20" s="1"/>
  <c r="AG1426" i="20" s="1"/>
  <c r="AD1426" i="20"/>
  <c r="AC1427" i="20"/>
  <c r="AF1427" i="20" s="1"/>
  <c r="AG1427" i="20" s="1"/>
  <c r="AD1427" i="20"/>
  <c r="AC1428" i="20"/>
  <c r="AF1428" i="20" s="1"/>
  <c r="AG1428" i="20" s="1"/>
  <c r="AD1428" i="20"/>
  <c r="AC1429" i="20"/>
  <c r="AD1429" i="20"/>
  <c r="AC1430" i="20"/>
  <c r="AF1430" i="20" s="1"/>
  <c r="AG1430" i="20" s="1"/>
  <c r="AD1430" i="20"/>
  <c r="AC1432" i="20"/>
  <c r="AF1432" i="20" s="1"/>
  <c r="AG1432" i="20" s="1"/>
  <c r="AD1432" i="20"/>
  <c r="AC1433" i="20"/>
  <c r="AD1433" i="20"/>
  <c r="AC1434" i="20"/>
  <c r="AF1434" i="20" s="1"/>
  <c r="AG1434" i="20" s="1"/>
  <c r="AD1434" i="20"/>
  <c r="AC1435" i="20"/>
  <c r="AF1435" i="20" s="1"/>
  <c r="AG1435" i="20" s="1"/>
  <c r="AD1435" i="20"/>
  <c r="AC1436" i="20"/>
  <c r="AD1436" i="20"/>
  <c r="AC1437" i="20"/>
  <c r="AF1437" i="20" s="1"/>
  <c r="AG1437" i="20" s="1"/>
  <c r="AD1437" i="20"/>
  <c r="AC1438" i="20"/>
  <c r="AF1438" i="20" s="1"/>
  <c r="AG1438" i="20" s="1"/>
  <c r="AD1438" i="20"/>
  <c r="AC1439" i="20"/>
  <c r="AF1439" i="20" s="1"/>
  <c r="AG1439" i="20" s="1"/>
  <c r="AD1439" i="20"/>
  <c r="AC1440" i="20"/>
  <c r="AF1440" i="20" s="1"/>
  <c r="AG1440" i="20" s="1"/>
  <c r="AD1440" i="20"/>
  <c r="AC1441" i="20"/>
  <c r="AF1441" i="20" s="1"/>
  <c r="AG1441" i="20" s="1"/>
  <c r="AD1441" i="20"/>
  <c r="AC1442" i="20"/>
  <c r="AF1442" i="20" s="1"/>
  <c r="AG1442" i="20" s="1"/>
  <c r="AD1442" i="20"/>
  <c r="AC1443" i="20"/>
  <c r="AF1443" i="20" s="1"/>
  <c r="AG1443" i="20" s="1"/>
  <c r="AD1443" i="20"/>
  <c r="AC1445" i="20"/>
  <c r="AF1445" i="20" s="1"/>
  <c r="AG1445" i="20" s="1"/>
  <c r="AD1445" i="20"/>
  <c r="AC1447" i="20"/>
  <c r="AF1447" i="20" s="1"/>
  <c r="AG1447" i="20" s="1"/>
  <c r="AD1447" i="20"/>
  <c r="AC1448" i="20"/>
  <c r="AD1448" i="20"/>
  <c r="AC1449" i="20"/>
  <c r="AD1449" i="20"/>
  <c r="AC1450" i="20"/>
  <c r="AF1450" i="20" s="1"/>
  <c r="AG1450" i="20" s="1"/>
  <c r="AD1450" i="20"/>
  <c r="AC1451" i="20"/>
  <c r="AF1451" i="20" s="1"/>
  <c r="AG1451" i="20" s="1"/>
  <c r="AD1451" i="20"/>
  <c r="AC1452" i="20"/>
  <c r="AD1452" i="20"/>
  <c r="AC1453" i="20"/>
  <c r="AF1453" i="20" s="1"/>
  <c r="AG1453" i="20" s="1"/>
  <c r="AD1453" i="20"/>
  <c r="AC1454" i="20"/>
  <c r="AF1454" i="20" s="1"/>
  <c r="AG1454" i="20" s="1"/>
  <c r="AD1454" i="20"/>
  <c r="AC1455" i="20"/>
  <c r="AF1455" i="20" s="1"/>
  <c r="AG1455" i="20" s="1"/>
  <c r="AD1455" i="20"/>
  <c r="AC1456" i="20"/>
  <c r="AD1456" i="20"/>
  <c r="AC1457" i="20"/>
  <c r="AD1457" i="20"/>
  <c r="AC1458" i="20"/>
  <c r="AF1458" i="20" s="1"/>
  <c r="AG1458" i="20" s="1"/>
  <c r="AD1458" i="20"/>
  <c r="AC1459" i="20"/>
  <c r="AF1459" i="20" s="1"/>
  <c r="AG1459" i="20" s="1"/>
  <c r="AD1459" i="20"/>
  <c r="AC1460" i="20"/>
  <c r="AF1460" i="20" s="1"/>
  <c r="AG1460" i="20" s="1"/>
  <c r="AD1460" i="20"/>
  <c r="AC1461" i="20"/>
  <c r="AD1461" i="20"/>
  <c r="AC1462" i="20"/>
  <c r="AF1462" i="20" s="1"/>
  <c r="AG1462" i="20" s="1"/>
  <c r="AD1462" i="20"/>
  <c r="AC1463" i="20"/>
  <c r="AF1463" i="20" s="1"/>
  <c r="AG1463" i="20" s="1"/>
  <c r="AD1463" i="20"/>
  <c r="AC1464" i="20"/>
  <c r="AD1464" i="20"/>
  <c r="AC1465" i="20"/>
  <c r="AD1465" i="20"/>
  <c r="AC1466" i="20"/>
  <c r="AF1466" i="20" s="1"/>
  <c r="AG1466" i="20" s="1"/>
  <c r="AD1466" i="20"/>
  <c r="AC1467" i="20"/>
  <c r="AF1467" i="20" s="1"/>
  <c r="AG1467" i="20" s="1"/>
  <c r="AD1467" i="20"/>
  <c r="AC1469" i="20"/>
  <c r="AF1469" i="20" s="1"/>
  <c r="AG1469" i="20" s="1"/>
  <c r="AD1469" i="20"/>
  <c r="AC1470" i="20"/>
  <c r="AF1470" i="20" s="1"/>
  <c r="AG1470" i="20" s="1"/>
  <c r="AD1470" i="20"/>
  <c r="AC1471" i="20"/>
  <c r="AF1471" i="20" s="1"/>
  <c r="AG1471" i="20" s="1"/>
  <c r="AD1471" i="20"/>
  <c r="AC1472" i="20"/>
  <c r="AF1472" i="20" s="1"/>
  <c r="AG1472" i="20" s="1"/>
  <c r="AD1472" i="20"/>
  <c r="AC1473" i="20"/>
  <c r="AF1473" i="20" s="1"/>
  <c r="AG1473" i="20" s="1"/>
  <c r="AD1473" i="20"/>
  <c r="AC1474" i="20"/>
  <c r="AF1474" i="20" s="1"/>
  <c r="AG1474" i="20" s="1"/>
  <c r="AD1474" i="20"/>
  <c r="AC1475" i="20"/>
  <c r="AF1475" i="20" s="1"/>
  <c r="AG1475" i="20" s="1"/>
  <c r="AD1475" i="20"/>
  <c r="AC1477" i="20"/>
  <c r="AD1477" i="20"/>
  <c r="AC1478" i="20"/>
  <c r="AF1478" i="20" s="1"/>
  <c r="AG1478" i="20" s="1"/>
  <c r="AD1478" i="20"/>
  <c r="AC1479" i="20"/>
  <c r="AF1479" i="20" s="1"/>
  <c r="AG1479" i="20" s="1"/>
  <c r="AD1479" i="20"/>
  <c r="AC1480" i="20"/>
  <c r="AF1480" i="20" s="1"/>
  <c r="AG1480" i="20" s="1"/>
  <c r="AD1480" i="20"/>
  <c r="AC1481" i="20"/>
  <c r="AF1481" i="20" s="1"/>
  <c r="AG1481" i="20" s="1"/>
  <c r="AD1481" i="20"/>
  <c r="AC1482" i="20"/>
  <c r="AF1482" i="20" s="1"/>
  <c r="AG1482" i="20" s="1"/>
  <c r="AD1482" i="20"/>
  <c r="AC1483" i="20"/>
  <c r="AF1483" i="20" s="1"/>
  <c r="AG1483" i="20" s="1"/>
  <c r="AD1483" i="20"/>
  <c r="AC1484" i="20"/>
  <c r="AD1484" i="20"/>
  <c r="AC1485" i="20"/>
  <c r="AD1485" i="20"/>
  <c r="AC1486" i="20"/>
  <c r="AF1486" i="20" s="1"/>
  <c r="AG1486" i="20" s="1"/>
  <c r="AD1486" i="20"/>
  <c r="AC1487" i="20"/>
  <c r="AF1487" i="20" s="1"/>
  <c r="AG1487" i="20" s="1"/>
  <c r="AD1487" i="20"/>
  <c r="AC1488" i="20"/>
  <c r="AD1488" i="20"/>
  <c r="AC1489" i="20"/>
  <c r="AD1489" i="20"/>
  <c r="AC1490" i="20"/>
  <c r="AF1490" i="20" s="1"/>
  <c r="AG1490" i="20" s="1"/>
  <c r="AD1490" i="20"/>
  <c r="AC1491" i="20"/>
  <c r="AF1491" i="20" s="1"/>
  <c r="AG1491" i="20" s="1"/>
  <c r="AD1491" i="20"/>
  <c r="AC1492" i="20"/>
  <c r="AD1492" i="20"/>
  <c r="AC1493" i="20"/>
  <c r="AF1493" i="20" s="1"/>
  <c r="AG1493" i="20" s="1"/>
  <c r="AD1493" i="20"/>
  <c r="AC1494" i="20"/>
  <c r="AF1494" i="20" s="1"/>
  <c r="AG1494" i="20" s="1"/>
  <c r="AD1494" i="20"/>
  <c r="AC1495" i="20"/>
  <c r="AF1495" i="20" s="1"/>
  <c r="AG1495" i="20" s="1"/>
  <c r="AD1495" i="20"/>
  <c r="AC1496" i="20"/>
  <c r="AF1496" i="20" s="1"/>
  <c r="AG1496" i="20" s="1"/>
  <c r="AD1496" i="20"/>
  <c r="AC1498" i="20"/>
  <c r="AF1498" i="20" s="1"/>
  <c r="AG1498" i="20" s="1"/>
  <c r="AD1498" i="20"/>
  <c r="AC1499" i="20"/>
  <c r="AF1499" i="20" s="1"/>
  <c r="AG1499" i="20" s="1"/>
  <c r="AD1499" i="20"/>
  <c r="AC1500" i="20"/>
  <c r="AD1500" i="20"/>
  <c r="AC1501" i="20"/>
  <c r="AF1501" i="20" s="1"/>
  <c r="AG1501" i="20" s="1"/>
  <c r="AD1501" i="20"/>
  <c r="AC1502" i="20"/>
  <c r="AF1502" i="20" s="1"/>
  <c r="AG1502" i="20" s="1"/>
  <c r="AD1502" i="20"/>
  <c r="AC1503" i="20"/>
  <c r="AF1503" i="20" s="1"/>
  <c r="AG1503" i="20" s="1"/>
  <c r="AD1503" i="20"/>
  <c r="AC1504" i="20"/>
  <c r="AF1504" i="20" s="1"/>
  <c r="AG1504" i="20" s="1"/>
  <c r="AD1504" i="20"/>
  <c r="AC1505" i="20"/>
  <c r="AF1505" i="20" s="1"/>
  <c r="AG1505" i="20" s="1"/>
  <c r="AD1505" i="20"/>
  <c r="AC1506" i="20"/>
  <c r="AF1506" i="20" s="1"/>
  <c r="AG1506" i="20" s="1"/>
  <c r="AD1506" i="20"/>
  <c r="AC1507" i="20"/>
  <c r="AF1507" i="20" s="1"/>
  <c r="AG1507" i="20" s="1"/>
  <c r="AD1507" i="20"/>
  <c r="AC1508" i="20"/>
  <c r="AD1508" i="20"/>
  <c r="AC1509" i="20"/>
  <c r="AF1509" i="20" s="1"/>
  <c r="AG1509" i="20" s="1"/>
  <c r="AD1509" i="20"/>
  <c r="AC1510" i="20"/>
  <c r="AF1510" i="20" s="1"/>
  <c r="AG1510" i="20" s="1"/>
  <c r="AD1510" i="20"/>
  <c r="AC1511" i="20"/>
  <c r="AF1511" i="20" s="1"/>
  <c r="AG1511" i="20" s="1"/>
  <c r="AD1511" i="20"/>
  <c r="AC1512" i="20"/>
  <c r="AD1512" i="20"/>
  <c r="AC1513" i="20"/>
  <c r="AD1513" i="20"/>
  <c r="AC1514" i="20"/>
  <c r="AF1514" i="20" s="1"/>
  <c r="AG1514" i="20" s="1"/>
  <c r="AD1514" i="20"/>
  <c r="AC1515" i="20"/>
  <c r="AF1515" i="20" s="1"/>
  <c r="AG1515" i="20" s="1"/>
  <c r="AD1515" i="20"/>
  <c r="AC1516" i="20"/>
  <c r="AD1516" i="20"/>
  <c r="AC1517" i="20"/>
  <c r="AF1517" i="20" s="1"/>
  <c r="AG1517" i="20" s="1"/>
  <c r="AD1517" i="20"/>
  <c r="AC1518" i="20"/>
  <c r="AF1518" i="20" s="1"/>
  <c r="AG1518" i="20" s="1"/>
  <c r="AD1518" i="20"/>
  <c r="AC1519" i="20"/>
  <c r="AF1519" i="20" s="1"/>
  <c r="AG1519" i="20" s="1"/>
  <c r="AD1519" i="20"/>
  <c r="AC1520" i="20"/>
  <c r="AD1520" i="20"/>
  <c r="AC1521" i="20"/>
  <c r="AF1521" i="20" s="1"/>
  <c r="AG1521" i="20" s="1"/>
  <c r="AD1521" i="20"/>
  <c r="AC1522" i="20"/>
  <c r="AF1522" i="20" s="1"/>
  <c r="AG1522" i="20" s="1"/>
  <c r="AD1522" i="20"/>
  <c r="AC1523" i="20"/>
  <c r="AF1523" i="20" s="1"/>
  <c r="AG1523" i="20" s="1"/>
  <c r="AD1523" i="20"/>
  <c r="AC1524" i="20"/>
  <c r="AF1524" i="20" s="1"/>
  <c r="AG1524" i="20" s="1"/>
  <c r="AD1524" i="20"/>
  <c r="AC1525" i="20"/>
  <c r="AD1525" i="20"/>
  <c r="AC1526" i="20"/>
  <c r="AF1526" i="20" s="1"/>
  <c r="AG1526" i="20" s="1"/>
  <c r="AD1526" i="20"/>
  <c r="AC1527" i="20"/>
  <c r="AF1527" i="20" s="1"/>
  <c r="AG1527" i="20" s="1"/>
  <c r="AD1527" i="20"/>
  <c r="AC1529" i="20"/>
  <c r="AD1529" i="20"/>
  <c r="AC1530" i="20"/>
  <c r="AF1530" i="20" s="1"/>
  <c r="AG1530" i="20" s="1"/>
  <c r="AD1530" i="20"/>
  <c r="AC1531" i="20"/>
  <c r="AF1531" i="20" s="1"/>
  <c r="AG1531" i="20" s="1"/>
  <c r="AD1531" i="20"/>
  <c r="AC1532" i="20"/>
  <c r="AF1532" i="20" s="1"/>
  <c r="AG1532" i="20" s="1"/>
  <c r="AD1532" i="20"/>
  <c r="AC1533" i="20"/>
  <c r="AF1533" i="20" s="1"/>
  <c r="AG1533" i="20" s="1"/>
  <c r="AD1533" i="20"/>
  <c r="AC1534" i="20"/>
  <c r="AF1534" i="20" s="1"/>
  <c r="AG1534" i="20" s="1"/>
  <c r="AD1534" i="20"/>
  <c r="AC1535" i="20"/>
  <c r="AF1535" i="20" s="1"/>
  <c r="AG1535" i="20" s="1"/>
  <c r="AD1535" i="20"/>
  <c r="AC1536" i="20"/>
  <c r="AF1536" i="20" s="1"/>
  <c r="AG1536" i="20" s="1"/>
  <c r="AD1536" i="20"/>
  <c r="AC1538" i="20"/>
  <c r="AF1538" i="20" s="1"/>
  <c r="AG1538" i="20" s="1"/>
  <c r="AD1538" i="20"/>
  <c r="AC1539" i="20"/>
  <c r="AF1539" i="20" s="1"/>
  <c r="AG1539" i="20" s="1"/>
  <c r="AD1539" i="20"/>
  <c r="AC1540" i="20"/>
  <c r="AF1540" i="20" s="1"/>
  <c r="AG1540" i="20" s="1"/>
  <c r="AD1540" i="20"/>
  <c r="AC1541" i="20"/>
  <c r="AD1541" i="20"/>
  <c r="AC1542" i="20"/>
  <c r="AF1542" i="20" s="1"/>
  <c r="AG1542" i="20" s="1"/>
  <c r="AD1542" i="20"/>
  <c r="AC1543" i="20"/>
  <c r="AF1543" i="20" s="1"/>
  <c r="AG1543" i="20" s="1"/>
  <c r="AD1543" i="20"/>
  <c r="AC1544" i="20"/>
  <c r="AF1544" i="20" s="1"/>
  <c r="AG1544" i="20" s="1"/>
  <c r="AD1544" i="20"/>
  <c r="AC1545" i="20"/>
  <c r="AF1545" i="20" s="1"/>
  <c r="AG1545" i="20" s="1"/>
  <c r="AD1545" i="20"/>
  <c r="AC1546" i="20"/>
  <c r="AF1546" i="20" s="1"/>
  <c r="AG1546" i="20" s="1"/>
  <c r="AD1546" i="20"/>
  <c r="AC1547" i="20"/>
  <c r="AF1547" i="20" s="1"/>
  <c r="AG1547" i="20" s="1"/>
  <c r="AD1547" i="20"/>
  <c r="AC1548" i="20"/>
  <c r="AF1548" i="20" s="1"/>
  <c r="AG1548" i="20" s="1"/>
  <c r="AD1548" i="20"/>
  <c r="AC1549" i="20"/>
  <c r="AD1549" i="20"/>
  <c r="AC1550" i="20"/>
  <c r="AF1550" i="20" s="1"/>
  <c r="AG1550" i="20" s="1"/>
  <c r="AD1550" i="20"/>
  <c r="AC1553" i="20"/>
  <c r="AD1553" i="20"/>
  <c r="AC1555" i="20"/>
  <c r="AF1555" i="20" s="1"/>
  <c r="AG1555" i="20" s="1"/>
  <c r="AD1555" i="20"/>
  <c r="AC1556" i="20"/>
  <c r="AD1556" i="20"/>
  <c r="AC1557" i="20"/>
  <c r="AD1557" i="20"/>
  <c r="AC1558" i="20"/>
  <c r="AF1558" i="20" s="1"/>
  <c r="AG1558" i="20" s="1"/>
  <c r="AD1558" i="20"/>
  <c r="AC1559" i="20"/>
  <c r="AF1559" i="20" s="1"/>
  <c r="AG1559" i="20" s="1"/>
  <c r="AD1559" i="20"/>
  <c r="AC1561" i="20"/>
  <c r="AD1561" i="20"/>
  <c r="AC1562" i="20"/>
  <c r="AF1562" i="20" s="1"/>
  <c r="AG1562" i="20" s="1"/>
  <c r="AD1562" i="20"/>
  <c r="AC1563" i="20"/>
  <c r="AF1563" i="20" s="1"/>
  <c r="AG1563" i="20" s="1"/>
  <c r="AD1563" i="20"/>
  <c r="AC1564" i="20"/>
  <c r="AD1564" i="20"/>
  <c r="AC1565" i="20"/>
  <c r="AF1565" i="20" s="1"/>
  <c r="AG1565" i="20" s="1"/>
  <c r="AD1565" i="20"/>
  <c r="AC1566" i="20"/>
  <c r="AF1566" i="20" s="1"/>
  <c r="AG1566" i="20" s="1"/>
  <c r="AD1566" i="20"/>
  <c r="AC1567" i="20"/>
  <c r="AF1567" i="20" s="1"/>
  <c r="AG1567" i="20" s="1"/>
  <c r="AD1567" i="20"/>
  <c r="AC1568" i="20"/>
  <c r="AD1568" i="20"/>
  <c r="AC1569" i="20"/>
  <c r="AF1569" i="20" s="1"/>
  <c r="AG1569" i="20" s="1"/>
  <c r="AD1569" i="20"/>
  <c r="AC1570" i="20"/>
  <c r="AF1570" i="20" s="1"/>
  <c r="AG1570" i="20" s="1"/>
  <c r="AD1570" i="20"/>
  <c r="AC1571" i="20"/>
  <c r="AF1571" i="20" s="1"/>
  <c r="AG1571" i="20" s="1"/>
  <c r="AD1571" i="20"/>
  <c r="AC1573" i="20"/>
  <c r="AF1573" i="20" s="1"/>
  <c r="AG1573" i="20" s="1"/>
  <c r="AD1573" i="20"/>
  <c r="AC1574" i="20"/>
  <c r="AF1574" i="20" s="1"/>
  <c r="AG1574" i="20" s="1"/>
  <c r="AD1574" i="20"/>
  <c r="AC1575" i="20"/>
  <c r="AF1575" i="20" s="1"/>
  <c r="AG1575" i="20" s="1"/>
  <c r="AD1575" i="20"/>
  <c r="AC1576" i="20"/>
  <c r="AD1576" i="20"/>
  <c r="AC1577" i="20"/>
  <c r="AF1577" i="20" s="1"/>
  <c r="AG1577" i="20" s="1"/>
  <c r="AD1577" i="20"/>
  <c r="AC1578" i="20"/>
  <c r="AF1578" i="20" s="1"/>
  <c r="AG1578" i="20" s="1"/>
  <c r="AD1578" i="20"/>
  <c r="AC1580" i="20"/>
  <c r="AD1580" i="20"/>
  <c r="AC1581" i="20"/>
  <c r="AD1581" i="20"/>
  <c r="AC1582" i="20"/>
  <c r="AF1582" i="20" s="1"/>
  <c r="AG1582" i="20" s="1"/>
  <c r="AD1582" i="20"/>
  <c r="AC1583" i="20"/>
  <c r="AF1583" i="20" s="1"/>
  <c r="AG1583" i="20" s="1"/>
  <c r="AD1583" i="20"/>
  <c r="AC1586" i="20"/>
  <c r="AF1586" i="20" s="1"/>
  <c r="AG1586" i="20" s="1"/>
  <c r="AD1586" i="20"/>
  <c r="AC1587" i="20"/>
  <c r="AF1587" i="20" s="1"/>
  <c r="AG1587" i="20" s="1"/>
  <c r="AD1587" i="20"/>
  <c r="AC1588" i="20"/>
  <c r="AD1588" i="20"/>
  <c r="AC1589" i="20"/>
  <c r="AD1589" i="20"/>
  <c r="AC1590" i="20"/>
  <c r="AF1590" i="20" s="1"/>
  <c r="AG1590" i="20" s="1"/>
  <c r="AD1590" i="20"/>
  <c r="AC1591" i="20"/>
  <c r="AF1591" i="20" s="1"/>
  <c r="AG1591" i="20" s="1"/>
  <c r="AD1591" i="20"/>
  <c r="AC1592" i="20"/>
  <c r="AF1592" i="20" s="1"/>
  <c r="AG1592" i="20" s="1"/>
  <c r="AD1592" i="20"/>
  <c r="AC1593" i="20"/>
  <c r="AF1593" i="20" s="1"/>
  <c r="AG1593" i="20" s="1"/>
  <c r="AD1593" i="20"/>
  <c r="AC1594" i="20"/>
  <c r="AF1594" i="20" s="1"/>
  <c r="AG1594" i="20" s="1"/>
  <c r="AD1594" i="20"/>
  <c r="AC1595" i="20"/>
  <c r="AF1595" i="20" s="1"/>
  <c r="AG1595" i="20" s="1"/>
  <c r="AD1595" i="20"/>
  <c r="AC1597" i="20"/>
  <c r="AD1597" i="20"/>
  <c r="AC1598" i="20"/>
  <c r="AF1598" i="20" s="1"/>
  <c r="AG1598" i="20" s="1"/>
  <c r="AD1598" i="20"/>
  <c r="AC1599" i="20"/>
  <c r="AF1599" i="20" s="1"/>
  <c r="AG1599" i="20" s="1"/>
  <c r="AD1599" i="20"/>
  <c r="AC1600" i="20"/>
  <c r="AF1600" i="20" s="1"/>
  <c r="AG1600" i="20" s="1"/>
  <c r="AD1600" i="20"/>
  <c r="AC1601" i="20"/>
  <c r="AF1601" i="20" s="1"/>
  <c r="AG1601" i="20" s="1"/>
  <c r="AD1601" i="20"/>
  <c r="AC1602" i="20"/>
  <c r="AF1602" i="20" s="1"/>
  <c r="AG1602" i="20" s="1"/>
  <c r="AD1602" i="20"/>
  <c r="AC1603" i="20"/>
  <c r="AF1603" i="20" s="1"/>
  <c r="AG1603" i="20" s="1"/>
  <c r="AD1603" i="20"/>
  <c r="AC1604" i="20"/>
  <c r="AD1604" i="20"/>
  <c r="AC1605" i="20"/>
  <c r="AD1605" i="20"/>
  <c r="AC1606" i="20"/>
  <c r="AF1606" i="20" s="1"/>
  <c r="AG1606" i="20" s="1"/>
  <c r="AD1606" i="20"/>
  <c r="AC1607" i="20"/>
  <c r="AF1607" i="20" s="1"/>
  <c r="AG1607" i="20" s="1"/>
  <c r="AD1607" i="20"/>
  <c r="AC1608" i="20"/>
  <c r="AF1608" i="20" s="1"/>
  <c r="AG1608" i="20" s="1"/>
  <c r="AD1608" i="20"/>
  <c r="AC1609" i="20"/>
  <c r="AF1609" i="20" s="1"/>
  <c r="AG1609" i="20" s="1"/>
  <c r="AD1609" i="20"/>
  <c r="AC1610" i="20"/>
  <c r="AF1610" i="20" s="1"/>
  <c r="AG1610" i="20" s="1"/>
  <c r="AD1610" i="20"/>
  <c r="AC1611" i="20"/>
  <c r="AF1611" i="20" s="1"/>
  <c r="AG1611" i="20" s="1"/>
  <c r="AD1611" i="20"/>
  <c r="AC1612" i="20"/>
  <c r="AD1612" i="20"/>
  <c r="AC1613" i="20"/>
  <c r="AF1613" i="20" s="1"/>
  <c r="AG1613" i="20" s="1"/>
  <c r="AD1613" i="20"/>
  <c r="AC1614" i="20"/>
  <c r="AF1614" i="20" s="1"/>
  <c r="AG1614" i="20" s="1"/>
  <c r="AD1614" i="20"/>
  <c r="AC1615" i="20"/>
  <c r="AF1615" i="20" s="1"/>
  <c r="AG1615" i="20" s="1"/>
  <c r="AD1615" i="20"/>
  <c r="AC1616" i="20"/>
  <c r="AD1616" i="20"/>
  <c r="AC1617" i="20"/>
  <c r="AF1617" i="20" s="1"/>
  <c r="AG1617" i="20" s="1"/>
  <c r="AD1617" i="20"/>
  <c r="AC1618" i="20"/>
  <c r="AF1618" i="20" s="1"/>
  <c r="AG1618" i="20" s="1"/>
  <c r="AD1618" i="20"/>
  <c r="AC1620" i="20"/>
  <c r="AD1620" i="20"/>
  <c r="AC1622" i="20"/>
  <c r="AF1622" i="20" s="1"/>
  <c r="AG1622" i="20" s="1"/>
  <c r="AD1622" i="20"/>
  <c r="AC1623" i="20"/>
  <c r="AF1623" i="20" s="1"/>
  <c r="AG1623" i="20" s="1"/>
  <c r="AD1623" i="20"/>
  <c r="AC1624" i="20"/>
  <c r="AD1624" i="20"/>
  <c r="AC1626" i="20"/>
  <c r="AF1626" i="20" s="1"/>
  <c r="AG1626" i="20" s="1"/>
  <c r="AD1626" i="20"/>
  <c r="AC1628" i="20"/>
  <c r="AD1628" i="20"/>
  <c r="AC1629" i="20"/>
  <c r="AD1629" i="20"/>
  <c r="AC1630" i="20"/>
  <c r="AF1630" i="20" s="1"/>
  <c r="AG1630" i="20" s="1"/>
  <c r="AD1630" i="20"/>
  <c r="AC1632" i="20"/>
  <c r="AD1632" i="20"/>
  <c r="AC1637" i="20"/>
  <c r="AF1637" i="20" s="1"/>
  <c r="AG1637" i="20" s="1"/>
  <c r="AD1637" i="20"/>
  <c r="AC1638" i="20"/>
  <c r="AF1638" i="20" s="1"/>
  <c r="AG1638" i="20" s="1"/>
  <c r="AD1638" i="20"/>
  <c r="AC1639" i="20"/>
  <c r="AD1639" i="20"/>
  <c r="AC1640" i="20"/>
  <c r="AD1640" i="20"/>
  <c r="AC1641" i="20"/>
  <c r="AD1641" i="20"/>
  <c r="AC1642" i="20"/>
  <c r="AF1642" i="20" s="1"/>
  <c r="AG1642" i="20" s="1"/>
  <c r="AD1642" i="20"/>
  <c r="AC1643" i="20"/>
  <c r="AD1643" i="20"/>
  <c r="AC1644" i="20"/>
  <c r="AF1644" i="20" s="1"/>
  <c r="AG1644" i="20" s="1"/>
  <c r="AD1644" i="20"/>
  <c r="AC1646" i="20"/>
  <c r="AF1646" i="20" s="1"/>
  <c r="AG1646" i="20" s="1"/>
  <c r="AD1646" i="20"/>
  <c r="AC1647" i="20"/>
  <c r="AD1647" i="20"/>
  <c r="AC1648" i="20"/>
  <c r="AD1648" i="20"/>
  <c r="AC1650" i="20"/>
  <c r="AF1650" i="20" s="1"/>
  <c r="AG1650" i="20" s="1"/>
  <c r="AD1650" i="20"/>
  <c r="AC1651" i="20"/>
  <c r="AD1651" i="20"/>
  <c r="AC1652" i="20"/>
  <c r="AD1652" i="20"/>
  <c r="AC1653" i="20"/>
  <c r="AD1653" i="20"/>
  <c r="AC1654" i="20"/>
  <c r="AF1654" i="20" s="1"/>
  <c r="AG1654" i="20" s="1"/>
  <c r="AD1654" i="20"/>
  <c r="AC1655" i="20"/>
  <c r="AD1655" i="20"/>
  <c r="AC1656" i="20"/>
  <c r="AD1656" i="20"/>
  <c r="AC1657" i="20"/>
  <c r="AF1657" i="20" s="1"/>
  <c r="AG1657" i="20" s="1"/>
  <c r="AD1657" i="20"/>
  <c r="AC1658" i="20"/>
  <c r="AF1658" i="20" s="1"/>
  <c r="AG1658" i="20" s="1"/>
  <c r="AD1658" i="20"/>
  <c r="AC1659" i="20"/>
  <c r="AD1659" i="20"/>
  <c r="AC1662" i="20"/>
  <c r="AF1662" i="20" s="1"/>
  <c r="AG1662" i="20" s="1"/>
  <c r="AD1662" i="20"/>
  <c r="AC1663" i="20"/>
  <c r="AD1663" i="20"/>
  <c r="AC1664" i="20"/>
  <c r="AF1664" i="20" s="1"/>
  <c r="AG1664" i="20" s="1"/>
  <c r="AD1664" i="20"/>
  <c r="AC1665" i="20"/>
  <c r="AD1665" i="20"/>
  <c r="AC1667" i="20"/>
  <c r="AD1667" i="20"/>
  <c r="AC1668" i="20"/>
  <c r="AD1668" i="20"/>
  <c r="AC1670" i="20"/>
  <c r="AF1670" i="20" s="1"/>
  <c r="AG1670" i="20" s="1"/>
  <c r="AD1670" i="20"/>
  <c r="AC1671" i="20"/>
  <c r="AD1671" i="20"/>
  <c r="AC1672" i="20"/>
  <c r="AF1672" i="20" s="1"/>
  <c r="AG1672" i="20" s="1"/>
  <c r="AD1672" i="20"/>
  <c r="AC1674" i="20"/>
  <c r="AF1674" i="20" s="1"/>
  <c r="AG1674" i="20" s="1"/>
  <c r="AD1674" i="20"/>
  <c r="AC1677" i="20"/>
  <c r="AD1677" i="20"/>
  <c r="AC1679" i="20"/>
  <c r="AD1679" i="20"/>
  <c r="AC1681" i="20"/>
  <c r="AD1681" i="20"/>
  <c r="AC1682" i="20"/>
  <c r="AF1682" i="20" s="1"/>
  <c r="AG1682" i="20" s="1"/>
  <c r="AD1682" i="20"/>
  <c r="AC1683" i="20"/>
  <c r="AD1683" i="20"/>
  <c r="AC1684" i="20"/>
  <c r="AD1684" i="20"/>
  <c r="AC1685" i="20"/>
  <c r="AD1685" i="20"/>
  <c r="AC1686" i="20"/>
  <c r="AF1686" i="20" s="1"/>
  <c r="AG1686" i="20" s="1"/>
  <c r="AD1686" i="20"/>
  <c r="AC1689" i="20"/>
  <c r="AF1689" i="20" s="1"/>
  <c r="AG1689" i="20" s="1"/>
  <c r="AD1689" i="20"/>
  <c r="AC1690" i="20"/>
  <c r="AF1690" i="20" s="1"/>
  <c r="AG1690" i="20" s="1"/>
  <c r="AD1690" i="20"/>
  <c r="AC1691" i="20"/>
  <c r="AD1691" i="20"/>
  <c r="AC1692" i="20"/>
  <c r="AD1692" i="20"/>
  <c r="AC1693" i="20"/>
  <c r="AD1693" i="20"/>
  <c r="AC1694" i="20"/>
  <c r="AF1694" i="20" s="1"/>
  <c r="AG1694" i="20" s="1"/>
  <c r="AD1694" i="20"/>
  <c r="AC1695" i="20"/>
  <c r="AD1695" i="20"/>
  <c r="AC1696" i="20"/>
  <c r="AD1696" i="20"/>
  <c r="AC1697" i="20"/>
  <c r="AD1697" i="20"/>
  <c r="AC1698" i="20"/>
  <c r="AF1698" i="20" s="1"/>
  <c r="AG1698" i="20" s="1"/>
  <c r="AD1698" i="20"/>
  <c r="AC1699" i="20"/>
  <c r="AD1699" i="20"/>
  <c r="AC1700" i="20"/>
  <c r="AF1700" i="20" s="1"/>
  <c r="AG1700" i="20" s="1"/>
  <c r="AD1700" i="20"/>
  <c r="AC1701" i="20"/>
  <c r="AF1701" i="20" s="1"/>
  <c r="AG1701" i="20" s="1"/>
  <c r="AD1701" i="20"/>
  <c r="AC1702" i="20"/>
  <c r="AF1702" i="20" s="1"/>
  <c r="AG1702" i="20" s="1"/>
  <c r="AD1702" i="20"/>
  <c r="AC1703" i="20"/>
  <c r="AD1703" i="20"/>
  <c r="AC1704" i="20"/>
  <c r="AF1704" i="20" s="1"/>
  <c r="AG1704" i="20" s="1"/>
  <c r="AD1704" i="20"/>
  <c r="AC1705" i="20"/>
  <c r="AD1705" i="20"/>
  <c r="AC1706" i="20"/>
  <c r="AF1706" i="20" s="1"/>
  <c r="AG1706" i="20" s="1"/>
  <c r="AD1706" i="20"/>
  <c r="AC1707" i="20"/>
  <c r="AD1707" i="20"/>
  <c r="AC1709" i="20"/>
  <c r="AD1709" i="20"/>
  <c r="AC1710" i="20"/>
  <c r="AF1710" i="20" s="1"/>
  <c r="AG1710" i="20" s="1"/>
  <c r="AD1710" i="20"/>
  <c r="AC1711" i="20"/>
  <c r="AD1711" i="20"/>
  <c r="AC1712" i="20"/>
  <c r="AF1712" i="20" s="1"/>
  <c r="AG1712" i="20" s="1"/>
  <c r="AD1712" i="20"/>
  <c r="AC1713" i="20"/>
  <c r="AD1713" i="20"/>
  <c r="AC1716" i="20"/>
  <c r="AF1716" i="20" s="1"/>
  <c r="AG1716" i="20" s="1"/>
  <c r="AD1716" i="20"/>
  <c r="AC1717" i="20"/>
  <c r="AD1717" i="20"/>
  <c r="AC1718" i="20"/>
  <c r="AF1718" i="20" s="1"/>
  <c r="AG1718" i="20" s="1"/>
  <c r="AD1718" i="20"/>
  <c r="AC1719" i="20"/>
  <c r="AD1719" i="20"/>
  <c r="AC1720" i="20"/>
  <c r="AD1720" i="20"/>
  <c r="AC1721" i="20"/>
  <c r="AF1721" i="20" s="1"/>
  <c r="AG1721" i="20" s="1"/>
  <c r="AD1721" i="20"/>
  <c r="AC1722" i="20"/>
  <c r="AF1722" i="20" s="1"/>
  <c r="AG1722" i="20" s="1"/>
  <c r="AD1722" i="20"/>
  <c r="AC1723" i="20"/>
  <c r="AD1723" i="20"/>
  <c r="AC1724" i="20"/>
  <c r="AF1724" i="20" s="1"/>
  <c r="AG1724" i="20" s="1"/>
  <c r="AD1724" i="20"/>
  <c r="AC1725" i="20"/>
  <c r="AF1725" i="20" s="1"/>
  <c r="AG1725" i="20" s="1"/>
  <c r="AD1725" i="20"/>
  <c r="AC1726" i="20"/>
  <c r="AF1726" i="20" s="1"/>
  <c r="AG1726" i="20" s="1"/>
  <c r="AD1726" i="20"/>
  <c r="AC1727" i="20"/>
  <c r="AD1727" i="20"/>
  <c r="AC1728" i="20"/>
  <c r="AD1728" i="20"/>
  <c r="AC1729" i="20"/>
  <c r="AF1729" i="20" s="1"/>
  <c r="AG1729" i="20" s="1"/>
  <c r="AD1729" i="20"/>
  <c r="AC1730" i="20"/>
  <c r="AF1730" i="20" s="1"/>
  <c r="AG1730" i="20" s="1"/>
  <c r="AD1730" i="20"/>
  <c r="AC1731" i="20"/>
  <c r="AD1731" i="20"/>
  <c r="AC1732" i="20"/>
  <c r="AD1732" i="20"/>
  <c r="AC1734" i="20"/>
  <c r="AD1734" i="20"/>
  <c r="AC1736" i="20"/>
  <c r="AF1736" i="20" s="1"/>
  <c r="AD1736" i="20"/>
  <c r="AC1737" i="20"/>
  <c r="AF1737" i="20" s="1"/>
  <c r="AG1737" i="20" s="1"/>
  <c r="AD1737" i="20"/>
  <c r="AC1739" i="20"/>
  <c r="AD1739" i="20"/>
  <c r="AC1740" i="20"/>
  <c r="AD1740" i="20"/>
  <c r="AC1741" i="20"/>
  <c r="AD1741" i="20"/>
  <c r="AC1743" i="20"/>
  <c r="AD1743" i="20"/>
  <c r="AC1744" i="20"/>
  <c r="AF1744" i="20" s="1"/>
  <c r="AD1744" i="20"/>
  <c r="AC1747" i="20"/>
  <c r="AD1747" i="20"/>
  <c r="AC1748" i="20"/>
  <c r="AD1748" i="20"/>
  <c r="AC1750" i="20"/>
  <c r="AF1750" i="20" s="1"/>
  <c r="AD1750" i="20"/>
  <c r="AC1751" i="20"/>
  <c r="AD1751" i="20"/>
  <c r="AC1752" i="20"/>
  <c r="AD1752" i="20"/>
  <c r="AC1755" i="20"/>
  <c r="AF1755" i="20" s="1"/>
  <c r="AD1755" i="20"/>
  <c r="AC1756" i="20"/>
  <c r="AD1756" i="20"/>
  <c r="AC1758" i="20"/>
  <c r="AF1758" i="20" s="1"/>
  <c r="AG1758" i="20" s="1"/>
  <c r="AD1758" i="20"/>
  <c r="AC1760" i="20"/>
  <c r="AD1760" i="20"/>
  <c r="AC1761" i="20"/>
  <c r="AD1761" i="20"/>
  <c r="AC1764" i="20"/>
  <c r="AF1764" i="20" s="1"/>
  <c r="AD1764" i="20"/>
  <c r="AC1765" i="20"/>
  <c r="AD1765" i="20"/>
  <c r="AC1766" i="20"/>
  <c r="AF1766" i="20" s="1"/>
  <c r="AG1766" i="20" s="1"/>
  <c r="AD1766" i="20"/>
  <c r="AC1767" i="20"/>
  <c r="AF1767" i="20" s="1"/>
  <c r="AD1767" i="20"/>
  <c r="AC1768" i="20"/>
  <c r="AD1768" i="20"/>
  <c r="AC1770" i="20"/>
  <c r="AF1770" i="20" s="1"/>
  <c r="AG1770" i="20" s="1"/>
  <c r="AD1770" i="20"/>
  <c r="AC1771" i="20"/>
  <c r="AF1771" i="20" s="1"/>
  <c r="AD1771" i="20"/>
  <c r="AC1774" i="20"/>
  <c r="AF1774" i="20" s="1"/>
  <c r="AG1774" i="20" s="1"/>
  <c r="AD1774" i="20"/>
  <c r="AC1775" i="20"/>
  <c r="AD1775" i="20"/>
  <c r="AC1776" i="20"/>
  <c r="AD1776" i="20"/>
  <c r="AC1777" i="20"/>
  <c r="AF1777" i="20" s="1"/>
  <c r="AG1777" i="20" s="1"/>
  <c r="AD1777" i="20"/>
  <c r="AC1781" i="20"/>
  <c r="AF1781" i="20" s="1"/>
  <c r="AG1781" i="20" s="1"/>
  <c r="AD1781" i="20"/>
  <c r="AC1782" i="20"/>
  <c r="AF1782" i="20" s="1"/>
  <c r="AG1782" i="20" s="1"/>
  <c r="AD1782" i="20"/>
  <c r="AC1783" i="20"/>
  <c r="AF1783" i="20" s="1"/>
  <c r="AD1783" i="20"/>
  <c r="AC1784" i="20"/>
  <c r="AD1784" i="20"/>
  <c r="AC1785" i="20"/>
  <c r="AD1785" i="20"/>
  <c r="AC1787" i="20"/>
  <c r="AF1787" i="20" s="1"/>
  <c r="AD1787" i="20"/>
  <c r="AC1788" i="20"/>
  <c r="AD1788" i="20"/>
  <c r="AC1790" i="20"/>
  <c r="AF1790" i="20" s="1"/>
  <c r="AG1790" i="20" s="1"/>
  <c r="AD1790" i="20"/>
  <c r="AC1791" i="20"/>
  <c r="AF1791" i="20" s="1"/>
  <c r="AD1791" i="20"/>
  <c r="AC1793" i="20"/>
  <c r="AD1793" i="20"/>
  <c r="AC1794" i="20"/>
  <c r="AD1794" i="20"/>
  <c r="AC1795" i="20"/>
  <c r="AF1795" i="20" s="1"/>
  <c r="AD1795" i="20"/>
  <c r="AC1796" i="20"/>
  <c r="AF1796" i="20" s="1"/>
  <c r="AD1796" i="20"/>
  <c r="AC1798" i="20"/>
  <c r="AF1798" i="20" s="1"/>
  <c r="AG1798" i="20" s="1"/>
  <c r="AD1798" i="20"/>
  <c r="AC1800" i="20"/>
  <c r="AD1800" i="20"/>
  <c r="AC1802" i="20"/>
  <c r="AD1802" i="20"/>
  <c r="AC1803" i="20"/>
  <c r="AF1803" i="20" s="1"/>
  <c r="AD1803" i="20"/>
  <c r="AC1804" i="20"/>
  <c r="AD1804" i="20"/>
  <c r="AC1805" i="20"/>
  <c r="AF1805" i="20" s="1"/>
  <c r="AG1805" i="20" s="1"/>
  <c r="AD1805" i="20"/>
  <c r="AC1806" i="20"/>
  <c r="AF1806" i="20" s="1"/>
  <c r="AG1806" i="20" s="1"/>
  <c r="AD1806" i="20"/>
  <c r="AC1810" i="20"/>
  <c r="AD1810" i="20"/>
  <c r="AC1812" i="20"/>
  <c r="AF1812" i="20" s="1"/>
  <c r="AD1812" i="20"/>
  <c r="AC1813" i="20"/>
  <c r="AF1813" i="20" s="1"/>
  <c r="AG1813" i="20" s="1"/>
  <c r="AD1813" i="20"/>
  <c r="AC1814" i="20"/>
  <c r="AF1814" i="20" s="1"/>
  <c r="AG1814" i="20" s="1"/>
  <c r="AD1814" i="20"/>
  <c r="AC1816" i="20"/>
  <c r="AD1816" i="20"/>
  <c r="AC1817" i="20"/>
  <c r="AF1817" i="20" s="1"/>
  <c r="AG1817" i="20" s="1"/>
  <c r="AD1817" i="20"/>
  <c r="AC1819" i="20"/>
  <c r="AF1819" i="20" s="1"/>
  <c r="AD1819" i="20"/>
  <c r="AC1820" i="20"/>
  <c r="AD1820" i="20"/>
  <c r="AC1821" i="20"/>
  <c r="AF1821" i="20" s="1"/>
  <c r="AG1821" i="20" s="1"/>
  <c r="AD1821" i="20"/>
  <c r="AC1822" i="20"/>
  <c r="AF1822" i="20" s="1"/>
  <c r="AG1822" i="20" s="1"/>
  <c r="AD1822" i="20"/>
  <c r="AC1823" i="20"/>
  <c r="AF1823" i="20" s="1"/>
  <c r="AD1823" i="20"/>
  <c r="AC1824" i="20"/>
  <c r="AD1824" i="20"/>
  <c r="AC1825" i="20"/>
  <c r="AF1825" i="20" s="1"/>
  <c r="AG1825" i="20" s="1"/>
  <c r="AD1825" i="20"/>
  <c r="AC1826" i="20"/>
  <c r="AF1826" i="20" s="1"/>
  <c r="AG1826" i="20" s="1"/>
  <c r="AD1826" i="20"/>
  <c r="AC1827" i="20"/>
  <c r="AF1827" i="20" s="1"/>
  <c r="AD1827" i="20"/>
  <c r="AD1828" i="20"/>
  <c r="AC1829" i="20"/>
  <c r="AF1829" i="20" s="1"/>
  <c r="AG1829" i="20" s="1"/>
  <c r="AD1829" i="20"/>
  <c r="AC1830" i="20"/>
  <c r="AF1830" i="20" s="1"/>
  <c r="AG1830" i="20" s="1"/>
  <c r="AD1830" i="20"/>
  <c r="AC1831" i="20"/>
  <c r="AF1831" i="20" s="1"/>
  <c r="AD1831" i="20"/>
  <c r="AC1832" i="20"/>
  <c r="AD1832" i="20"/>
  <c r="AC1833" i="20"/>
  <c r="AF1833" i="20" s="1"/>
  <c r="AG1833" i="20" s="1"/>
  <c r="AD1833" i="20"/>
  <c r="AC1834" i="20"/>
  <c r="AD1834" i="20"/>
  <c r="AC1835" i="20"/>
  <c r="AF1835" i="20" s="1"/>
  <c r="AD1835" i="20"/>
  <c r="AC1836" i="20"/>
  <c r="AD1836" i="20"/>
  <c r="AC1840" i="20"/>
  <c r="AD1840" i="20"/>
  <c r="AC1841" i="20"/>
  <c r="AF1841" i="20" s="1"/>
  <c r="AG1841" i="20" s="1"/>
  <c r="AD1841" i="20"/>
  <c r="AC1844" i="20"/>
  <c r="AD1844" i="20"/>
  <c r="AC1846" i="20"/>
  <c r="AF1846" i="20" s="1"/>
  <c r="AG1846" i="20" s="1"/>
  <c r="AD1846" i="20"/>
  <c r="AC1847" i="20"/>
  <c r="AD1847" i="20"/>
  <c r="AC1848" i="20"/>
  <c r="AD1848" i="20"/>
  <c r="AC1850" i="20"/>
  <c r="AF1850" i="20" s="1"/>
  <c r="AG1850" i="20" s="1"/>
  <c r="AD1850" i="20"/>
  <c r="AC1851" i="20"/>
  <c r="AF1851" i="20" s="1"/>
  <c r="AD1851" i="20"/>
  <c r="AC1852" i="20"/>
  <c r="AD1852" i="20"/>
  <c r="AC1853" i="20"/>
  <c r="AF1853" i="20" s="1"/>
  <c r="AG1853" i="20" s="1"/>
  <c r="AD1853" i="20"/>
  <c r="AC1854" i="20"/>
  <c r="AF1854" i="20" s="1"/>
  <c r="AG1854" i="20" s="1"/>
  <c r="AD1854" i="20"/>
  <c r="AC1855" i="20"/>
  <c r="AF1855" i="20" s="1"/>
  <c r="AD1855" i="20"/>
  <c r="AC1856" i="20"/>
  <c r="AD1856" i="20"/>
  <c r="AC1857" i="20"/>
  <c r="AF1857" i="20" s="1"/>
  <c r="AG1857" i="20" s="1"/>
  <c r="AD1857" i="20"/>
  <c r="AC1858" i="20"/>
  <c r="AD1858" i="20"/>
  <c r="AC1860" i="20"/>
  <c r="AF1860" i="20" s="1"/>
  <c r="AD1860" i="20"/>
  <c r="AC1861" i="20"/>
  <c r="AF1861" i="20" s="1"/>
  <c r="AG1861" i="20" s="1"/>
  <c r="AD1861" i="20"/>
  <c r="AC1863" i="20"/>
  <c r="AF1863" i="20" s="1"/>
  <c r="AG1863" i="20" s="1"/>
  <c r="AD1863" i="20"/>
  <c r="AC1864" i="20"/>
  <c r="AF1864" i="20" s="1"/>
  <c r="AD1864" i="20"/>
  <c r="AC1867" i="20"/>
  <c r="AD1867" i="20"/>
  <c r="AC1868" i="20"/>
  <c r="AF1868" i="20" s="1"/>
  <c r="AD1868" i="20"/>
  <c r="AC1869" i="20"/>
  <c r="AD1869" i="20"/>
  <c r="AC1870" i="20"/>
  <c r="AF1870" i="20" s="1"/>
  <c r="AG1870" i="20" s="1"/>
  <c r="AD1870" i="20"/>
  <c r="AC1871" i="20"/>
  <c r="AF1871" i="20" s="1"/>
  <c r="AG1871" i="20" s="1"/>
  <c r="AD1871" i="20"/>
  <c r="AC1872" i="20"/>
  <c r="AF1872" i="20" s="1"/>
  <c r="AD1872" i="20"/>
  <c r="AC1873" i="20"/>
  <c r="AD1873" i="20"/>
  <c r="AC1875" i="20"/>
  <c r="AD1875" i="20"/>
  <c r="AC1877" i="20"/>
  <c r="AF1877" i="20" s="1"/>
  <c r="AD1877" i="20"/>
  <c r="AC1878" i="20"/>
  <c r="AF1878" i="20" s="1"/>
  <c r="AG1878" i="20" s="1"/>
  <c r="AD1878" i="20"/>
  <c r="AC1880" i="20"/>
  <c r="AD1880" i="20"/>
  <c r="AC1882" i="20"/>
  <c r="AF1882" i="20" s="1"/>
  <c r="AG1882" i="20" s="1"/>
  <c r="AD1882" i="20"/>
  <c r="AC1883" i="20"/>
  <c r="AF1883" i="20" s="1"/>
  <c r="AG1883" i="20" s="1"/>
  <c r="AD1883" i="20"/>
  <c r="AC1885" i="20"/>
  <c r="AF1885" i="20" s="1"/>
  <c r="AG1885" i="20" s="1"/>
  <c r="AD1885" i="20"/>
  <c r="AC1886" i="20"/>
  <c r="AD1886" i="20"/>
  <c r="AC1888" i="20"/>
  <c r="AF1888" i="20" s="1"/>
  <c r="AG1888" i="20" s="1"/>
  <c r="AD1888" i="20"/>
  <c r="AC1890" i="20"/>
  <c r="AF1890" i="20" s="1"/>
  <c r="AG1890" i="20" s="1"/>
  <c r="AD1890" i="20"/>
  <c r="AC1892" i="20"/>
  <c r="AF1892" i="20" s="1"/>
  <c r="AG1892" i="20" s="1"/>
  <c r="AD1892" i="20"/>
  <c r="AC1893" i="20"/>
  <c r="AF1893" i="20" s="1"/>
  <c r="AG1893" i="20" s="1"/>
  <c r="AD1893" i="20"/>
  <c r="AC1894" i="20"/>
  <c r="AF1894" i="20" s="1"/>
  <c r="AG1894" i="20" s="1"/>
  <c r="AD1894" i="20"/>
  <c r="AC1901" i="20"/>
  <c r="AF1901" i="20" s="1"/>
  <c r="AG1901" i="20" s="1"/>
  <c r="AD1901" i="20"/>
  <c r="AC1904" i="20"/>
  <c r="AF1904" i="20" s="1"/>
  <c r="AG1904" i="20" s="1"/>
  <c r="AD1904" i="20"/>
  <c r="AC1909" i="20"/>
  <c r="AD1909" i="20"/>
  <c r="AC1910" i="20"/>
  <c r="AF1910" i="20" s="1"/>
  <c r="AG1910" i="20" s="1"/>
  <c r="AD1910" i="20"/>
  <c r="AC1911" i="20"/>
  <c r="AF1911" i="20" s="1"/>
  <c r="AG1911" i="20" s="1"/>
  <c r="AD1911" i="20"/>
  <c r="AC1914" i="20"/>
  <c r="AD1914" i="20"/>
  <c r="AC1915" i="20"/>
  <c r="AF1915" i="20" s="1"/>
  <c r="AG1915" i="20" s="1"/>
  <c r="AD1915" i="20"/>
  <c r="AC1917" i="20"/>
  <c r="AF1917" i="20" s="1"/>
  <c r="AG1917" i="20" s="1"/>
  <c r="AD1917" i="20"/>
  <c r="AC1918" i="20"/>
  <c r="AF1918" i="20" s="1"/>
  <c r="AG1918" i="20" s="1"/>
  <c r="AD1918" i="20"/>
  <c r="AC1920" i="20"/>
  <c r="AF1920" i="20" s="1"/>
  <c r="AG1920" i="20" s="1"/>
  <c r="AD1920" i="20"/>
  <c r="AC1921" i="20"/>
  <c r="AF1921" i="20" s="1"/>
  <c r="AG1921" i="20" s="1"/>
  <c r="AD1921" i="20"/>
  <c r="AC1922" i="20"/>
  <c r="AD1922" i="20"/>
  <c r="AC1923" i="20"/>
  <c r="AD1923" i="20"/>
  <c r="AC1929" i="20"/>
  <c r="AF1929" i="20" s="1"/>
  <c r="AG1929" i="20" s="1"/>
  <c r="AD1929" i="20"/>
  <c r="AC1930" i="20"/>
  <c r="AF1930" i="20" s="1"/>
  <c r="AG1930" i="20" s="1"/>
  <c r="AD1930" i="20"/>
  <c r="AC1933" i="20"/>
  <c r="AF1933" i="20" s="1"/>
  <c r="AG1933" i="20" s="1"/>
  <c r="AD1933" i="20"/>
  <c r="AC1934" i="20"/>
  <c r="AF1934" i="20" s="1"/>
  <c r="AG1934" i="20" s="1"/>
  <c r="AD1934" i="20"/>
  <c r="AC1936" i="20"/>
  <c r="AF1936" i="20" s="1"/>
  <c r="AG1936" i="20" s="1"/>
  <c r="AD1936" i="20"/>
  <c r="AC1943" i="20"/>
  <c r="AF1943" i="20" s="1"/>
  <c r="AG1943" i="20" s="1"/>
  <c r="AD1943" i="20"/>
  <c r="AC1951" i="20"/>
  <c r="AF1951" i="20" s="1"/>
  <c r="AG1951" i="20" s="1"/>
  <c r="AD1951" i="20"/>
  <c r="AC1952" i="20"/>
  <c r="AF1952" i="20" s="1"/>
  <c r="AG1952" i="20" s="1"/>
  <c r="AD1952" i="20"/>
  <c r="AC1954" i="20"/>
  <c r="AD1954" i="20"/>
  <c r="AC1955" i="20"/>
  <c r="AF1955" i="20" s="1"/>
  <c r="AG1955" i="20" s="1"/>
  <c r="AD1955" i="20"/>
  <c r="AC1956" i="20"/>
  <c r="AF1956" i="20" s="1"/>
  <c r="AG1956" i="20" s="1"/>
  <c r="AD1956" i="20"/>
  <c r="AC1959" i="20"/>
  <c r="AF1959" i="20" s="1"/>
  <c r="AG1959" i="20" s="1"/>
  <c r="AD1959" i="20"/>
  <c r="AC1965" i="20"/>
  <c r="AF1965" i="20" s="1"/>
  <c r="AG1965" i="20" s="1"/>
  <c r="AD1965" i="20"/>
  <c r="AC1966" i="20"/>
  <c r="AF1966" i="20" s="1"/>
  <c r="AG1966" i="20" s="1"/>
  <c r="AD1966" i="20"/>
  <c r="AC1967" i="20"/>
  <c r="AF1967" i="20" s="1"/>
  <c r="AG1967" i="20" s="1"/>
  <c r="AD1967" i="20"/>
  <c r="AC1968" i="20"/>
  <c r="AF1968" i="20" s="1"/>
  <c r="AG1968" i="20" s="1"/>
  <c r="AD1968" i="20"/>
  <c r="AC1973" i="20"/>
  <c r="AF1973" i="20" s="1"/>
  <c r="AG1973" i="20" s="1"/>
  <c r="AD1973" i="20"/>
  <c r="AC1983" i="20"/>
  <c r="AF1983" i="20" s="1"/>
  <c r="AG1983" i="20" s="1"/>
  <c r="AD1983" i="20"/>
  <c r="AC1992" i="20"/>
  <c r="AF1992" i="20" s="1"/>
  <c r="AG1992" i="20" s="1"/>
  <c r="AD1992" i="20"/>
  <c r="AC1994" i="20"/>
  <c r="AF1994" i="20" s="1"/>
  <c r="AG1994" i="20" s="1"/>
  <c r="AD1994" i="20"/>
  <c r="AC1995" i="20"/>
  <c r="AF1995" i="20" s="1"/>
  <c r="AG1995" i="20" s="1"/>
  <c r="AD1995" i="20"/>
  <c r="AC1996" i="20"/>
  <c r="AF1996" i="20" s="1"/>
  <c r="AG1996" i="20" s="1"/>
  <c r="AD1996" i="20"/>
  <c r="AC1997" i="20"/>
  <c r="AD1997" i="20"/>
  <c r="AC1998" i="20"/>
  <c r="AF1998" i="20" s="1"/>
  <c r="AG1998" i="20" s="1"/>
  <c r="AD1998" i="20"/>
  <c r="AC1999" i="20"/>
  <c r="AF1999" i="20" s="1"/>
  <c r="AG1999" i="20" s="1"/>
  <c r="AD1999" i="20"/>
  <c r="AC2000" i="20"/>
  <c r="AF2000" i="20" s="1"/>
  <c r="AG2000" i="20" s="1"/>
  <c r="AD2000" i="20"/>
  <c r="AC2001" i="20"/>
  <c r="AD2001" i="20"/>
  <c r="AC2002" i="20"/>
  <c r="AF2002" i="20" s="1"/>
  <c r="AG2002" i="20" s="1"/>
  <c r="AD2002" i="20"/>
  <c r="AC2003" i="20"/>
  <c r="AF2003" i="20" s="1"/>
  <c r="AG2003" i="20" s="1"/>
  <c r="AD2003" i="20"/>
  <c r="AC2004" i="20"/>
  <c r="AF2004" i="20" s="1"/>
  <c r="AG2004" i="20" s="1"/>
  <c r="AD2004" i="20"/>
  <c r="AC2005" i="20"/>
  <c r="AF2005" i="20" s="1"/>
  <c r="AG2005" i="20" s="1"/>
  <c r="AD2005" i="20"/>
  <c r="AC2006" i="20"/>
  <c r="AF2006" i="20" s="1"/>
  <c r="AG2006" i="20" s="1"/>
  <c r="AD2006" i="20"/>
  <c r="AC2007" i="20"/>
  <c r="AF2007" i="20" s="1"/>
  <c r="AG2007" i="20" s="1"/>
  <c r="AD2007" i="20"/>
  <c r="AC2008" i="20"/>
  <c r="AD2008" i="20"/>
  <c r="AC2009" i="20"/>
  <c r="AD2009" i="20"/>
  <c r="AC2010" i="20"/>
  <c r="AF2010" i="20" s="1"/>
  <c r="AG2010" i="20" s="1"/>
  <c r="AD2010" i="20"/>
  <c r="AC2011" i="20"/>
  <c r="AD2011" i="20"/>
  <c r="AC2013" i="20"/>
  <c r="AF2013" i="20" s="1"/>
  <c r="AG2013" i="20" s="1"/>
  <c r="AD2013" i="20"/>
  <c r="AC2014" i="20"/>
  <c r="AF2014" i="20" s="1"/>
  <c r="AG2014" i="20" s="1"/>
  <c r="AD2014" i="20"/>
  <c r="AC2015" i="20"/>
  <c r="AD2015" i="20"/>
  <c r="AC2016" i="20"/>
  <c r="AD2016" i="20"/>
  <c r="AC2017" i="20"/>
  <c r="AF2017" i="20" s="1"/>
  <c r="AG2017" i="20" s="1"/>
  <c r="AD2017" i="20"/>
  <c r="AC2018" i="20"/>
  <c r="AF2018" i="20" s="1"/>
  <c r="AG2018" i="20" s="1"/>
  <c r="AD2018" i="20"/>
  <c r="AC2020" i="20"/>
  <c r="AD2020" i="20"/>
  <c r="AC2021" i="20"/>
  <c r="AF2021" i="20" s="1"/>
  <c r="AG2021" i="20" s="1"/>
  <c r="AD2021" i="20"/>
  <c r="AC2022" i="20"/>
  <c r="AF2022" i="20" s="1"/>
  <c r="AG2022" i="20" s="1"/>
  <c r="AD2022" i="20"/>
  <c r="AC2023" i="20"/>
  <c r="AD2023" i="20"/>
  <c r="AC2024" i="20"/>
  <c r="AD2024" i="20"/>
  <c r="AC2025" i="20"/>
  <c r="AF2025" i="20" s="1"/>
  <c r="AG2025" i="20" s="1"/>
  <c r="AD2025" i="20"/>
  <c r="AC2026" i="20"/>
  <c r="AF2026" i="20" s="1"/>
  <c r="AG2026" i="20" s="1"/>
  <c r="AD2026" i="20"/>
  <c r="AC2027" i="20"/>
  <c r="AD2027" i="20"/>
  <c r="AC2028" i="20"/>
  <c r="AF2028" i="20" s="1"/>
  <c r="AG2028" i="20" s="1"/>
  <c r="AD2028" i="20"/>
  <c r="AC2029" i="20"/>
  <c r="AF2029" i="20" s="1"/>
  <c r="AG2029" i="20" s="1"/>
  <c r="AD2029" i="20"/>
  <c r="AC2030" i="20"/>
  <c r="AF2030" i="20" s="1"/>
  <c r="AG2030" i="20" s="1"/>
  <c r="AD2030" i="20"/>
  <c r="AC2031" i="20"/>
  <c r="AD2031" i="20"/>
  <c r="AC2032" i="20"/>
  <c r="AD2032" i="20"/>
  <c r="AC2033" i="20"/>
  <c r="AF2033" i="20" s="1"/>
  <c r="AG2033" i="20" s="1"/>
  <c r="AD2033" i="20"/>
  <c r="AC2034" i="20"/>
  <c r="AF2034" i="20" s="1"/>
  <c r="AG2034" i="20" s="1"/>
  <c r="AD2034" i="20"/>
  <c r="AC2035" i="20"/>
  <c r="AD2035" i="20"/>
  <c r="AC2036" i="20"/>
  <c r="AF2036" i="20" s="1"/>
  <c r="AG2036" i="20" s="1"/>
  <c r="AD2036" i="20"/>
  <c r="AC2037" i="20"/>
  <c r="AF2037" i="20" s="1"/>
  <c r="AG2037" i="20" s="1"/>
  <c r="AD2037" i="20"/>
  <c r="AC2038" i="20"/>
  <c r="AF2038" i="20" s="1"/>
  <c r="AG2038" i="20" s="1"/>
  <c r="AD2038" i="20"/>
  <c r="AC2039" i="20"/>
  <c r="AD2039" i="20"/>
  <c r="AC2040" i="20"/>
  <c r="AF2040" i="20" s="1"/>
  <c r="AG2040" i="20" s="1"/>
  <c r="AD2040" i="20"/>
  <c r="AC2041" i="20"/>
  <c r="AF2041" i="20" s="1"/>
  <c r="AG2041" i="20" s="1"/>
  <c r="AD2041" i="20"/>
  <c r="AC2042" i="20"/>
  <c r="AF2042" i="20" s="1"/>
  <c r="AG2042" i="20" s="1"/>
  <c r="AD2042" i="20"/>
  <c r="AC2043" i="20"/>
  <c r="AD2043" i="20"/>
  <c r="AC2045" i="20"/>
  <c r="AF2045" i="20" s="1"/>
  <c r="AD2045" i="20"/>
  <c r="AC2046" i="20"/>
  <c r="AF2046" i="20" s="1"/>
  <c r="AG2046" i="20" s="1"/>
  <c r="AD2046" i="20"/>
  <c r="AC2047" i="20"/>
  <c r="AF2047" i="20" s="1"/>
  <c r="AD2047" i="20"/>
  <c r="AC2048" i="20"/>
  <c r="AF2048" i="20" s="1"/>
  <c r="AG2048" i="20" s="1"/>
  <c r="AD2048" i="20"/>
  <c r="AC2049" i="20"/>
  <c r="AF2049" i="20" s="1"/>
  <c r="AD2049" i="20"/>
  <c r="AC2050" i="20"/>
  <c r="AF2050" i="20" s="1"/>
  <c r="AG2050" i="20" s="1"/>
  <c r="AD2050" i="20"/>
  <c r="AC2051" i="20"/>
  <c r="AD2051" i="20"/>
  <c r="AC2052" i="20"/>
  <c r="AF2052" i="20" s="1"/>
  <c r="AG2052" i="20" s="1"/>
  <c r="AD2052" i="20"/>
  <c r="AC2054" i="20"/>
  <c r="AF2054" i="20" s="1"/>
  <c r="AG2054" i="20" s="1"/>
  <c r="AD2054" i="20"/>
  <c r="AC2055" i="20"/>
  <c r="AD2055" i="20"/>
  <c r="AC2056" i="20"/>
  <c r="AF2056" i="20" s="1"/>
  <c r="AG2056" i="20" s="1"/>
  <c r="AD2056" i="20"/>
  <c r="AC2057" i="20"/>
  <c r="AF2057" i="20" s="1"/>
  <c r="AD2057" i="20"/>
  <c r="AC2058" i="20"/>
  <c r="AF2058" i="20" s="1"/>
  <c r="AG2058" i="20" s="1"/>
  <c r="AD2058" i="20"/>
  <c r="AC2059" i="20"/>
  <c r="AF2059" i="20" s="1"/>
  <c r="AD2059" i="20"/>
  <c r="AC2060" i="20"/>
  <c r="AF2060" i="20" s="1"/>
  <c r="AG2060" i="20" s="1"/>
  <c r="AD2060" i="20"/>
  <c r="AC2061" i="20"/>
  <c r="AF2061" i="20" s="1"/>
  <c r="AD2061" i="20"/>
  <c r="AC2062" i="20"/>
  <c r="AF2062" i="20" s="1"/>
  <c r="AG2062" i="20" s="1"/>
  <c r="AD2062" i="20"/>
  <c r="AC2063" i="20"/>
  <c r="AF2063" i="20" s="1"/>
  <c r="AD2063" i="20"/>
  <c r="AC2064" i="20"/>
  <c r="AF2064" i="20" s="1"/>
  <c r="AG2064" i="20" s="1"/>
  <c r="AD2064" i="20"/>
  <c r="AC2065" i="20"/>
  <c r="AF2065" i="20" s="1"/>
  <c r="AD2065" i="20"/>
  <c r="AC2066" i="20"/>
  <c r="AF2066" i="20" s="1"/>
  <c r="AG2066" i="20" s="1"/>
  <c r="AD2066" i="20"/>
  <c r="AC2067" i="20"/>
  <c r="AF2067" i="20" s="1"/>
  <c r="AD2067" i="20"/>
  <c r="AC2068" i="20"/>
  <c r="AF2068" i="20" s="1"/>
  <c r="AG2068" i="20" s="1"/>
  <c r="AD2068" i="20"/>
  <c r="AC2069" i="20"/>
  <c r="AF2069" i="20" s="1"/>
  <c r="AD2069" i="20"/>
  <c r="AC2070" i="20"/>
  <c r="AF2070" i="20" s="1"/>
  <c r="AG2070" i="20" s="1"/>
  <c r="AD2070" i="20"/>
  <c r="AC2072" i="20"/>
  <c r="AF2072" i="20" s="1"/>
  <c r="AG2072" i="20" s="1"/>
  <c r="AD2072" i="20"/>
  <c r="AC2073" i="20"/>
  <c r="AF2073" i="20" s="1"/>
  <c r="AD2073" i="20"/>
  <c r="AC2074" i="20"/>
  <c r="AF2074" i="20" s="1"/>
  <c r="AG2074" i="20" s="1"/>
  <c r="AD2074" i="20"/>
  <c r="AC2075" i="20"/>
  <c r="AF2075" i="20" s="1"/>
  <c r="AD2075" i="20"/>
  <c r="AC2076" i="20"/>
  <c r="AF2076" i="20" s="1"/>
  <c r="AG2076" i="20" s="1"/>
  <c r="AD2076" i="20"/>
  <c r="AC2077" i="20"/>
  <c r="AF2077" i="20" s="1"/>
  <c r="AD2077" i="20"/>
  <c r="AC2078" i="20"/>
  <c r="AF2078" i="20" s="1"/>
  <c r="AG2078" i="20" s="1"/>
  <c r="AD2078" i="20"/>
  <c r="AC2079" i="20"/>
  <c r="AF2079" i="20" s="1"/>
  <c r="AD2079" i="20"/>
  <c r="AC2080" i="20"/>
  <c r="AF2080" i="20" s="1"/>
  <c r="AG2080" i="20" s="1"/>
  <c r="AD2080" i="20"/>
  <c r="AC2081" i="20"/>
  <c r="AF2081" i="20" s="1"/>
  <c r="AD2081" i="20"/>
  <c r="AC2082" i="20"/>
  <c r="AF2082" i="20" s="1"/>
  <c r="AG2082" i="20" s="1"/>
  <c r="AD2082" i="20"/>
  <c r="AC2083" i="20"/>
  <c r="AF2083" i="20" s="1"/>
  <c r="AD2083" i="20"/>
  <c r="AC2084" i="20"/>
  <c r="AF2084" i="20" s="1"/>
  <c r="AG2084" i="20" s="1"/>
  <c r="AD2084" i="20"/>
  <c r="AC2085" i="20"/>
  <c r="AD2085" i="20"/>
  <c r="AC2086" i="20"/>
  <c r="AF2086" i="20" s="1"/>
  <c r="AG2086" i="20" s="1"/>
  <c r="AD2086" i="20"/>
  <c r="AC2087" i="20"/>
  <c r="AD2087" i="20"/>
  <c r="AC2088" i="20"/>
  <c r="AF2088" i="20" s="1"/>
  <c r="AG2088" i="20" s="1"/>
  <c r="AD2088" i="20"/>
  <c r="AC2090" i="20"/>
  <c r="AF2090" i="20" s="1"/>
  <c r="AG2090" i="20" s="1"/>
  <c r="AD2090" i="20"/>
  <c r="AC2092" i="20"/>
  <c r="AF2092" i="20" s="1"/>
  <c r="AG2092" i="20" s="1"/>
  <c r="AD2092" i="20"/>
  <c r="AC2093" i="20"/>
  <c r="AF2093" i="20" s="1"/>
  <c r="AD2093" i="20"/>
  <c r="AC2094" i="20"/>
  <c r="AF2094" i="20" s="1"/>
  <c r="AG2094" i="20" s="1"/>
  <c r="AD2094" i="20"/>
  <c r="AC2095" i="20"/>
  <c r="AF2095" i="20" s="1"/>
  <c r="AD2095" i="20"/>
  <c r="AC2096" i="20"/>
  <c r="AF2096" i="20" s="1"/>
  <c r="AG2096" i="20" s="1"/>
  <c r="AD2096" i="20"/>
  <c r="AC2097" i="20"/>
  <c r="AF2097" i="20" s="1"/>
  <c r="AD2097" i="20"/>
  <c r="AC2098" i="20"/>
  <c r="AF2098" i="20" s="1"/>
  <c r="AG2098" i="20" s="1"/>
  <c r="AD2098" i="20"/>
  <c r="AC2099" i="20"/>
  <c r="AF2099" i="20" s="1"/>
  <c r="AD2099" i="20"/>
  <c r="AC2100" i="20"/>
  <c r="AF2100" i="20" s="1"/>
  <c r="AG2100" i="20" s="1"/>
  <c r="AD2100" i="20"/>
  <c r="AC2101" i="20"/>
  <c r="AF2101" i="20" s="1"/>
  <c r="AG2101" i="20" s="1"/>
  <c r="AD2101" i="20"/>
  <c r="AC2102" i="20"/>
  <c r="AD2102" i="20"/>
  <c r="AC2103" i="20"/>
  <c r="AF2103" i="20" s="1"/>
  <c r="AD2103" i="20"/>
  <c r="AC2104" i="20"/>
  <c r="AD2104" i="20"/>
  <c r="AC2105" i="20"/>
  <c r="AD2105" i="20"/>
  <c r="AC2106" i="20"/>
  <c r="AF2106" i="20" s="1"/>
  <c r="AG2106" i="20" s="1"/>
  <c r="AD2106" i="20"/>
  <c r="AC2107" i="20"/>
  <c r="AF2107" i="20" s="1"/>
  <c r="AG2107" i="20" s="1"/>
  <c r="AD2107" i="20"/>
  <c r="AC2108" i="20"/>
  <c r="AD2108" i="20"/>
  <c r="AC2109" i="20"/>
  <c r="AF2109" i="20" s="1"/>
  <c r="AG2109" i="20" s="1"/>
  <c r="AD2109" i="20"/>
  <c r="AC2110" i="20"/>
  <c r="AD2110" i="20"/>
  <c r="AC2111" i="20"/>
  <c r="AD2111" i="20"/>
  <c r="AC2112" i="20"/>
  <c r="AD2112" i="20"/>
  <c r="AC2113" i="20"/>
  <c r="AF2113" i="20" s="1"/>
  <c r="AG2113" i="20" s="1"/>
  <c r="AD2113" i="20"/>
  <c r="AC2114" i="20"/>
  <c r="AF2114" i="20" s="1"/>
  <c r="AG2114" i="20" s="1"/>
  <c r="AD2114" i="20"/>
  <c r="AC2115" i="20"/>
  <c r="AD2115" i="20"/>
  <c r="AC2116" i="20"/>
  <c r="AD2116" i="20"/>
  <c r="AC2117" i="20"/>
  <c r="AF2117" i="20" s="1"/>
  <c r="AG2117" i="20" s="1"/>
  <c r="AD2117" i="20"/>
  <c r="AC2118" i="20"/>
  <c r="AF2118" i="20" s="1"/>
  <c r="AG2118" i="20" s="1"/>
  <c r="AD2118" i="20"/>
  <c r="AC2119" i="20"/>
  <c r="AD2119" i="20"/>
  <c r="AC2120" i="20"/>
  <c r="AD2120" i="20"/>
  <c r="AC2121" i="20"/>
  <c r="AF2121" i="20" s="1"/>
  <c r="AG2121" i="20" s="1"/>
  <c r="AD2121" i="20"/>
  <c r="AC2122" i="20"/>
  <c r="AF2122" i="20" s="1"/>
  <c r="AG2122" i="20" s="1"/>
  <c r="AD2122" i="20"/>
  <c r="AC2123" i="20"/>
  <c r="AD2123" i="20"/>
  <c r="AC2125" i="20"/>
  <c r="AF2125" i="20" s="1"/>
  <c r="AG2125" i="20" s="1"/>
  <c r="AD2125" i="20"/>
  <c r="AC2126" i="20"/>
  <c r="AD2126" i="20"/>
  <c r="AC2127" i="20"/>
  <c r="AF2127" i="20" s="1"/>
  <c r="AG2127" i="20" s="1"/>
  <c r="AD2127" i="20"/>
  <c r="AC2129" i="20"/>
  <c r="AF2129" i="20" s="1"/>
  <c r="AG2129" i="20" s="1"/>
  <c r="AD2129" i="20"/>
  <c r="AC2131" i="20"/>
  <c r="AF2131" i="20" s="1"/>
  <c r="AG2131" i="20" s="1"/>
  <c r="AD2131" i="20"/>
  <c r="AC2132" i="20"/>
  <c r="AD2132" i="20"/>
  <c r="AC2133" i="20"/>
  <c r="AF2133" i="20" s="1"/>
  <c r="AG2133" i="20" s="1"/>
  <c r="AD2133" i="20"/>
  <c r="AC2134" i="20"/>
  <c r="AD2134" i="20"/>
  <c r="AC2135" i="20"/>
  <c r="AD2135" i="20"/>
  <c r="AC2137" i="20"/>
  <c r="AF2137" i="20" s="1"/>
  <c r="AG2137" i="20" s="1"/>
  <c r="AD2137" i="20"/>
  <c r="AC2138" i="20"/>
  <c r="AD2138" i="20"/>
  <c r="AC2139" i="20"/>
  <c r="AD2139" i="20"/>
  <c r="AC2140" i="20"/>
  <c r="AD2140" i="20"/>
  <c r="AC2141" i="20"/>
  <c r="AF2141" i="20" s="1"/>
  <c r="AG2141" i="20" s="1"/>
  <c r="AD2141" i="20"/>
  <c r="AC2142" i="20"/>
  <c r="AD2142" i="20"/>
  <c r="AC2143" i="20"/>
  <c r="AD2143" i="20"/>
  <c r="AC2144" i="20"/>
  <c r="AD2144" i="20"/>
  <c r="AC2146" i="20"/>
  <c r="AD2146" i="20"/>
  <c r="AC2147" i="20"/>
  <c r="AD2147" i="20"/>
  <c r="AC2148" i="20"/>
  <c r="AD2148" i="20"/>
  <c r="AC2149" i="20"/>
  <c r="AF2149" i="20" s="1"/>
  <c r="AG2149" i="20" s="1"/>
  <c r="AD2149" i="20"/>
  <c r="AC2150" i="20"/>
  <c r="AF2150" i="20" s="1"/>
  <c r="AG2150" i="20" s="1"/>
  <c r="AD2150" i="20"/>
  <c r="AC2151" i="20"/>
  <c r="AD2151" i="20"/>
  <c r="AC2152" i="20"/>
  <c r="AD2152" i="20"/>
  <c r="AC2154" i="20"/>
  <c r="AD2154" i="20"/>
  <c r="AC2155" i="20"/>
  <c r="AD2155" i="20"/>
  <c r="AC2156" i="20"/>
  <c r="AD2156" i="20"/>
  <c r="AC2157" i="20"/>
  <c r="AF2157" i="20" s="1"/>
  <c r="AG2157" i="20" s="1"/>
  <c r="AD2157" i="20"/>
  <c r="AC2158" i="20"/>
  <c r="AD2158" i="20"/>
  <c r="AC2159" i="20"/>
  <c r="AF2159" i="20" s="1"/>
  <c r="AG2159" i="20" s="1"/>
  <c r="AD2159" i="20"/>
  <c r="AC2160" i="20"/>
  <c r="AD2160" i="20"/>
  <c r="AC2161" i="20"/>
  <c r="AF2161" i="20" s="1"/>
  <c r="AG2161" i="20" s="1"/>
  <c r="AD2161" i="20"/>
  <c r="AC2162" i="20"/>
  <c r="AD2162" i="20"/>
  <c r="AC2163" i="20"/>
  <c r="AD2163" i="20"/>
  <c r="AC2164" i="20"/>
  <c r="AD2164" i="20"/>
  <c r="AC2165" i="20"/>
  <c r="AF2165" i="20" s="1"/>
  <c r="AG2165" i="20" s="1"/>
  <c r="AD2165" i="20"/>
  <c r="AC2166" i="20"/>
  <c r="AD2166" i="20"/>
  <c r="AC2167" i="20"/>
  <c r="AF2167" i="20" s="1"/>
  <c r="AG2167" i="20" s="1"/>
  <c r="AD2167" i="20"/>
  <c r="AC2168" i="20"/>
  <c r="AD2168" i="20"/>
  <c r="AC2169" i="20"/>
  <c r="AF2169" i="20" s="1"/>
  <c r="AG2169" i="20" s="1"/>
  <c r="AD2169" i="20"/>
  <c r="AC2170" i="20"/>
  <c r="AD2170" i="20"/>
  <c r="AC2171" i="20"/>
  <c r="AD2171" i="20"/>
  <c r="AC2172" i="20"/>
  <c r="AD2172" i="20"/>
  <c r="AC2173" i="20"/>
  <c r="AF2173" i="20" s="1"/>
  <c r="AG2173" i="20" s="1"/>
  <c r="AD2173" i="20"/>
  <c r="AC2174" i="20"/>
  <c r="AD2174" i="20"/>
  <c r="AC2175" i="20"/>
  <c r="AF2175" i="20" s="1"/>
  <c r="AG2175" i="20" s="1"/>
  <c r="AD2175" i="20"/>
  <c r="AC2176" i="20"/>
  <c r="AD2176" i="20"/>
  <c r="AC2177" i="20"/>
  <c r="AF2177" i="20" s="1"/>
  <c r="AG2177" i="20" s="1"/>
  <c r="AD2177" i="20"/>
  <c r="AC2178" i="20"/>
  <c r="AF2178" i="20" s="1"/>
  <c r="AG2178" i="20" s="1"/>
  <c r="AD2178" i="20"/>
  <c r="AC2179" i="20"/>
  <c r="AD2179" i="20"/>
  <c r="AC2180" i="20"/>
  <c r="AD2180" i="20"/>
  <c r="AC2181" i="20"/>
  <c r="AF2181" i="20" s="1"/>
  <c r="AG2181" i="20" s="1"/>
  <c r="AD2181" i="20"/>
  <c r="AC2182" i="20"/>
  <c r="AD2182" i="20"/>
  <c r="AC2183" i="20"/>
  <c r="AD2183" i="20"/>
  <c r="AC2184" i="20"/>
  <c r="AD2184" i="20"/>
  <c r="AC2185" i="20"/>
  <c r="AF2185" i="20" s="1"/>
  <c r="AG2185" i="20" s="1"/>
  <c r="AD2185" i="20"/>
  <c r="AC2186" i="20"/>
  <c r="AF2186" i="20" s="1"/>
  <c r="AG2186" i="20" s="1"/>
  <c r="AD2186" i="20"/>
  <c r="AC2187" i="20"/>
  <c r="AF2187" i="20" s="1"/>
  <c r="AG2187" i="20" s="1"/>
  <c r="AD2187" i="20"/>
  <c r="AC2188" i="20"/>
  <c r="AD2188" i="20"/>
  <c r="AC2189" i="20"/>
  <c r="AF2189" i="20" s="1"/>
  <c r="AG2189" i="20" s="1"/>
  <c r="AD2189" i="20"/>
  <c r="AC2190" i="20"/>
  <c r="AD2190" i="20"/>
  <c r="AC2191" i="20"/>
  <c r="AF2191" i="20" s="1"/>
  <c r="AG2191" i="20" s="1"/>
  <c r="AD2191" i="20"/>
  <c r="AC2192" i="20"/>
  <c r="AD2192" i="20"/>
  <c r="AC2193" i="20"/>
  <c r="AF2193" i="20" s="1"/>
  <c r="AG2193" i="20" s="1"/>
  <c r="AD2193" i="20"/>
  <c r="AC2194" i="20"/>
  <c r="AF2194" i="20" s="1"/>
  <c r="AG2194" i="20" s="1"/>
  <c r="AD2194" i="20"/>
  <c r="AC2195" i="20"/>
  <c r="AF2195" i="20" s="1"/>
  <c r="AG2195" i="20" s="1"/>
  <c r="AD2195" i="20"/>
  <c r="AC2196" i="20"/>
  <c r="AD2196" i="20"/>
  <c r="AC2197" i="20"/>
  <c r="AF2197" i="20" s="1"/>
  <c r="AG2197" i="20" s="1"/>
  <c r="AD2197" i="20"/>
  <c r="AC2198" i="20"/>
  <c r="AD2198" i="20"/>
  <c r="AC2200" i="20"/>
  <c r="AD2200" i="20"/>
  <c r="AC2201" i="20"/>
  <c r="AF2201" i="20" s="1"/>
  <c r="AG2201" i="20" s="1"/>
  <c r="AD2201" i="20"/>
  <c r="AC2202" i="20"/>
  <c r="AF2202" i="20" s="1"/>
  <c r="AG2202" i="20" s="1"/>
  <c r="AD2202" i="20"/>
  <c r="AC2203" i="20"/>
  <c r="AF2203" i="20" s="1"/>
  <c r="AG2203" i="20" s="1"/>
  <c r="AD2203" i="20"/>
  <c r="AC2204" i="20"/>
  <c r="AD2204" i="20"/>
  <c r="AC2205" i="20"/>
  <c r="AF2205" i="20" s="1"/>
  <c r="AG2205" i="20" s="1"/>
  <c r="AD2205" i="20"/>
  <c r="AC2206" i="20"/>
  <c r="AD2206" i="20"/>
  <c r="AC2207" i="20"/>
  <c r="AF2207" i="20" s="1"/>
  <c r="AG2207" i="20" s="1"/>
  <c r="AD2207" i="20"/>
  <c r="AC2208" i="20"/>
  <c r="AD2208" i="20"/>
  <c r="AC2209" i="20"/>
  <c r="AF2209" i="20" s="1"/>
  <c r="AG2209" i="20" s="1"/>
  <c r="AD2209" i="20"/>
  <c r="AC2210" i="20"/>
  <c r="AF2210" i="20" s="1"/>
  <c r="AG2210" i="20" s="1"/>
  <c r="AD2210" i="20"/>
  <c r="AC2211" i="20"/>
  <c r="AD2211" i="20"/>
  <c r="AC2212" i="20"/>
  <c r="AD2212" i="20"/>
  <c r="AC2213" i="20"/>
  <c r="AF2213" i="20" s="1"/>
  <c r="AG2213" i="20" s="1"/>
  <c r="AD2213" i="20"/>
  <c r="AC2214" i="20"/>
  <c r="AF2214" i="20" s="1"/>
  <c r="AG2214" i="20" s="1"/>
  <c r="AD2214" i="20"/>
  <c r="AC2215" i="20"/>
  <c r="AD2215" i="20"/>
  <c r="AC2216" i="20"/>
  <c r="AD2216" i="20"/>
  <c r="AC2217" i="20"/>
  <c r="AF2217" i="20" s="1"/>
  <c r="AG2217" i="20" s="1"/>
  <c r="AD2217" i="20"/>
  <c r="AC2218" i="20"/>
  <c r="AD2218" i="20"/>
  <c r="AC2219" i="20"/>
  <c r="AF2219" i="20" s="1"/>
  <c r="AG2219" i="20" s="1"/>
  <c r="AD2219" i="20"/>
  <c r="AC2220" i="20"/>
  <c r="AD2220" i="20"/>
  <c r="AC2221" i="20"/>
  <c r="AF2221" i="20" s="1"/>
  <c r="AG2221" i="20" s="1"/>
  <c r="AD2221" i="20"/>
  <c r="AC2222" i="20"/>
  <c r="AF2222" i="20" s="1"/>
  <c r="AG2222" i="20" s="1"/>
  <c r="AD2222" i="20"/>
  <c r="AC2223" i="20"/>
  <c r="AF2223" i="20" s="1"/>
  <c r="AG2223" i="20" s="1"/>
  <c r="AD2223" i="20"/>
  <c r="AC2224" i="20"/>
  <c r="AD2224" i="20"/>
  <c r="AC2225" i="20"/>
  <c r="AF2225" i="20" s="1"/>
  <c r="AG2225" i="20" s="1"/>
  <c r="AD2225" i="20"/>
  <c r="AC2226" i="20"/>
  <c r="AF2226" i="20" s="1"/>
  <c r="AG2226" i="20" s="1"/>
  <c r="AD2226" i="20"/>
  <c r="AC2227" i="20"/>
  <c r="AD2227" i="20"/>
  <c r="AC2228" i="20"/>
  <c r="AD2228" i="20"/>
  <c r="AC2229" i="20"/>
  <c r="AF2229" i="20" s="1"/>
  <c r="AG2229" i="20" s="1"/>
  <c r="AD2229" i="20"/>
  <c r="AC2230" i="20"/>
  <c r="AD2230" i="20"/>
  <c r="AC2231" i="20"/>
  <c r="AF2231" i="20" s="1"/>
  <c r="AG2231" i="20" s="1"/>
  <c r="AD2231" i="20"/>
  <c r="AC2232" i="20"/>
  <c r="AD2232" i="20"/>
  <c r="AC2234" i="20"/>
  <c r="AF2234" i="20" s="1"/>
  <c r="AG2234" i="20" s="1"/>
  <c r="AD2234" i="20"/>
  <c r="AC2235" i="20"/>
  <c r="AD2235" i="20"/>
  <c r="AC2236" i="20"/>
  <c r="AD2236" i="20"/>
  <c r="AC2237" i="20"/>
  <c r="AF2237" i="20" s="1"/>
  <c r="AG2237" i="20" s="1"/>
  <c r="AD2237" i="20"/>
  <c r="AC2238" i="20"/>
  <c r="AF2238" i="20" s="1"/>
  <c r="AG2238" i="20" s="1"/>
  <c r="AD2238" i="20"/>
  <c r="AC2239" i="20"/>
  <c r="AD2239" i="20"/>
  <c r="AC2240" i="20"/>
  <c r="AD2240" i="20"/>
  <c r="AC2241" i="20"/>
  <c r="AF2241" i="20" s="1"/>
  <c r="AG2241" i="20" s="1"/>
  <c r="AD2241" i="20"/>
  <c r="AC2242" i="20"/>
  <c r="AF2242" i="20" s="1"/>
  <c r="AG2242" i="20" s="1"/>
  <c r="AD2242" i="20"/>
  <c r="AC2243" i="20"/>
  <c r="AF2243" i="20" s="1"/>
  <c r="AG2243" i="20" s="1"/>
  <c r="AD2243" i="20"/>
  <c r="AC2244" i="20"/>
  <c r="AD2244" i="20"/>
  <c r="AC2245" i="20"/>
  <c r="AF2245" i="20" s="1"/>
  <c r="AG2245" i="20" s="1"/>
  <c r="AD2245" i="20"/>
  <c r="AC2246" i="20"/>
  <c r="AF2246" i="20" s="1"/>
  <c r="AG2246" i="20" s="1"/>
  <c r="AD2246" i="20"/>
  <c r="AC2247" i="20"/>
  <c r="AD2247" i="20"/>
  <c r="AC2248" i="20"/>
  <c r="AD2248" i="20"/>
  <c r="AC2249" i="20"/>
  <c r="AF2249" i="20" s="1"/>
  <c r="AG2249" i="20" s="1"/>
  <c r="AD2249" i="20"/>
  <c r="AC2250" i="20"/>
  <c r="AD2250" i="20"/>
  <c r="AC2251" i="20"/>
  <c r="AF2251" i="20" s="1"/>
  <c r="AG2251" i="20" s="1"/>
  <c r="AD2251" i="20"/>
  <c r="AC2252" i="20"/>
  <c r="AD2252" i="20"/>
  <c r="AC2253" i="20"/>
  <c r="AF2253" i="20" s="1"/>
  <c r="AG2253" i="20" s="1"/>
  <c r="AD2253" i="20"/>
  <c r="AC2254" i="20"/>
  <c r="AF2254" i="20" s="1"/>
  <c r="AG2254" i="20" s="1"/>
  <c r="AD2254" i="20"/>
  <c r="AC2255" i="20"/>
  <c r="AF2255" i="20" s="1"/>
  <c r="AG2255" i="20" s="1"/>
  <c r="AD2255" i="20"/>
  <c r="AC2256" i="20"/>
  <c r="AD2256" i="20"/>
  <c r="AC2257" i="20"/>
  <c r="AF2257" i="20" s="1"/>
  <c r="AG2257" i="20" s="1"/>
  <c r="AD2257" i="20"/>
  <c r="AC2258" i="20"/>
  <c r="AF2258" i="20" s="1"/>
  <c r="AG2258" i="20" s="1"/>
  <c r="AD2258" i="20"/>
  <c r="AC2259" i="20"/>
  <c r="AF2259" i="20" s="1"/>
  <c r="AG2259" i="20" s="1"/>
  <c r="AD2259" i="20"/>
  <c r="AC2260" i="20"/>
  <c r="AD2260" i="20"/>
  <c r="AC2261" i="20"/>
  <c r="AF2261" i="20" s="1"/>
  <c r="AG2261" i="20" s="1"/>
  <c r="AD2261" i="20"/>
  <c r="AC2262" i="20"/>
  <c r="AD2262" i="20"/>
  <c r="AC2263" i="20"/>
  <c r="AF2263" i="20" s="1"/>
  <c r="AG2263" i="20" s="1"/>
  <c r="AD2263" i="20"/>
  <c r="AC2265" i="20"/>
  <c r="AF2265" i="20" s="1"/>
  <c r="AG2265" i="20" s="1"/>
  <c r="AD2265" i="20"/>
  <c r="AC2266" i="20"/>
  <c r="AF2266" i="20" s="1"/>
  <c r="AG2266" i="20" s="1"/>
  <c r="AD2266" i="20"/>
  <c r="AC2268" i="20"/>
  <c r="AD2268" i="20"/>
  <c r="AC2269" i="20"/>
  <c r="AF2269" i="20" s="1"/>
  <c r="AG2269" i="20" s="1"/>
  <c r="AD2269" i="20"/>
  <c r="AC2270" i="20"/>
  <c r="AD2270" i="20"/>
  <c r="AC2271" i="20"/>
  <c r="AD2271" i="20"/>
  <c r="AC2272" i="20"/>
  <c r="AD2272" i="20"/>
  <c r="AC2273" i="20"/>
  <c r="AF2273" i="20" s="1"/>
  <c r="AG2273" i="20" s="1"/>
  <c r="AD2273" i="20"/>
  <c r="AC2275" i="20"/>
  <c r="AF2275" i="20" s="1"/>
  <c r="AG2275" i="20" s="1"/>
  <c r="AD2275" i="20"/>
  <c r="AC2276" i="20"/>
  <c r="AD2276" i="20"/>
  <c r="AC2277" i="20"/>
  <c r="AF2277" i="20" s="1"/>
  <c r="AG2277" i="20" s="1"/>
  <c r="AD2277" i="20"/>
  <c r="AC2278" i="20"/>
  <c r="AF2278" i="20" s="1"/>
  <c r="AG2278" i="20" s="1"/>
  <c r="AD2278" i="20"/>
  <c r="AC2279" i="20"/>
  <c r="AF2279" i="20" s="1"/>
  <c r="AG2279" i="20" s="1"/>
  <c r="AD2279" i="20"/>
  <c r="AC2280" i="20"/>
  <c r="AD2280" i="20"/>
  <c r="AC2281" i="20"/>
  <c r="AF2281" i="20" s="1"/>
  <c r="AG2281" i="20" s="1"/>
  <c r="AD2281" i="20"/>
  <c r="AC2282" i="20"/>
  <c r="AD2282" i="20"/>
  <c r="AC2283" i="20"/>
  <c r="AF2283" i="20" s="1"/>
  <c r="AG2283" i="20" s="1"/>
  <c r="AD2283" i="20"/>
  <c r="AC2284" i="20"/>
  <c r="AD2284" i="20"/>
  <c r="AC2285" i="20"/>
  <c r="AF2285" i="20" s="1"/>
  <c r="AG2285" i="20" s="1"/>
  <c r="AD2285" i="20"/>
  <c r="AC2286" i="20"/>
  <c r="AF2286" i="20" s="1"/>
  <c r="AG2286" i="20" s="1"/>
  <c r="AD2286" i="20"/>
  <c r="AC2287" i="20"/>
  <c r="AD2287" i="20"/>
  <c r="AC2288" i="20"/>
  <c r="AD2288" i="20"/>
  <c r="AC2289" i="20"/>
  <c r="AF2289" i="20" s="1"/>
  <c r="AG2289" i="20" s="1"/>
  <c r="AD2289" i="20"/>
  <c r="AC2290" i="20"/>
  <c r="AD2290" i="20"/>
  <c r="AC2291" i="20"/>
  <c r="AF2291" i="20" s="1"/>
  <c r="AG2291" i="20" s="1"/>
  <c r="AD2291" i="20"/>
  <c r="AC2292" i="20"/>
  <c r="AD2292" i="20"/>
  <c r="AC2293" i="20"/>
  <c r="AF2293" i="20" s="1"/>
  <c r="AG2293" i="20" s="1"/>
  <c r="AD2293" i="20"/>
  <c r="AC2295" i="20"/>
  <c r="AF2295" i="20" s="1"/>
  <c r="AG2295" i="20" s="1"/>
  <c r="AD2295" i="20"/>
  <c r="AC2296" i="20"/>
  <c r="AD2296" i="20"/>
  <c r="AC2297" i="20"/>
  <c r="AF2297" i="20" s="1"/>
  <c r="AG2297" i="20" s="1"/>
  <c r="AD2297" i="20"/>
  <c r="AC2298" i="20"/>
  <c r="AF2298" i="20" s="1"/>
  <c r="AG2298" i="20" s="1"/>
  <c r="AD2298" i="20"/>
  <c r="AC2299" i="20"/>
  <c r="AD2299" i="20"/>
  <c r="AC2300" i="20"/>
  <c r="AD2300" i="20"/>
  <c r="AC2301" i="20"/>
  <c r="AF2301" i="20" s="1"/>
  <c r="AG2301" i="20" s="1"/>
  <c r="AD2301" i="20"/>
  <c r="AC2302" i="20"/>
  <c r="AF2302" i="20" s="1"/>
  <c r="AG2302" i="20" s="1"/>
  <c r="AD2302" i="20"/>
  <c r="AC2303" i="20"/>
  <c r="AF2303" i="20" s="1"/>
  <c r="AG2303" i="20" s="1"/>
  <c r="AD2303" i="20"/>
  <c r="AC2304" i="20"/>
  <c r="AD2304" i="20"/>
  <c r="AC2305" i="20"/>
  <c r="AF2305" i="20" s="1"/>
  <c r="AG2305" i="20" s="1"/>
  <c r="AD2305" i="20"/>
  <c r="AC2306" i="20"/>
  <c r="AF2306" i="20" s="1"/>
  <c r="AG2306" i="20" s="1"/>
  <c r="AD2306" i="20"/>
  <c r="AC2307" i="20"/>
  <c r="AF2307" i="20" s="1"/>
  <c r="AG2307" i="20" s="1"/>
  <c r="AD2307" i="20"/>
  <c r="AC2308" i="20"/>
  <c r="AD2308" i="20"/>
  <c r="AC2309" i="20"/>
  <c r="AF2309" i="20" s="1"/>
  <c r="AG2309" i="20" s="1"/>
  <c r="AD2309" i="20"/>
  <c r="AC2310" i="20"/>
  <c r="AD2310" i="20"/>
  <c r="AC2312" i="20"/>
  <c r="AD2312" i="20"/>
  <c r="AC2313" i="20"/>
  <c r="AF2313" i="20" s="1"/>
  <c r="AG2313" i="20" s="1"/>
  <c r="AD2313" i="20"/>
  <c r="AC2314" i="20"/>
  <c r="AF2314" i="20" s="1"/>
  <c r="AG2314" i="20" s="1"/>
  <c r="AD2314" i="20"/>
  <c r="AC2315" i="20"/>
  <c r="AF2315" i="20" s="1"/>
  <c r="AG2315" i="20" s="1"/>
  <c r="AD2315" i="20"/>
  <c r="AC2316" i="20"/>
  <c r="AD2316" i="20"/>
  <c r="AC2317" i="20"/>
  <c r="AF2317" i="20" s="1"/>
  <c r="AG2317" i="20" s="1"/>
  <c r="AD2317" i="20"/>
  <c r="AC2318" i="20"/>
  <c r="AD2318" i="20"/>
  <c r="AC2319" i="20"/>
  <c r="AD2319" i="20"/>
  <c r="AC2320" i="20"/>
  <c r="AD2320" i="20"/>
  <c r="AC2322" i="20"/>
  <c r="AD2322" i="20"/>
  <c r="AC2323" i="20"/>
  <c r="AF2323" i="20" s="1"/>
  <c r="AG2323" i="20" s="1"/>
  <c r="AD2323" i="20"/>
  <c r="AC2324" i="20"/>
  <c r="AD2324" i="20"/>
  <c r="AC2325" i="20"/>
  <c r="AF2325" i="20" s="1"/>
  <c r="AG2325" i="20" s="1"/>
  <c r="AD2325" i="20"/>
  <c r="AC2326" i="20"/>
  <c r="AF2326" i="20" s="1"/>
  <c r="AG2326" i="20" s="1"/>
  <c r="AD2326" i="20"/>
  <c r="AC2327" i="20"/>
  <c r="AF2327" i="20" s="1"/>
  <c r="AG2327" i="20" s="1"/>
  <c r="AD2327" i="20"/>
  <c r="AC2329" i="20"/>
  <c r="AF2329" i="20" s="1"/>
  <c r="AG2329" i="20" s="1"/>
  <c r="AD2329" i="20"/>
  <c r="AC2330" i="20"/>
  <c r="AD2330" i="20"/>
  <c r="AC2331" i="20"/>
  <c r="AD2331" i="20"/>
  <c r="AC2332" i="20"/>
  <c r="AD2332" i="20"/>
  <c r="AC2333" i="20"/>
  <c r="AF2333" i="20" s="1"/>
  <c r="AG2333" i="20" s="1"/>
  <c r="AD2333" i="20"/>
  <c r="AC2334" i="20"/>
  <c r="AD2334" i="20"/>
  <c r="AC2335" i="20"/>
  <c r="AD2335" i="20"/>
  <c r="AC2336" i="20"/>
  <c r="AD2336" i="20"/>
  <c r="AC2337" i="20"/>
  <c r="AF2337" i="20" s="1"/>
  <c r="AG2337" i="20" s="1"/>
  <c r="AD2337" i="20"/>
  <c r="AC2338" i="20"/>
  <c r="AD2338" i="20"/>
  <c r="AC2339" i="20"/>
  <c r="AD2339" i="20"/>
  <c r="AC2340" i="20"/>
  <c r="AD2340" i="20"/>
  <c r="AC2341" i="20"/>
  <c r="AF2341" i="20" s="1"/>
  <c r="AG2341" i="20" s="1"/>
  <c r="AD2341" i="20"/>
  <c r="AC2342" i="20"/>
  <c r="AF2342" i="20" s="1"/>
  <c r="AG2342" i="20" s="1"/>
  <c r="AD2342" i="20"/>
  <c r="AC2343" i="20"/>
  <c r="AF2343" i="20" s="1"/>
  <c r="AG2343" i="20" s="1"/>
  <c r="AD2343" i="20"/>
  <c r="AC2344" i="20"/>
  <c r="AD2344" i="20"/>
  <c r="AC2345" i="20"/>
  <c r="AF2345" i="20" s="1"/>
  <c r="AG2345" i="20" s="1"/>
  <c r="AD2345" i="20"/>
  <c r="AC2346" i="20"/>
  <c r="AD2346" i="20"/>
  <c r="AC2347" i="20"/>
  <c r="AF2347" i="20" s="1"/>
  <c r="AG2347" i="20" s="1"/>
  <c r="AD2347" i="20"/>
  <c r="AC2348" i="20"/>
  <c r="AD2348" i="20"/>
  <c r="AC2349" i="20"/>
  <c r="AF2349" i="20" s="1"/>
  <c r="AG2349" i="20" s="1"/>
  <c r="AD2349" i="20"/>
  <c r="AC2350" i="20"/>
  <c r="AD2350" i="20"/>
  <c r="AC2351" i="20"/>
  <c r="AF2351" i="20" s="1"/>
  <c r="AG2351" i="20" s="1"/>
  <c r="AD2351" i="20"/>
  <c r="AC2352" i="20"/>
  <c r="AD2352" i="20"/>
  <c r="AC2353" i="20"/>
  <c r="AF2353" i="20" s="1"/>
  <c r="AG2353" i="20" s="1"/>
  <c r="AD2353" i="20"/>
  <c r="AC2354" i="20"/>
  <c r="AF2354" i="20" s="1"/>
  <c r="AG2354" i="20" s="1"/>
  <c r="AD2354" i="20"/>
  <c r="AC2356" i="20"/>
  <c r="AD2356" i="20"/>
  <c r="AC2357" i="20"/>
  <c r="AF2357" i="20" s="1"/>
  <c r="AG2357" i="20" s="1"/>
  <c r="AD2357" i="20"/>
  <c r="AC2358" i="20"/>
  <c r="AD2358" i="20"/>
  <c r="AC2359" i="20"/>
  <c r="AF2359" i="20" s="1"/>
  <c r="AG2359" i="20" s="1"/>
  <c r="AD2359" i="20"/>
  <c r="AC2360" i="20"/>
  <c r="AD2360" i="20"/>
  <c r="AC2361" i="20"/>
  <c r="AF2361" i="20" s="1"/>
  <c r="AG2361" i="20" s="1"/>
  <c r="AD2361" i="20"/>
  <c r="AC2362" i="20"/>
  <c r="AF2362" i="20" s="1"/>
  <c r="AG2362" i="20" s="1"/>
  <c r="AD2362" i="20"/>
  <c r="AC2363" i="20"/>
  <c r="AF2363" i="20" s="1"/>
  <c r="AG2363" i="20" s="1"/>
  <c r="AD2363" i="20"/>
  <c r="AC2364" i="20"/>
  <c r="AD2364" i="20"/>
  <c r="AC2365" i="20"/>
  <c r="AF2365" i="20" s="1"/>
  <c r="AG2365" i="20" s="1"/>
  <c r="AD2365" i="20"/>
  <c r="AC2366" i="20"/>
  <c r="AD2366" i="20"/>
  <c r="AC2367" i="20"/>
  <c r="AF2367" i="20" s="1"/>
  <c r="AG2367" i="20" s="1"/>
  <c r="AD2367" i="20"/>
  <c r="AC2368" i="20"/>
  <c r="AD2368" i="20"/>
  <c r="AC2369" i="20"/>
  <c r="AF2369" i="20" s="1"/>
  <c r="AG2369" i="20" s="1"/>
  <c r="AD2369" i="20"/>
  <c r="AC2370" i="20"/>
  <c r="AF2370" i="20" s="1"/>
  <c r="AG2370" i="20" s="1"/>
  <c r="AD2370" i="20"/>
  <c r="AC2371" i="20"/>
  <c r="AF2371" i="20" s="1"/>
  <c r="AG2371" i="20" s="1"/>
  <c r="AD2371" i="20"/>
  <c r="AC2372" i="20"/>
  <c r="AD2372" i="20"/>
  <c r="AC2373" i="20"/>
  <c r="AF2373" i="20" s="1"/>
  <c r="AG2373" i="20" s="1"/>
  <c r="AD2373" i="20"/>
  <c r="AC2374" i="20"/>
  <c r="AD2374" i="20"/>
  <c r="AC2375" i="20"/>
  <c r="AD2375" i="20"/>
  <c r="AC2376" i="20"/>
  <c r="AD2376" i="20"/>
  <c r="AC2377" i="20"/>
  <c r="AF2377" i="20" s="1"/>
  <c r="AG2377" i="20" s="1"/>
  <c r="AD2377" i="20"/>
  <c r="AC2379" i="20"/>
  <c r="AF2379" i="20" s="1"/>
  <c r="AG2379" i="20" s="1"/>
  <c r="AD2379" i="20"/>
  <c r="AC2380" i="20"/>
  <c r="AD2380" i="20"/>
  <c r="AC2381" i="20"/>
  <c r="AF2381" i="20" s="1"/>
  <c r="AG2381" i="20" s="1"/>
  <c r="AD2381" i="20"/>
  <c r="AC2382" i="20"/>
  <c r="AF2382" i="20" s="1"/>
  <c r="AG2382" i="20" s="1"/>
  <c r="AD2382" i="20"/>
  <c r="AC2383" i="20"/>
  <c r="AD2383" i="20"/>
  <c r="AC2384" i="20"/>
  <c r="AD2384" i="20"/>
  <c r="AC2385" i="20"/>
  <c r="AF2385" i="20" s="1"/>
  <c r="AG2385" i="20" s="1"/>
  <c r="AD2385" i="20"/>
  <c r="AC2386" i="20"/>
  <c r="AD2386" i="20"/>
  <c r="AC2387" i="20"/>
  <c r="AD2387" i="20"/>
  <c r="AC2388" i="20"/>
  <c r="AD2388" i="20"/>
  <c r="AC2389" i="20"/>
  <c r="AF2389" i="20" s="1"/>
  <c r="AG2389" i="20" s="1"/>
  <c r="AD2389" i="20"/>
  <c r="AC2390" i="20"/>
  <c r="AD2390" i="20"/>
  <c r="AC2391" i="20"/>
  <c r="AD2391" i="20"/>
  <c r="AC2392" i="20"/>
  <c r="AD2392" i="20"/>
  <c r="AC2393" i="20"/>
  <c r="AF2393" i="20" s="1"/>
  <c r="AG2393" i="20" s="1"/>
  <c r="AD2393" i="20"/>
  <c r="AC2394" i="20"/>
  <c r="AF2394" i="20" s="1"/>
  <c r="AG2394" i="20" s="1"/>
  <c r="AD2394" i="20"/>
  <c r="AC2395" i="20"/>
  <c r="AD2395" i="20"/>
  <c r="AC2396" i="20"/>
  <c r="AD2396" i="20"/>
  <c r="AC2397" i="20"/>
  <c r="AF2397" i="20" s="1"/>
  <c r="AG2397" i="20" s="1"/>
  <c r="AD2397" i="20"/>
  <c r="AC2398" i="20"/>
  <c r="AD2398" i="20"/>
  <c r="AC2399" i="20"/>
  <c r="AD2399" i="20"/>
  <c r="AC2400" i="20"/>
  <c r="AD2400" i="20"/>
  <c r="AC2401" i="20"/>
  <c r="AF2401" i="20" s="1"/>
  <c r="AG2401" i="20" s="1"/>
  <c r="AD2401" i="20"/>
  <c r="AC2402" i="20"/>
  <c r="AF2402" i="20" s="1"/>
  <c r="AG2402" i="20" s="1"/>
  <c r="AD2402" i="20"/>
  <c r="AC2403" i="20"/>
  <c r="AF2403" i="20" s="1"/>
  <c r="AG2403" i="20" s="1"/>
  <c r="AD2403" i="20"/>
  <c r="AC2404" i="20"/>
  <c r="AD2404" i="20"/>
  <c r="AC2406" i="20"/>
  <c r="AD2406" i="20"/>
  <c r="AC2407" i="20"/>
  <c r="AD2407" i="20"/>
  <c r="AC2408" i="20"/>
  <c r="AD2408" i="20"/>
  <c r="AC2409" i="20"/>
  <c r="AF2409" i="20" s="1"/>
  <c r="AG2409" i="20" s="1"/>
  <c r="AD2409" i="20"/>
  <c r="AC2410" i="20"/>
  <c r="AF2410" i="20" s="1"/>
  <c r="AG2410" i="20" s="1"/>
  <c r="AD2410" i="20"/>
  <c r="AC2411" i="20"/>
  <c r="AD2411" i="20"/>
  <c r="AC2412" i="20"/>
  <c r="AD2412" i="20"/>
  <c r="AC2413" i="20"/>
  <c r="AF2413" i="20" s="1"/>
  <c r="AG2413" i="20" s="1"/>
  <c r="AD2413" i="20"/>
  <c r="AC2414" i="20"/>
  <c r="AD2414" i="20"/>
  <c r="AC2416" i="20"/>
  <c r="AD2416" i="20"/>
  <c r="AC2417" i="20"/>
  <c r="AF2417" i="20" s="1"/>
  <c r="AG2417" i="20" s="1"/>
  <c r="AD2417" i="20"/>
  <c r="AC2418" i="20"/>
  <c r="AD2418" i="20"/>
  <c r="AC2419" i="20"/>
  <c r="AD2419" i="20"/>
  <c r="AC2420" i="20"/>
  <c r="AD2420" i="20"/>
  <c r="AC2421" i="20"/>
  <c r="AF2421" i="20" s="1"/>
  <c r="AG2421" i="20" s="1"/>
  <c r="AD2421" i="20"/>
  <c r="AC2422" i="20"/>
  <c r="AD2422" i="20"/>
  <c r="AC2423" i="20"/>
  <c r="AF2423" i="20" s="1"/>
  <c r="AG2423" i="20" s="1"/>
  <c r="AD2423" i="20"/>
  <c r="AC2424" i="20"/>
  <c r="AD2424" i="20"/>
  <c r="AC2425" i="20"/>
  <c r="AF2425" i="20" s="1"/>
  <c r="AG2425" i="20" s="1"/>
  <c r="AD2425" i="20"/>
  <c r="AC2426" i="20"/>
  <c r="AF2426" i="20" s="1"/>
  <c r="AG2426" i="20" s="1"/>
  <c r="AD2426" i="20"/>
  <c r="AC2427" i="20"/>
  <c r="AD2427" i="20"/>
  <c r="AC2428" i="20"/>
  <c r="AD2428" i="20"/>
  <c r="AC2429" i="20"/>
  <c r="AF2429" i="20" s="1"/>
  <c r="AG2429" i="20" s="1"/>
  <c r="AD2429" i="20"/>
  <c r="AC2430" i="20"/>
  <c r="AF2430" i="20" s="1"/>
  <c r="AG2430" i="20" s="1"/>
  <c r="AD2430" i="20"/>
  <c r="AC2431" i="20"/>
  <c r="AF2431" i="20" s="1"/>
  <c r="AG2431" i="20" s="1"/>
  <c r="AD2431" i="20"/>
  <c r="AC2432" i="20"/>
  <c r="AD2432" i="20"/>
  <c r="AC2433" i="20"/>
  <c r="AF2433" i="20" s="1"/>
  <c r="AG2433" i="20" s="1"/>
  <c r="AD2433" i="20"/>
  <c r="AC2434" i="20"/>
  <c r="AD2434" i="20"/>
  <c r="AC2435" i="20"/>
  <c r="AF2435" i="20" s="1"/>
  <c r="AG2435" i="20" s="1"/>
  <c r="AD2435" i="20"/>
  <c r="AC2436" i="20"/>
  <c r="AD2436" i="20"/>
  <c r="AC2437" i="20"/>
  <c r="AF2437" i="20" s="1"/>
  <c r="AG2437" i="20" s="1"/>
  <c r="AD2437" i="20"/>
  <c r="AC2438" i="20"/>
  <c r="AD2438" i="20"/>
  <c r="AC2439" i="20"/>
  <c r="AD2439" i="20"/>
  <c r="AC2440" i="20"/>
  <c r="AD2440" i="20"/>
  <c r="AC2441" i="20"/>
  <c r="AF2441" i="20" s="1"/>
  <c r="AG2441" i="20" s="1"/>
  <c r="AD2441" i="20"/>
  <c r="AC2442" i="20"/>
  <c r="AF2442" i="20" s="1"/>
  <c r="AG2442" i="20" s="1"/>
  <c r="AD2442" i="20"/>
  <c r="AC2443" i="20"/>
  <c r="AD2443" i="20"/>
  <c r="AC2444" i="20"/>
  <c r="AD2444" i="20"/>
  <c r="AC2445" i="20"/>
  <c r="AF2445" i="20" s="1"/>
  <c r="AG2445" i="20" s="1"/>
  <c r="AD2445" i="20"/>
  <c r="AC2446" i="20"/>
  <c r="AD2446" i="20"/>
  <c r="AC2447" i="20"/>
  <c r="AF2447" i="20" s="1"/>
  <c r="AG2447" i="20" s="1"/>
  <c r="AD2447" i="20"/>
  <c r="AC2448" i="20"/>
  <c r="AD2448" i="20"/>
  <c r="AC2449" i="20"/>
  <c r="AF2449" i="20" s="1"/>
  <c r="AG2449" i="20" s="1"/>
  <c r="AD2449" i="20"/>
  <c r="AC2450" i="20"/>
  <c r="AF2450" i="20" s="1"/>
  <c r="AG2450" i="20" s="1"/>
  <c r="AD2450" i="20"/>
  <c r="AC2451" i="20"/>
  <c r="AD2451" i="20"/>
  <c r="AC2452" i="20"/>
  <c r="AD2452" i="20"/>
  <c r="AC2453" i="20"/>
  <c r="AF2453" i="20" s="1"/>
  <c r="AG2453" i="20" s="1"/>
  <c r="AD2453" i="20"/>
  <c r="AC2454" i="20"/>
  <c r="AD2454" i="20"/>
  <c r="AC2455" i="20"/>
  <c r="AF2455" i="20" s="1"/>
  <c r="AG2455" i="20" s="1"/>
  <c r="AD2455" i="20"/>
  <c r="AC2457" i="20"/>
  <c r="AF2457" i="20" s="1"/>
  <c r="AG2457" i="20" s="1"/>
  <c r="AD2457" i="20"/>
  <c r="AC2458" i="20"/>
  <c r="AF2458" i="20" s="1"/>
  <c r="AG2458" i="20" s="1"/>
  <c r="AD2458" i="20"/>
  <c r="AC2459" i="20"/>
  <c r="AF2459" i="20" s="1"/>
  <c r="AG2459" i="20" s="1"/>
  <c r="AD2459" i="20"/>
  <c r="AC2460" i="20"/>
  <c r="AD2460" i="20"/>
  <c r="AC2462" i="20"/>
  <c r="AD2462" i="20"/>
  <c r="AC2463" i="20"/>
  <c r="AD2463" i="20"/>
  <c r="AC2465" i="20"/>
  <c r="AF2465" i="20" s="1"/>
  <c r="AG2465" i="20" s="1"/>
  <c r="AD2465" i="20"/>
  <c r="AC2466" i="20"/>
  <c r="AF2466" i="20" s="1"/>
  <c r="AG2466" i="20" s="1"/>
  <c r="AD2466" i="20"/>
  <c r="AC2467" i="20"/>
  <c r="AD2467" i="20"/>
  <c r="AC2468" i="20"/>
  <c r="AD2468" i="20"/>
  <c r="AC2469" i="20"/>
  <c r="AF2469" i="20" s="1"/>
  <c r="AG2469" i="20" s="1"/>
  <c r="AD2469" i="20"/>
  <c r="AC2470" i="20"/>
  <c r="AD2470" i="20"/>
  <c r="AC2471" i="20"/>
  <c r="AF2471" i="20" s="1"/>
  <c r="AG2471" i="20" s="1"/>
  <c r="AD2471" i="20"/>
  <c r="AC2472" i="20"/>
  <c r="AD2472" i="20"/>
  <c r="AC2474" i="20"/>
  <c r="AD2474" i="20"/>
  <c r="AC2475" i="20"/>
  <c r="AD2475" i="20"/>
  <c r="AC2476" i="20"/>
  <c r="AD2476" i="20"/>
  <c r="AC2477" i="20"/>
  <c r="AF2477" i="20" s="1"/>
  <c r="AG2477" i="20" s="1"/>
  <c r="AD2477" i="20"/>
  <c r="AC2478" i="20"/>
  <c r="AF2478" i="20" s="1"/>
  <c r="AG2478" i="20" s="1"/>
  <c r="AD2478" i="20"/>
  <c r="AC2479" i="20"/>
  <c r="AF2479" i="20" s="1"/>
  <c r="AG2479" i="20" s="1"/>
  <c r="AD2479" i="20"/>
  <c r="AC2480" i="20"/>
  <c r="AD2480" i="20"/>
  <c r="AC2481" i="20"/>
  <c r="AF2481" i="20" s="1"/>
  <c r="AG2481" i="20" s="1"/>
  <c r="AD2481" i="20"/>
  <c r="AC2482" i="20"/>
  <c r="AD2482" i="20"/>
  <c r="AC2483" i="20"/>
  <c r="AD2483" i="20"/>
  <c r="AC2485" i="20"/>
  <c r="AF2485" i="20" s="1"/>
  <c r="AG2485" i="20" s="1"/>
  <c r="AD2485" i="20"/>
  <c r="AC2486" i="20"/>
  <c r="AF2486" i="20" s="1"/>
  <c r="AG2486" i="20" s="1"/>
  <c r="AD2486" i="20"/>
  <c r="AC2487" i="20"/>
  <c r="AF2487" i="20" s="1"/>
  <c r="AG2487" i="20" s="1"/>
  <c r="AD2487" i="20"/>
  <c r="AC2488" i="20"/>
  <c r="AD2488" i="20"/>
  <c r="AC2489" i="20"/>
  <c r="AF2489" i="20" s="1"/>
  <c r="AG2489" i="20" s="1"/>
  <c r="AD2489" i="20"/>
  <c r="AC2490" i="20"/>
  <c r="AD2490" i="20"/>
  <c r="AC2491" i="20"/>
  <c r="AF2491" i="20" s="1"/>
  <c r="AG2491" i="20" s="1"/>
  <c r="AD2491" i="20"/>
  <c r="AC2492" i="20"/>
  <c r="AD2492" i="20"/>
  <c r="AC2493" i="20"/>
  <c r="AF2493" i="20" s="1"/>
  <c r="AG2493" i="20" s="1"/>
  <c r="AD2493" i="20"/>
  <c r="AC2494" i="20"/>
  <c r="AD2494" i="20"/>
  <c r="AC2495" i="20"/>
  <c r="AF2495" i="20" s="1"/>
  <c r="AG2495" i="20" s="1"/>
  <c r="AD2495" i="20"/>
  <c r="AC2497" i="20"/>
  <c r="AF2497" i="20" s="1"/>
  <c r="AG2497" i="20" s="1"/>
  <c r="AD2497" i="20"/>
  <c r="AC2498" i="20"/>
  <c r="AD2498" i="20"/>
  <c r="AC2499" i="20"/>
  <c r="AF2499" i="20" s="1"/>
  <c r="AG2499" i="20" s="1"/>
  <c r="AD2499" i="20"/>
  <c r="AC2500" i="20"/>
  <c r="AD2500" i="20"/>
  <c r="AC2501" i="20"/>
  <c r="AF2501" i="20" s="1"/>
  <c r="AG2501" i="20" s="1"/>
  <c r="AD2501" i="20"/>
  <c r="AC2502" i="20"/>
  <c r="AD2502" i="20"/>
  <c r="AC2503" i="20"/>
  <c r="AF2503" i="20" s="1"/>
  <c r="AG2503" i="20" s="1"/>
  <c r="AD2503" i="20"/>
  <c r="AC2504" i="20"/>
  <c r="AD2504" i="20"/>
  <c r="AC2506" i="20"/>
  <c r="AF2506" i="20" s="1"/>
  <c r="AG2506" i="20" s="1"/>
  <c r="AD2506" i="20"/>
  <c r="AC2507" i="20"/>
  <c r="AF2507" i="20" s="1"/>
  <c r="AG2507" i="20" s="1"/>
  <c r="AD2507" i="20"/>
  <c r="AC2508" i="20"/>
  <c r="AD2508" i="20"/>
  <c r="AC2509" i="20"/>
  <c r="AF2509" i="20" s="1"/>
  <c r="AG2509" i="20" s="1"/>
  <c r="AD2509" i="20"/>
  <c r="AC2510" i="20"/>
  <c r="AD2510" i="20"/>
  <c r="AC2511" i="20"/>
  <c r="AF2511" i="20" s="1"/>
  <c r="AG2511" i="20" s="1"/>
  <c r="AD2511" i="20"/>
  <c r="AC2513" i="20"/>
  <c r="AF2513" i="20" s="1"/>
  <c r="AG2513" i="20" s="1"/>
  <c r="AD2513" i="20"/>
  <c r="AC2516" i="20"/>
  <c r="AF2516" i="20" s="1"/>
  <c r="AG2516" i="20" s="1"/>
  <c r="AD2516" i="20"/>
  <c r="AC2517" i="20"/>
  <c r="AD2517" i="20"/>
  <c r="AC2518" i="20"/>
  <c r="AF2518" i="20" s="1"/>
  <c r="AG2518" i="20" s="1"/>
  <c r="AD2518" i="20"/>
  <c r="AC2519" i="20"/>
  <c r="AF2519" i="20" s="1"/>
  <c r="AG2519" i="20" s="1"/>
  <c r="AD2519" i="20"/>
  <c r="AC2520" i="20"/>
  <c r="AF2520" i="20" s="1"/>
  <c r="AG2520" i="20" s="1"/>
  <c r="AD2520" i="20"/>
  <c r="AC2521" i="20"/>
  <c r="AD2521" i="20"/>
  <c r="AC2522" i="20"/>
  <c r="AF2522" i="20" s="1"/>
  <c r="AG2522" i="20" s="1"/>
  <c r="AD2522" i="20"/>
  <c r="AC2523" i="20"/>
  <c r="AD2523" i="20"/>
  <c r="AC2525" i="20"/>
  <c r="AD2525" i="20"/>
  <c r="AC2526" i="20"/>
  <c r="AF2526" i="20" s="1"/>
  <c r="AG2526" i="20" s="1"/>
  <c r="AD2526" i="20"/>
  <c r="AC2527" i="20"/>
  <c r="AF2527" i="20" s="1"/>
  <c r="AG2527" i="20" s="1"/>
  <c r="AD2527" i="20"/>
  <c r="AC2528" i="20"/>
  <c r="AF2528" i="20" s="1"/>
  <c r="AG2528" i="20" s="1"/>
  <c r="AD2528" i="20"/>
  <c r="AC2530" i="20"/>
  <c r="AD2530" i="20"/>
  <c r="AC2531" i="20"/>
  <c r="AD2531" i="20"/>
  <c r="AC2532" i="20"/>
  <c r="AF2532" i="20" s="1"/>
  <c r="AG2532" i="20" s="1"/>
  <c r="AD2532" i="20"/>
  <c r="AC2533" i="20"/>
  <c r="AF2533" i="20" s="1"/>
  <c r="AG2533" i="20" s="1"/>
  <c r="AD2533" i="20"/>
  <c r="AC2534" i="20"/>
  <c r="AD2534" i="20"/>
  <c r="AC2535" i="20"/>
  <c r="AD2535" i="20"/>
  <c r="AC2536" i="20"/>
  <c r="AD2536" i="20"/>
  <c r="AC2537" i="20"/>
  <c r="AF2537" i="20" s="1"/>
  <c r="AG2537" i="20" s="1"/>
  <c r="AD2537" i="20"/>
  <c r="AC2538" i="20"/>
  <c r="AD2538" i="20"/>
  <c r="AC2539" i="20"/>
  <c r="AD2539" i="20"/>
  <c r="AC2540" i="20"/>
  <c r="AF2540" i="20" s="1"/>
  <c r="AG2540" i="20" s="1"/>
  <c r="AD2540" i="20"/>
  <c r="AC2541" i="20"/>
  <c r="AF2541" i="20" s="1"/>
  <c r="AG2541" i="20" s="1"/>
  <c r="AD2541" i="20"/>
  <c r="AC2542" i="20"/>
  <c r="AD2542" i="20"/>
  <c r="AC2543" i="20"/>
  <c r="AF2543" i="20" s="1"/>
  <c r="AG2543" i="20" s="1"/>
  <c r="AD2543" i="20"/>
  <c r="AC2544" i="20"/>
  <c r="AD2544" i="20"/>
  <c r="AC2545" i="20"/>
  <c r="AF2545" i="20" s="1"/>
  <c r="AG2545" i="20" s="1"/>
  <c r="AD2545" i="20"/>
  <c r="AC2546" i="20"/>
  <c r="AD2546" i="20"/>
  <c r="AC2547" i="20"/>
  <c r="AF2547" i="20" s="1"/>
  <c r="AG2547" i="20" s="1"/>
  <c r="AD2547" i="20"/>
  <c r="AC2548" i="20"/>
  <c r="AD2548" i="20"/>
  <c r="AC2549" i="20"/>
  <c r="AF2549" i="20" s="1"/>
  <c r="AG2549" i="20" s="1"/>
  <c r="AD2549" i="20"/>
  <c r="AC2551" i="20"/>
  <c r="AF2551" i="20" s="1"/>
  <c r="AG2551" i="20" s="1"/>
  <c r="AD2551" i="20"/>
  <c r="AC2552" i="20"/>
  <c r="AD2552" i="20"/>
  <c r="AC2553" i="20"/>
  <c r="AF2553" i="20" s="1"/>
  <c r="AG2553" i="20" s="1"/>
  <c r="AD2553" i="20"/>
  <c r="AC2554" i="20"/>
  <c r="AD2554" i="20"/>
  <c r="AC2555" i="20"/>
  <c r="AF2555" i="20" s="1"/>
  <c r="AG2555" i="20" s="1"/>
  <c r="AD2555" i="20"/>
  <c r="AC2556" i="20"/>
  <c r="AD2556" i="20"/>
  <c r="AC2557" i="20"/>
  <c r="AF2557" i="20" s="1"/>
  <c r="AG2557" i="20" s="1"/>
  <c r="AD2557" i="20"/>
  <c r="AC2558" i="20"/>
  <c r="AD2558" i="20"/>
  <c r="AC2559" i="20"/>
  <c r="AF2559" i="20" s="1"/>
  <c r="AG2559" i="20" s="1"/>
  <c r="AD2559" i="20"/>
  <c r="AC2560" i="20"/>
  <c r="AD2560" i="20"/>
  <c r="AC2561" i="20"/>
  <c r="AF2561" i="20" s="1"/>
  <c r="AG2561" i="20" s="1"/>
  <c r="AD2561" i="20"/>
  <c r="AC2562" i="20"/>
  <c r="AD2562" i="20"/>
  <c r="AC2563" i="20"/>
  <c r="AF2563" i="20" s="1"/>
  <c r="AG2563" i="20" s="1"/>
  <c r="AD2563" i="20"/>
  <c r="AC2564" i="20"/>
  <c r="AD2564" i="20"/>
  <c r="AC2565" i="20"/>
  <c r="AF2565" i="20" s="1"/>
  <c r="AG2565" i="20" s="1"/>
  <c r="AD2565" i="20"/>
  <c r="AC2566" i="20"/>
  <c r="AD2566" i="20"/>
  <c r="AC2567" i="20"/>
  <c r="AF2567" i="20" s="1"/>
  <c r="AG2567" i="20" s="1"/>
  <c r="AD2567" i="20"/>
  <c r="AC2568" i="20"/>
  <c r="AF2568" i="20" s="1"/>
  <c r="AG2568" i="20" s="1"/>
  <c r="AD2568" i="20"/>
  <c r="AC2569" i="20"/>
  <c r="AF2569" i="20" s="1"/>
  <c r="AG2569" i="20" s="1"/>
  <c r="AD2569" i="20"/>
  <c r="AC2570" i="20"/>
  <c r="AD2570" i="20"/>
  <c r="AC2571" i="20"/>
  <c r="AF2571" i="20" s="1"/>
  <c r="AG2571" i="20" s="1"/>
  <c r="AD2571" i="20"/>
  <c r="AC2572" i="20"/>
  <c r="AF2572" i="20" s="1"/>
  <c r="AG2572" i="20" s="1"/>
  <c r="AD2572" i="20"/>
  <c r="AC2573" i="20"/>
  <c r="AF2573" i="20" s="1"/>
  <c r="AG2573" i="20" s="1"/>
  <c r="AD2573" i="20"/>
  <c r="AC2575" i="20"/>
  <c r="AD2575" i="20"/>
  <c r="AC2576" i="20"/>
  <c r="AD2576" i="20"/>
  <c r="AC2578" i="20"/>
  <c r="AD2578" i="20"/>
  <c r="AC2579" i="20"/>
  <c r="AF2579" i="20" s="1"/>
  <c r="AG2579" i="20" s="1"/>
  <c r="AD2579" i="20"/>
  <c r="AC2580" i="20"/>
  <c r="AF2580" i="20" s="1"/>
  <c r="AG2580" i="20" s="1"/>
  <c r="AD2580" i="20"/>
  <c r="AC2581" i="20"/>
  <c r="AF2581" i="20" s="1"/>
  <c r="AG2581" i="20" s="1"/>
  <c r="AD2581" i="20"/>
  <c r="AC2582" i="20"/>
  <c r="AD2582" i="20"/>
  <c r="AC2585" i="20"/>
  <c r="AF2585" i="20" s="1"/>
  <c r="AG2585" i="20" s="1"/>
  <c r="AD2585" i="20"/>
  <c r="AC2586" i="20"/>
  <c r="AD2586" i="20"/>
  <c r="AC2587" i="20"/>
  <c r="AF2587" i="20" s="1"/>
  <c r="AG2587" i="20" s="1"/>
  <c r="AD2587" i="20"/>
  <c r="AC2588" i="20"/>
  <c r="AF2588" i="20" s="1"/>
  <c r="AG2588" i="20" s="1"/>
  <c r="AD2588" i="20"/>
  <c r="AC2590" i="20"/>
  <c r="AD2590" i="20"/>
  <c r="AC2591" i="20"/>
  <c r="AF2591" i="20" s="1"/>
  <c r="AG2591" i="20" s="1"/>
  <c r="AD2591" i="20"/>
  <c r="AC2592" i="20"/>
  <c r="AD2592" i="20"/>
  <c r="AC2594" i="20"/>
  <c r="AD2594" i="20"/>
  <c r="AC2595" i="20"/>
  <c r="AF2595" i="20" s="1"/>
  <c r="AG2595" i="20" s="1"/>
  <c r="AD2595" i="20"/>
  <c r="AC2596" i="20"/>
  <c r="AF2596" i="20" s="1"/>
  <c r="AG2596" i="20" s="1"/>
  <c r="AD2596" i="20"/>
  <c r="AC2597" i="20"/>
  <c r="AF2597" i="20" s="1"/>
  <c r="AG2597" i="20" s="1"/>
  <c r="AD2597" i="20"/>
  <c r="AC2598" i="20"/>
  <c r="AD2598" i="20"/>
  <c r="AC2600" i="20"/>
  <c r="AF2600" i="20" s="1"/>
  <c r="AG2600" i="20" s="1"/>
  <c r="AD2600" i="20"/>
  <c r="AC2601" i="20"/>
  <c r="AF2601" i="20" s="1"/>
  <c r="AG2601" i="20" s="1"/>
  <c r="AD2601" i="20"/>
  <c r="AC2602" i="20"/>
  <c r="AD2602" i="20"/>
  <c r="AC2603" i="20"/>
  <c r="AF2603" i="20" s="1"/>
  <c r="AG2603" i="20" s="1"/>
  <c r="AD2603" i="20"/>
  <c r="AC2604" i="20"/>
  <c r="AF2604" i="20" s="1"/>
  <c r="AG2604" i="20" s="1"/>
  <c r="AD2604" i="20"/>
  <c r="AC2605" i="20"/>
  <c r="AF2605" i="20" s="1"/>
  <c r="AG2605" i="20" s="1"/>
  <c r="AD2605" i="20"/>
  <c r="AC2606" i="20"/>
  <c r="AD2606" i="20"/>
  <c r="AC2607" i="20"/>
  <c r="AF2607" i="20" s="1"/>
  <c r="AG2607" i="20" s="1"/>
  <c r="AD2607" i="20"/>
  <c r="AC2608" i="20"/>
  <c r="AD2608" i="20"/>
  <c r="AC2609" i="20"/>
  <c r="AF2609" i="20" s="1"/>
  <c r="AG2609" i="20" s="1"/>
  <c r="AD2609" i="20"/>
  <c r="AC2610" i="20"/>
  <c r="AD2610" i="20"/>
  <c r="AC2611" i="20"/>
  <c r="AD2611" i="20"/>
  <c r="AC2613" i="20"/>
  <c r="AF2613" i="20" s="1"/>
  <c r="AG2613" i="20" s="1"/>
  <c r="AD2613" i="20"/>
  <c r="AC2614" i="20"/>
  <c r="AD2614" i="20"/>
  <c r="AC2615" i="20"/>
  <c r="AF2615" i="20" s="1"/>
  <c r="AG2615" i="20" s="1"/>
  <c r="AD2615" i="20"/>
  <c r="AC2616" i="20"/>
  <c r="AD2616" i="20"/>
  <c r="AC2617" i="20"/>
  <c r="AF2617" i="20" s="1"/>
  <c r="AG2617" i="20" s="1"/>
  <c r="AD2617" i="20"/>
  <c r="AC2618" i="20"/>
  <c r="AD2618" i="20"/>
  <c r="AC2619" i="20"/>
  <c r="AF2619" i="20" s="1"/>
  <c r="AG2619" i="20" s="1"/>
  <c r="AD2619" i="20"/>
  <c r="AC2620" i="20"/>
  <c r="AD2620" i="20"/>
  <c r="AC2621" i="20"/>
  <c r="AF2621" i="20" s="1"/>
  <c r="AG2621" i="20" s="1"/>
  <c r="AD2621" i="20"/>
  <c r="AC2622" i="20"/>
  <c r="AD2622" i="20"/>
  <c r="AC2623" i="20"/>
  <c r="AF2623" i="20" s="1"/>
  <c r="AG2623" i="20" s="1"/>
  <c r="AD2623" i="20"/>
  <c r="AC2624" i="20"/>
  <c r="AD2624" i="20"/>
  <c r="AC2625" i="20"/>
  <c r="AF2625" i="20" s="1"/>
  <c r="AG2625" i="20" s="1"/>
  <c r="AD2625" i="20"/>
  <c r="AC2626" i="20"/>
  <c r="AD2626" i="20"/>
  <c r="AC2627" i="20"/>
  <c r="AF2627" i="20" s="1"/>
  <c r="AG2627" i="20" s="1"/>
  <c r="AD2627" i="20"/>
  <c r="AC2628" i="20"/>
  <c r="AD2628" i="20"/>
  <c r="AC2629" i="20"/>
  <c r="AF2629" i="20" s="1"/>
  <c r="AG2629" i="20" s="1"/>
  <c r="AD2629" i="20"/>
  <c r="AC2630" i="20"/>
  <c r="AD2630" i="20"/>
  <c r="AC2631" i="20"/>
  <c r="AF2631" i="20" s="1"/>
  <c r="AG2631" i="20" s="1"/>
  <c r="AD2631" i="20"/>
  <c r="AC2632" i="20"/>
  <c r="AF2632" i="20" s="1"/>
  <c r="AG2632" i="20" s="1"/>
  <c r="AD2632" i="20"/>
  <c r="AC2634" i="20"/>
  <c r="AD2634" i="20"/>
  <c r="AC2635" i="20"/>
  <c r="AD2635" i="20"/>
  <c r="AC2636" i="20"/>
  <c r="AF2636" i="20" s="1"/>
  <c r="AG2636" i="20" s="1"/>
  <c r="AD2636" i="20"/>
  <c r="AC2638" i="20"/>
  <c r="AD2638" i="20"/>
  <c r="AC2639" i="20"/>
  <c r="AF2639" i="20" s="1"/>
  <c r="AG2639" i="20" s="1"/>
  <c r="AD2639" i="20"/>
  <c r="AC2640" i="20"/>
  <c r="AF2640" i="20" s="1"/>
  <c r="AG2640" i="20" s="1"/>
  <c r="AD2640" i="20"/>
  <c r="AC2641" i="20"/>
  <c r="AF2641" i="20" s="1"/>
  <c r="AG2641" i="20" s="1"/>
  <c r="AD2641" i="20"/>
  <c r="AC2642" i="20"/>
  <c r="AD2642" i="20"/>
  <c r="AC2643" i="20"/>
  <c r="AF2643" i="20" s="1"/>
  <c r="AG2643" i="20" s="1"/>
  <c r="AD2643" i="20"/>
  <c r="AC2644" i="20"/>
  <c r="AD2644" i="20"/>
  <c r="AC2645" i="20"/>
  <c r="AF2645" i="20" s="1"/>
  <c r="AG2645" i="20" s="1"/>
  <c r="AD2645" i="20"/>
  <c r="AC2646" i="20"/>
  <c r="AD2646" i="20"/>
  <c r="AC2647" i="20"/>
  <c r="AF2647" i="20" s="1"/>
  <c r="AG2647" i="20" s="1"/>
  <c r="AD2647" i="20"/>
  <c r="AC2648" i="20"/>
  <c r="AD2648" i="20"/>
  <c r="AC2649" i="20"/>
  <c r="AF2649" i="20" s="1"/>
  <c r="AG2649" i="20" s="1"/>
  <c r="AD2649" i="20"/>
  <c r="AC2650" i="20"/>
  <c r="AD2650" i="20"/>
  <c r="AC2651" i="20"/>
  <c r="AF2651" i="20" s="1"/>
  <c r="AG2651" i="20" s="1"/>
  <c r="AD2651" i="20"/>
  <c r="AC2652" i="20"/>
  <c r="AF2652" i="20" s="1"/>
  <c r="AG2652" i="20" s="1"/>
  <c r="AD2652" i="20"/>
  <c r="AC2653" i="20"/>
  <c r="AF2653" i="20" s="1"/>
  <c r="AG2653" i="20" s="1"/>
  <c r="AD2653" i="20"/>
  <c r="AC2655" i="20"/>
  <c r="AF2655" i="20" s="1"/>
  <c r="AG2655" i="20" s="1"/>
  <c r="AD2655" i="20"/>
  <c r="AC2657" i="20"/>
  <c r="AF2657" i="20" s="1"/>
  <c r="AG2657" i="20" s="1"/>
  <c r="AD2657" i="20"/>
  <c r="AC2659" i="20"/>
  <c r="AD2659" i="20"/>
  <c r="AC2660" i="20"/>
  <c r="AF2660" i="20" s="1"/>
  <c r="AG2660" i="20" s="1"/>
  <c r="AD2660" i="20"/>
  <c r="AC2662" i="20"/>
  <c r="AD2662" i="20"/>
  <c r="AC2663" i="20"/>
  <c r="AD2663" i="20"/>
  <c r="AC2664" i="20"/>
  <c r="AD2664" i="20"/>
  <c r="AC2665" i="20"/>
  <c r="AF2665" i="20" s="1"/>
  <c r="AG2665" i="20" s="1"/>
  <c r="AD2665" i="20"/>
  <c r="AC2666" i="20"/>
  <c r="AD2666" i="20"/>
  <c r="AC2667" i="20"/>
  <c r="AF2667" i="20" s="1"/>
  <c r="AG2667" i="20" s="1"/>
  <c r="AD2667" i="20"/>
  <c r="AC2668" i="20"/>
  <c r="AD2668" i="20"/>
  <c r="AC2669" i="20"/>
  <c r="AF2669" i="20" s="1"/>
  <c r="AG2669" i="20" s="1"/>
  <c r="AD2669" i="20"/>
  <c r="AC2670" i="20"/>
  <c r="AD2670" i="20"/>
  <c r="AC2672" i="20"/>
  <c r="AF2672" i="20" s="1"/>
  <c r="AD2672" i="20"/>
  <c r="AC2673" i="20"/>
  <c r="AF2673" i="20" s="1"/>
  <c r="AG2673" i="20" s="1"/>
  <c r="AD2673" i="20"/>
  <c r="AC2674" i="20"/>
  <c r="AD2674" i="20"/>
  <c r="AC2675" i="20"/>
  <c r="AD2675" i="20"/>
  <c r="AC2676" i="20"/>
  <c r="AF2676" i="20" s="1"/>
  <c r="AD2676" i="20"/>
  <c r="AC2677" i="20"/>
  <c r="AF2677" i="20" s="1"/>
  <c r="AG2677" i="20" s="1"/>
  <c r="AD2677" i="20"/>
  <c r="AC2678" i="20"/>
  <c r="AD2678" i="20"/>
  <c r="AC2679" i="20"/>
  <c r="AF2679" i="20" s="1"/>
  <c r="AG2679" i="20" s="1"/>
  <c r="AD2679" i="20"/>
  <c r="AC2680" i="20"/>
  <c r="AD2680" i="20"/>
  <c r="AC2681" i="20"/>
  <c r="AF2681" i="20" s="1"/>
  <c r="AG2681" i="20" s="1"/>
  <c r="AD2681" i="20"/>
  <c r="AC2682" i="20"/>
  <c r="AF2682" i="20" s="1"/>
  <c r="AD2682" i="20"/>
  <c r="AC2683" i="20"/>
  <c r="AF2683" i="20" s="1"/>
  <c r="AG2683" i="20" s="1"/>
  <c r="AD2683" i="20"/>
  <c r="AC2684" i="20"/>
  <c r="AF2684" i="20" s="1"/>
  <c r="AD2684" i="20"/>
  <c r="AC2685" i="20"/>
  <c r="AD2685" i="20"/>
  <c r="AC2686" i="20"/>
  <c r="AF2686" i="20" s="1"/>
  <c r="AD2686" i="20"/>
  <c r="AC2687" i="20"/>
  <c r="AF2687" i="20" s="1"/>
  <c r="AG2687" i="20" s="1"/>
  <c r="AD2687" i="20"/>
  <c r="AC2688" i="20"/>
  <c r="AF2688" i="20" s="1"/>
  <c r="AD2688" i="20"/>
  <c r="AC2689" i="20"/>
  <c r="AD2689" i="20"/>
  <c r="AC2690" i="20"/>
  <c r="AD2690" i="20"/>
  <c r="AC2691" i="20"/>
  <c r="AD2691" i="20"/>
  <c r="AC2692" i="20"/>
  <c r="AF2692" i="20" s="1"/>
  <c r="AD2692" i="20"/>
  <c r="AC2693" i="20"/>
  <c r="AD2693" i="20"/>
  <c r="AC2694" i="20"/>
  <c r="AD2694" i="20"/>
  <c r="AC2695" i="20"/>
  <c r="AF2695" i="20" s="1"/>
  <c r="AG2695" i="20" s="1"/>
  <c r="AD2695" i="20"/>
  <c r="AC2696" i="20"/>
  <c r="AF2696" i="20" s="1"/>
  <c r="AD2696" i="20"/>
  <c r="AC2698" i="20"/>
  <c r="AD2698" i="20"/>
  <c r="AC2699" i="20"/>
  <c r="AD2699" i="20"/>
  <c r="AC2700" i="20"/>
  <c r="AF2700" i="20" s="1"/>
  <c r="AD2700" i="20"/>
  <c r="AC2701" i="20"/>
  <c r="AD2701" i="20"/>
  <c r="AC2702" i="20"/>
  <c r="AF2702" i="20" s="1"/>
  <c r="AD2702" i="20"/>
  <c r="AC2703" i="20"/>
  <c r="AF2703" i="20" s="1"/>
  <c r="AG2703" i="20" s="1"/>
  <c r="AD2703" i="20"/>
  <c r="AC2704" i="20"/>
  <c r="AD2704" i="20"/>
  <c r="AC2706" i="20"/>
  <c r="AF2706" i="20" s="1"/>
  <c r="AD2706" i="20"/>
  <c r="AC2707" i="20"/>
  <c r="AF2707" i="20" s="1"/>
  <c r="AG2707" i="20" s="1"/>
  <c r="AD2707" i="20"/>
  <c r="AC2708" i="20"/>
  <c r="AF2708" i="20" s="1"/>
  <c r="AD2708" i="20"/>
  <c r="AC2709" i="20"/>
  <c r="AF2709" i="20" s="1"/>
  <c r="AG2709" i="20" s="1"/>
  <c r="AD2709" i="20"/>
  <c r="AC2710" i="20"/>
  <c r="AF2710" i="20" s="1"/>
  <c r="AD2710" i="20"/>
  <c r="AC2711" i="20"/>
  <c r="AF2711" i="20" s="1"/>
  <c r="AG2711" i="20" s="1"/>
  <c r="AD2711" i="20"/>
  <c r="AC2712" i="20"/>
  <c r="AF2712" i="20" s="1"/>
  <c r="AD2712" i="20"/>
  <c r="AC2713" i="20"/>
  <c r="AD2713" i="20"/>
  <c r="AC2714" i="20"/>
  <c r="AD2714" i="20"/>
  <c r="AC2715" i="20"/>
  <c r="AF2715" i="20" s="1"/>
  <c r="AG2715" i="20" s="1"/>
  <c r="AD2715" i="20"/>
  <c r="AC2716" i="20"/>
  <c r="AF2716" i="20" s="1"/>
  <c r="AD2716" i="20"/>
  <c r="AC2717" i="20"/>
  <c r="AD2717" i="20"/>
  <c r="AC2718" i="20"/>
  <c r="AF2718" i="20" s="1"/>
  <c r="AD2718" i="20"/>
  <c r="AC2719" i="20"/>
  <c r="AF2719" i="20" s="1"/>
  <c r="AG2719" i="20" s="1"/>
  <c r="AD2719" i="20"/>
  <c r="AC2720" i="20"/>
  <c r="AF2720" i="20" s="1"/>
  <c r="AD2720" i="20"/>
  <c r="AC2721" i="20"/>
  <c r="AF2721" i="20" s="1"/>
  <c r="AG2721" i="20" s="1"/>
  <c r="AD2721" i="20"/>
  <c r="AC2722" i="20"/>
  <c r="AF2722" i="20" s="1"/>
  <c r="AD2722" i="20"/>
  <c r="AC2723" i="20"/>
  <c r="AD2723" i="20"/>
  <c r="AC2724" i="20"/>
  <c r="AF2724" i="20" s="1"/>
  <c r="AD2724" i="20"/>
  <c r="AC2726" i="20"/>
  <c r="AD2726" i="20"/>
  <c r="AC2727" i="20"/>
  <c r="AF2727" i="20" s="1"/>
  <c r="AG2727" i="20" s="1"/>
  <c r="AD2727" i="20"/>
  <c r="AC2728" i="20"/>
  <c r="AF2728" i="20" s="1"/>
  <c r="AD2728" i="20"/>
  <c r="AC2729" i="20"/>
  <c r="AD2729" i="20"/>
  <c r="AC2730" i="20"/>
  <c r="AF2730" i="20" s="1"/>
  <c r="AD2730" i="20"/>
  <c r="AC2731" i="20"/>
  <c r="AD2731" i="20"/>
  <c r="AC2732" i="20"/>
  <c r="AF2732" i="20" s="1"/>
  <c r="AD2732" i="20"/>
  <c r="AC2733" i="20"/>
  <c r="AD2733" i="20"/>
  <c r="AC2734" i="20"/>
  <c r="AF2734" i="20" s="1"/>
  <c r="AD2734" i="20"/>
  <c r="AC2736" i="20"/>
  <c r="AF2736" i="20" s="1"/>
  <c r="AD2736" i="20"/>
  <c r="AC2737" i="20"/>
  <c r="AF2737" i="20" s="1"/>
  <c r="AG2737" i="20" s="1"/>
  <c r="AD2737" i="20"/>
  <c r="AC2738" i="20"/>
  <c r="AD2738" i="20"/>
  <c r="AC2739" i="20"/>
  <c r="AD2739" i="20"/>
  <c r="AC2740" i="20"/>
  <c r="AF2740" i="20" s="1"/>
  <c r="AD2740" i="20"/>
  <c r="AC2741" i="20"/>
  <c r="AD2741" i="20"/>
  <c r="AC2742" i="20"/>
  <c r="AD2742" i="20"/>
  <c r="AC2743" i="20"/>
  <c r="AF2743" i="20" s="1"/>
  <c r="AG2743" i="20" s="1"/>
  <c r="AD2743" i="20"/>
  <c r="AC2744" i="20"/>
  <c r="AD2744" i="20"/>
  <c r="AC2745" i="20"/>
  <c r="AF2745" i="20" s="1"/>
  <c r="AG2745" i="20" s="1"/>
  <c r="AD2745" i="20"/>
  <c r="AC2746" i="20"/>
  <c r="AF2746" i="20" s="1"/>
  <c r="AD2746" i="20"/>
  <c r="AC2747" i="20"/>
  <c r="AF2747" i="20" s="1"/>
  <c r="AG2747" i="20" s="1"/>
  <c r="AD2747" i="20"/>
  <c r="AC2748" i="20"/>
  <c r="AF2748" i="20" s="1"/>
  <c r="AD2748" i="20"/>
  <c r="AC2749" i="20"/>
  <c r="AD2749" i="20"/>
  <c r="AC2750" i="20"/>
  <c r="AD2750" i="20"/>
  <c r="AC2751" i="20"/>
  <c r="AF2751" i="20" s="1"/>
  <c r="AG2751" i="20" s="1"/>
  <c r="AD2751" i="20"/>
  <c r="AC2752" i="20"/>
  <c r="AD2752" i="20"/>
  <c r="AC2753" i="20"/>
  <c r="AD2753" i="20"/>
  <c r="AC2754" i="20"/>
  <c r="AF2754" i="20" s="1"/>
  <c r="AD2754" i="20"/>
  <c r="AC2755" i="20"/>
  <c r="AF2755" i="20" s="1"/>
  <c r="AG2755" i="20" s="1"/>
  <c r="AD2755" i="20"/>
  <c r="AC2756" i="20"/>
  <c r="AF2756" i="20" s="1"/>
  <c r="AD2756" i="20"/>
  <c r="AC2757" i="20"/>
  <c r="AF2757" i="20" s="1"/>
  <c r="AG2757" i="20" s="1"/>
  <c r="AD2757" i="20"/>
  <c r="AC2758" i="20"/>
  <c r="AD2758" i="20"/>
  <c r="AC2760" i="20"/>
  <c r="AD2760" i="20"/>
  <c r="AC2762" i="20"/>
  <c r="AF2762" i="20" s="1"/>
  <c r="AG2762" i="20" s="1"/>
  <c r="AD2762" i="20"/>
  <c r="AC2763" i="20"/>
  <c r="AF2763" i="20" s="1"/>
  <c r="AG2763" i="20" s="1"/>
  <c r="AD2763" i="20"/>
  <c r="AC2764" i="20"/>
  <c r="AF2764" i="20" s="1"/>
  <c r="AG2764" i="20" s="1"/>
  <c r="AD2764" i="20"/>
  <c r="AC2765" i="20"/>
  <c r="AF2765" i="20" s="1"/>
  <c r="AG2765" i="20" s="1"/>
  <c r="AD2765" i="20"/>
  <c r="AC2766" i="20"/>
  <c r="AD2766" i="20"/>
  <c r="AC2767" i="20"/>
  <c r="AF2767" i="20" s="1"/>
  <c r="AG2767" i="20" s="1"/>
  <c r="AD2767" i="20"/>
  <c r="AC2768" i="20"/>
  <c r="AF2768" i="20" s="1"/>
  <c r="AG2768" i="20" s="1"/>
  <c r="AD2768" i="20"/>
  <c r="AC2770" i="20"/>
  <c r="AD2770" i="20"/>
  <c r="AC2771" i="20"/>
  <c r="AF2771" i="20" s="1"/>
  <c r="AG2771" i="20" s="1"/>
  <c r="AD2771" i="20"/>
  <c r="AC2773" i="20"/>
  <c r="AF2773" i="20" s="1"/>
  <c r="AG2773" i="20" s="1"/>
  <c r="AD2773" i="20"/>
  <c r="AC2774" i="20"/>
  <c r="AF2774" i="20" s="1"/>
  <c r="AG2774" i="20" s="1"/>
  <c r="AD2774" i="20"/>
  <c r="AC2775" i="20"/>
  <c r="AF2775" i="20" s="1"/>
  <c r="AG2775" i="20" s="1"/>
  <c r="AD2775" i="20"/>
  <c r="AC2776" i="20"/>
  <c r="AF2776" i="20" s="1"/>
  <c r="AG2776" i="20" s="1"/>
  <c r="AD2776" i="20"/>
  <c r="AC2777" i="20"/>
  <c r="AD2777" i="20"/>
  <c r="AC2778" i="20"/>
  <c r="AD2778" i="20"/>
  <c r="AC2780" i="20"/>
  <c r="AF2780" i="20" s="1"/>
  <c r="AG2780" i="20" s="1"/>
  <c r="AD2780" i="20"/>
  <c r="AC2781" i="20"/>
  <c r="AF2781" i="20" s="1"/>
  <c r="AG2781" i="20" s="1"/>
  <c r="AD2781" i="20"/>
  <c r="AC2782" i="20"/>
  <c r="AD2782" i="20"/>
  <c r="AC2783" i="20"/>
  <c r="AF2783" i="20" s="1"/>
  <c r="AG2783" i="20" s="1"/>
  <c r="AD2783" i="20"/>
  <c r="AC2784" i="20"/>
  <c r="AF2784" i="20" s="1"/>
  <c r="AG2784" i="20" s="1"/>
  <c r="AD2784" i="20"/>
  <c r="AC2787" i="20"/>
  <c r="AF2787" i="20" s="1"/>
  <c r="AG2787" i="20" s="1"/>
  <c r="AD2787" i="20"/>
  <c r="AC2788" i="20"/>
  <c r="AF2788" i="20" s="1"/>
  <c r="AG2788" i="20" s="1"/>
  <c r="AD2788" i="20"/>
  <c r="AC2789" i="20"/>
  <c r="AF2789" i="20" s="1"/>
  <c r="AG2789" i="20" s="1"/>
  <c r="AD2789" i="20"/>
  <c r="AC2790" i="20"/>
  <c r="AF2790" i="20" s="1"/>
  <c r="AG2790" i="20" s="1"/>
  <c r="AD2790" i="20"/>
  <c r="AC2791" i="20"/>
  <c r="AF2791" i="20" s="1"/>
  <c r="AG2791" i="20" s="1"/>
  <c r="AD2791" i="20"/>
  <c r="AC2792" i="20"/>
  <c r="AF2792" i="20" s="1"/>
  <c r="AG2792" i="20" s="1"/>
  <c r="AD2792" i="20"/>
  <c r="AC2793" i="20"/>
  <c r="AD2793" i="20"/>
  <c r="AC2794" i="20"/>
  <c r="AD2794" i="20"/>
  <c r="AC2795" i="20"/>
  <c r="AF2795" i="20" s="1"/>
  <c r="AG2795" i="20" s="1"/>
  <c r="AD2795" i="20"/>
  <c r="AC2796" i="20"/>
  <c r="AF2796" i="20" s="1"/>
  <c r="AG2796" i="20" s="1"/>
  <c r="AD2796" i="20"/>
  <c r="AC2797" i="20"/>
  <c r="AF2797" i="20" s="1"/>
  <c r="AG2797" i="20" s="1"/>
  <c r="AD2797" i="20"/>
  <c r="AC2798" i="20"/>
  <c r="AD2798" i="20"/>
  <c r="AC2799" i="20"/>
  <c r="AF2799" i="20" s="1"/>
  <c r="AG2799" i="20" s="1"/>
  <c r="AD2799" i="20"/>
  <c r="AC2800" i="20"/>
  <c r="AF2800" i="20" s="1"/>
  <c r="AG2800" i="20" s="1"/>
  <c r="AD2800" i="20"/>
  <c r="AC2801" i="20"/>
  <c r="AD2801" i="20"/>
  <c r="AC2802" i="20"/>
  <c r="AD2802" i="20"/>
  <c r="AC2803" i="20"/>
  <c r="AF2803" i="20" s="1"/>
  <c r="AG2803" i="20" s="1"/>
  <c r="AD2803" i="20"/>
  <c r="AC2804" i="20"/>
  <c r="AF2804" i="20" s="1"/>
  <c r="AG2804" i="20" s="1"/>
  <c r="AD2804" i="20"/>
  <c r="AC2805" i="20"/>
  <c r="AF2805" i="20" s="1"/>
  <c r="AG2805" i="20" s="1"/>
  <c r="AD2805" i="20"/>
  <c r="AC2806" i="20"/>
  <c r="AF2806" i="20" s="1"/>
  <c r="AG2806" i="20" s="1"/>
  <c r="AD2806" i="20"/>
  <c r="AC2807" i="20"/>
  <c r="AF2807" i="20" s="1"/>
  <c r="AG2807" i="20" s="1"/>
  <c r="AD2807" i="20"/>
  <c r="AC2808" i="20"/>
  <c r="AF2808" i="20" s="1"/>
  <c r="AG2808" i="20" s="1"/>
  <c r="AD2808" i="20"/>
  <c r="AC2809" i="20"/>
  <c r="AD2809" i="20"/>
  <c r="AC2811" i="20"/>
  <c r="AF2811" i="20" s="1"/>
  <c r="AG2811" i="20" s="1"/>
  <c r="AD2811" i="20"/>
  <c r="AC2812" i="20"/>
  <c r="AF2812" i="20" s="1"/>
  <c r="AG2812" i="20" s="1"/>
  <c r="AD2812" i="20"/>
  <c r="AC2813" i="20"/>
  <c r="AF2813" i="20" s="1"/>
  <c r="AG2813" i="20" s="1"/>
  <c r="AD2813" i="20"/>
  <c r="AC2814" i="20"/>
  <c r="AD2814" i="20"/>
  <c r="AC2815" i="20"/>
  <c r="AF2815" i="20" s="1"/>
  <c r="AG2815" i="20" s="1"/>
  <c r="AD2815" i="20"/>
  <c r="AC2816" i="20"/>
  <c r="AF2816" i="20" s="1"/>
  <c r="AG2816" i="20" s="1"/>
  <c r="AD2816" i="20"/>
  <c r="AC2817" i="20"/>
  <c r="AD2817" i="20"/>
  <c r="AC2818" i="20"/>
  <c r="AD2818" i="20"/>
  <c r="AC2819" i="20"/>
  <c r="AF2819" i="20" s="1"/>
  <c r="AG2819" i="20" s="1"/>
  <c r="AD2819" i="20"/>
  <c r="AC2820" i="20"/>
  <c r="AF2820" i="20" s="1"/>
  <c r="AG2820" i="20" s="1"/>
  <c r="AD2820" i="20"/>
  <c r="AC2821" i="20"/>
  <c r="AF2821" i="20" s="1"/>
  <c r="AG2821" i="20" s="1"/>
  <c r="AD2821" i="20"/>
  <c r="AC2822" i="20"/>
  <c r="AF2822" i="20" s="1"/>
  <c r="AG2822" i="20" s="1"/>
  <c r="AD2822" i="20"/>
  <c r="AC2823" i="20"/>
  <c r="AF2823" i="20" s="1"/>
  <c r="AG2823" i="20" s="1"/>
  <c r="AD2823" i="20"/>
  <c r="AC2824" i="20"/>
  <c r="AF2824" i="20" s="1"/>
  <c r="AG2824" i="20" s="1"/>
  <c r="AD2824" i="20"/>
  <c r="AC2825" i="20"/>
  <c r="AD2825" i="20"/>
  <c r="AC2826" i="20"/>
  <c r="AF2826" i="20" s="1"/>
  <c r="AG2826" i="20" s="1"/>
  <c r="AD2826" i="20"/>
  <c r="AC2827" i="20"/>
  <c r="AF2827" i="20" s="1"/>
  <c r="AG2827" i="20" s="1"/>
  <c r="AD2827" i="20"/>
  <c r="AC2828" i="20"/>
  <c r="AF2828" i="20" s="1"/>
  <c r="AG2828" i="20" s="1"/>
  <c r="AD2828" i="20"/>
  <c r="AC2829" i="20"/>
  <c r="AF2829" i="20" s="1"/>
  <c r="AG2829" i="20" s="1"/>
  <c r="AD2829" i="20"/>
  <c r="AC2831" i="20"/>
  <c r="AF2831" i="20" s="1"/>
  <c r="AG2831" i="20" s="1"/>
  <c r="AD2831" i="20"/>
  <c r="AC2832" i="20"/>
  <c r="AF2832" i="20" s="1"/>
  <c r="AG2832" i="20" s="1"/>
  <c r="AD2832" i="20"/>
  <c r="AC2833" i="20"/>
  <c r="AF2833" i="20" s="1"/>
  <c r="AG2833" i="20" s="1"/>
  <c r="AD2833" i="20"/>
  <c r="AC2834" i="20"/>
  <c r="AD2834" i="20"/>
  <c r="AC2835" i="20"/>
  <c r="AF2835" i="20" s="1"/>
  <c r="AG2835" i="20" s="1"/>
  <c r="AD2835" i="20"/>
  <c r="AC2836" i="20"/>
  <c r="AF2836" i="20" s="1"/>
  <c r="AG2836" i="20" s="1"/>
  <c r="AD2836" i="20"/>
  <c r="AC2837" i="20"/>
  <c r="AF2837" i="20" s="1"/>
  <c r="AG2837" i="20" s="1"/>
  <c r="AD2837" i="20"/>
  <c r="AC2838" i="20"/>
  <c r="AF2838" i="20" s="1"/>
  <c r="AG2838" i="20" s="1"/>
  <c r="AD2838" i="20"/>
  <c r="AC2839" i="20"/>
  <c r="AF2839" i="20" s="1"/>
  <c r="AG2839" i="20" s="1"/>
  <c r="AD2839" i="20"/>
  <c r="AC2840" i="20"/>
  <c r="AF2840" i="20" s="1"/>
  <c r="AG2840" i="20" s="1"/>
  <c r="AD2840" i="20"/>
  <c r="AC2841" i="20"/>
  <c r="AD2841" i="20"/>
  <c r="AC2842" i="20"/>
  <c r="AF2842" i="20" s="1"/>
  <c r="AG2842" i="20" s="1"/>
  <c r="AD2842" i="20"/>
  <c r="AC2843" i="20"/>
  <c r="AF2843" i="20" s="1"/>
  <c r="AG2843" i="20" s="1"/>
  <c r="AD2843" i="20"/>
  <c r="AC2844" i="20"/>
  <c r="AF2844" i="20" s="1"/>
  <c r="AG2844" i="20" s="1"/>
  <c r="AD2844" i="20"/>
  <c r="AC2845" i="20"/>
  <c r="AF2845" i="20" s="1"/>
  <c r="AG2845" i="20" s="1"/>
  <c r="AD2845" i="20"/>
  <c r="AC2846" i="20"/>
  <c r="AD2846" i="20"/>
  <c r="AC2847" i="20"/>
  <c r="AF2847" i="20" s="1"/>
  <c r="AG2847" i="20" s="1"/>
  <c r="AD2847" i="20"/>
  <c r="AC2848" i="20"/>
  <c r="AF2848" i="20" s="1"/>
  <c r="AG2848" i="20" s="1"/>
  <c r="AD2848" i="20"/>
  <c r="AC2849" i="20"/>
  <c r="AD2849" i="20"/>
  <c r="AC2850" i="20"/>
  <c r="AD2850" i="20"/>
  <c r="AC2851" i="20"/>
  <c r="AF2851" i="20" s="1"/>
  <c r="AG2851" i="20" s="1"/>
  <c r="AD2851" i="20"/>
  <c r="AC2852" i="20"/>
  <c r="AF2852" i="20" s="1"/>
  <c r="AG2852" i="20" s="1"/>
  <c r="AD2852" i="20"/>
  <c r="AC2853" i="20"/>
  <c r="AF2853" i="20" s="1"/>
  <c r="AG2853" i="20" s="1"/>
  <c r="AD2853" i="20"/>
  <c r="AC2855" i="20"/>
  <c r="AF2855" i="20" s="1"/>
  <c r="AG2855" i="20" s="1"/>
  <c r="AD2855" i="20"/>
  <c r="AC2856" i="20"/>
  <c r="AF2856" i="20" s="1"/>
  <c r="AG2856" i="20" s="1"/>
  <c r="AD2856" i="20"/>
  <c r="AC2857" i="20"/>
  <c r="AD2857" i="20"/>
  <c r="AC2858" i="20"/>
  <c r="AF2858" i="20" s="1"/>
  <c r="AG2858" i="20" s="1"/>
  <c r="AD2858" i="20"/>
  <c r="AC2859" i="20"/>
  <c r="AF2859" i="20" s="1"/>
  <c r="AG2859" i="20" s="1"/>
  <c r="AD2859" i="20"/>
  <c r="AC2860" i="20"/>
  <c r="AF2860" i="20" s="1"/>
  <c r="AG2860" i="20" s="1"/>
  <c r="AD2860" i="20"/>
  <c r="AC2864" i="20"/>
  <c r="AF2864" i="20" s="1"/>
  <c r="AG2864" i="20" s="1"/>
  <c r="AD2864" i="20"/>
  <c r="AC2865" i="20"/>
  <c r="AF2865" i="20" s="1"/>
  <c r="AG2865" i="20" s="1"/>
  <c r="AD2865" i="20"/>
  <c r="AC2866" i="20"/>
  <c r="AF2866" i="20" s="1"/>
  <c r="AG2866" i="20" s="1"/>
  <c r="AD2866" i="20"/>
  <c r="AC2869" i="20"/>
  <c r="AF2869" i="20" s="1"/>
  <c r="AG2869" i="20" s="1"/>
  <c r="AD2869" i="20"/>
  <c r="AC2870" i="20"/>
  <c r="AF2870" i="20" s="1"/>
  <c r="AG2870" i="20" s="1"/>
  <c r="AD2870" i="20"/>
  <c r="AC2871" i="20"/>
  <c r="AF2871" i="20" s="1"/>
  <c r="AG2871" i="20" s="1"/>
  <c r="AD2871" i="20"/>
  <c r="AC2872" i="20"/>
  <c r="AF2872" i="20" s="1"/>
  <c r="AG2872" i="20" s="1"/>
  <c r="AD2872" i="20"/>
  <c r="AC2873" i="20"/>
  <c r="AF2873" i="20" s="1"/>
  <c r="AG2873" i="20" s="1"/>
  <c r="AD2873" i="20"/>
  <c r="AC2874" i="20"/>
  <c r="AD2874" i="20"/>
  <c r="AC2875" i="20"/>
  <c r="AF2875" i="20" s="1"/>
  <c r="AG2875" i="20" s="1"/>
  <c r="AD2875" i="20"/>
  <c r="AC2876" i="20"/>
  <c r="AF2876" i="20" s="1"/>
  <c r="AG2876" i="20" s="1"/>
  <c r="AD2876" i="20"/>
  <c r="AC2877" i="20"/>
  <c r="AF2877" i="20" s="1"/>
  <c r="AG2877" i="20" s="1"/>
  <c r="AD2877" i="20"/>
  <c r="AC2878" i="20"/>
  <c r="AD2878" i="20"/>
  <c r="AC2879" i="20"/>
  <c r="AF2879" i="20" s="1"/>
  <c r="AG2879" i="20" s="1"/>
  <c r="AD2879" i="20"/>
  <c r="AC2880" i="20"/>
  <c r="AF2880" i="20" s="1"/>
  <c r="AG2880" i="20" s="1"/>
  <c r="AD2880" i="20"/>
  <c r="AC2881" i="20"/>
  <c r="AF2881" i="20" s="1"/>
  <c r="AG2881" i="20" s="1"/>
  <c r="AD2881" i="20"/>
  <c r="AC2882" i="20"/>
  <c r="AF2882" i="20" s="1"/>
  <c r="AG2882" i="20" s="1"/>
  <c r="AD2882" i="20"/>
  <c r="AC2883" i="20"/>
  <c r="AD2883" i="20"/>
  <c r="AC2884" i="20"/>
  <c r="AF2884" i="20" s="1"/>
  <c r="AG2884" i="20" s="1"/>
  <c r="AD2884" i="20"/>
  <c r="AC2885" i="20"/>
  <c r="AF2885" i="20" s="1"/>
  <c r="AG2885" i="20" s="1"/>
  <c r="AD2885" i="20"/>
  <c r="AC2886" i="20"/>
  <c r="AF2886" i="20" s="1"/>
  <c r="AG2886" i="20" s="1"/>
  <c r="AD2886" i="20"/>
  <c r="AC2887" i="20"/>
  <c r="AD2887" i="20"/>
  <c r="AC2888" i="20"/>
  <c r="AF2888" i="20" s="1"/>
  <c r="AG2888" i="20" s="1"/>
  <c r="AD2888" i="20"/>
  <c r="AC2889" i="20"/>
  <c r="AF2889" i="20" s="1"/>
  <c r="AG2889" i="20" s="1"/>
  <c r="AD2889" i="20"/>
  <c r="AC2890" i="20"/>
  <c r="AD2890" i="20"/>
  <c r="AC2891" i="20"/>
  <c r="AD2891" i="20"/>
  <c r="AC2892" i="20"/>
  <c r="AF2892" i="20" s="1"/>
  <c r="AG2892" i="20" s="1"/>
  <c r="AD2892" i="20"/>
  <c r="AC2893" i="20"/>
  <c r="AF2893" i="20" s="1"/>
  <c r="AG2893" i="20" s="1"/>
  <c r="AD2893" i="20"/>
  <c r="AC2894" i="20"/>
  <c r="AD2894" i="20"/>
  <c r="AC2895" i="20"/>
  <c r="AF2895" i="20" s="1"/>
  <c r="AG2895" i="20" s="1"/>
  <c r="AD2895" i="20"/>
  <c r="AC2896" i="20"/>
  <c r="AF2896" i="20" s="1"/>
  <c r="AG2896" i="20" s="1"/>
  <c r="AD2896" i="20"/>
  <c r="AC2897" i="20"/>
  <c r="AF2897" i="20" s="1"/>
  <c r="AG2897" i="20" s="1"/>
  <c r="AD2897" i="20"/>
  <c r="AC2898" i="20"/>
  <c r="AD2898" i="20"/>
  <c r="AC2899" i="20"/>
  <c r="AD2899" i="20"/>
  <c r="AC2900" i="20"/>
  <c r="AF2900" i="20" s="1"/>
  <c r="AG2900" i="20" s="1"/>
  <c r="AD2900" i="20"/>
  <c r="AC2901" i="20"/>
  <c r="AF2901" i="20" s="1"/>
  <c r="AG2901" i="20" s="1"/>
  <c r="AD2901" i="20"/>
  <c r="AC2902" i="20"/>
  <c r="AF2902" i="20" s="1"/>
  <c r="AG2902" i="20" s="1"/>
  <c r="AD2902" i="20"/>
  <c r="AC2903" i="20"/>
  <c r="AF2903" i="20" s="1"/>
  <c r="AG2903" i="20" s="1"/>
  <c r="AD2903" i="20"/>
  <c r="AC2904" i="20"/>
  <c r="AF2904" i="20" s="1"/>
  <c r="AG2904" i="20" s="1"/>
  <c r="AD2904" i="20"/>
  <c r="AC2906" i="20"/>
  <c r="AD2906" i="20"/>
  <c r="AC2907" i="20"/>
  <c r="AD2907" i="20"/>
  <c r="AC2908" i="20"/>
  <c r="AF2908" i="20" s="1"/>
  <c r="AG2908" i="20" s="1"/>
  <c r="AD2908" i="20"/>
  <c r="AC2909" i="20"/>
  <c r="AF2909" i="20" s="1"/>
  <c r="AG2909" i="20" s="1"/>
  <c r="AD2909" i="20"/>
  <c r="AC2910" i="20"/>
  <c r="AD2910" i="20"/>
  <c r="AC2911" i="20"/>
  <c r="AF2911" i="20" s="1"/>
  <c r="AG2911" i="20" s="1"/>
  <c r="AD2911" i="20"/>
  <c r="AC2913" i="20"/>
  <c r="AF2913" i="20" s="1"/>
  <c r="AG2913" i="20" s="1"/>
  <c r="AD2913" i="20"/>
  <c r="AC2915" i="20"/>
  <c r="AD2915" i="20"/>
  <c r="AC2916" i="20"/>
  <c r="AD2916" i="20"/>
  <c r="AC2917" i="20"/>
  <c r="AF2917" i="20" s="1"/>
  <c r="AG2917" i="20" s="1"/>
  <c r="AD2917" i="20"/>
  <c r="AC2919" i="20"/>
  <c r="AF2919" i="20" s="1"/>
  <c r="AG2919" i="20" s="1"/>
  <c r="AD2919" i="20"/>
  <c r="AC2920" i="20"/>
  <c r="AF2920" i="20" s="1"/>
  <c r="AG2920" i="20" s="1"/>
  <c r="AD2920" i="20"/>
  <c r="AC2921" i="20"/>
  <c r="AF2921" i="20" s="1"/>
  <c r="AG2921" i="20" s="1"/>
  <c r="AD2921" i="20"/>
  <c r="AC2922" i="20"/>
  <c r="AF2922" i="20" s="1"/>
  <c r="AG2922" i="20" s="1"/>
  <c r="AD2922" i="20"/>
  <c r="AC2923" i="20"/>
  <c r="AD2923" i="20"/>
  <c r="AC2924" i="20"/>
  <c r="AF2924" i="20" s="1"/>
  <c r="AG2924" i="20" s="1"/>
  <c r="AD2924" i="20"/>
  <c r="AC2925" i="20"/>
  <c r="AF2925" i="20" s="1"/>
  <c r="AG2925" i="20" s="1"/>
  <c r="AD2925" i="20"/>
  <c r="AC2926" i="20"/>
  <c r="AF2926" i="20" s="1"/>
  <c r="AG2926" i="20" s="1"/>
  <c r="AD2926" i="20"/>
  <c r="AC2927" i="20"/>
  <c r="AD2927" i="20"/>
  <c r="AC2928" i="20"/>
  <c r="AF2928" i="20" s="1"/>
  <c r="AG2928" i="20" s="1"/>
  <c r="AD2928" i="20"/>
  <c r="AC2929" i="20"/>
  <c r="AF2929" i="20" s="1"/>
  <c r="AG2929" i="20" s="1"/>
  <c r="AD2929" i="20"/>
  <c r="AC2930" i="20"/>
  <c r="AF2930" i="20" s="1"/>
  <c r="AG2930" i="20" s="1"/>
  <c r="AD2930" i="20"/>
  <c r="AC2931" i="20"/>
  <c r="AD2931" i="20"/>
  <c r="AC2932" i="20"/>
  <c r="AD2932" i="20"/>
  <c r="AC2933" i="20"/>
  <c r="AF2933" i="20" s="1"/>
  <c r="AG2933" i="20" s="1"/>
  <c r="AD2933" i="20"/>
  <c r="AC2934" i="20"/>
  <c r="AF2934" i="20" s="1"/>
  <c r="AG2934" i="20" s="1"/>
  <c r="AD2934" i="20"/>
  <c r="AC2935" i="20"/>
  <c r="AF2935" i="20" s="1"/>
  <c r="AG2935" i="20" s="1"/>
  <c r="AD2935" i="20"/>
  <c r="AC2936" i="20"/>
  <c r="AD2936" i="20"/>
  <c r="AC2937" i="20"/>
  <c r="AF2937" i="20" s="1"/>
  <c r="AG2937" i="20" s="1"/>
  <c r="AD2937" i="20"/>
  <c r="AC2939" i="20"/>
  <c r="AD2939" i="20"/>
  <c r="AC2940" i="20"/>
  <c r="AD2940" i="20"/>
  <c r="AC2941" i="20"/>
  <c r="AF2941" i="20" s="1"/>
  <c r="AG2941" i="20" s="1"/>
  <c r="AD2941" i="20"/>
  <c r="AC2942" i="20"/>
  <c r="AF2942" i="20" s="1"/>
  <c r="AG2942" i="20" s="1"/>
  <c r="AD2942" i="20"/>
  <c r="AC2943" i="20"/>
  <c r="AD2943" i="20"/>
  <c r="AC2945" i="20"/>
  <c r="AF2945" i="20" s="1"/>
  <c r="AG2945" i="20" s="1"/>
  <c r="AD2945" i="20"/>
  <c r="AC2946" i="20"/>
  <c r="AF2946" i="20" s="1"/>
  <c r="AG2946" i="20" s="1"/>
  <c r="AD2946" i="20"/>
  <c r="AC2947" i="20"/>
  <c r="AF2947" i="20" s="1"/>
  <c r="AG2947" i="20" s="1"/>
  <c r="AD2947" i="20"/>
  <c r="AC2948" i="20"/>
  <c r="AD2948" i="20"/>
  <c r="AC2949" i="20"/>
  <c r="AF2949" i="20" s="1"/>
  <c r="AG2949" i="20" s="1"/>
  <c r="AD2949" i="20"/>
  <c r="AC2950" i="20"/>
  <c r="AF2950" i="20" s="1"/>
  <c r="AG2950" i="20" s="1"/>
  <c r="AD2950" i="20"/>
  <c r="AC2951" i="20"/>
  <c r="AF2951" i="20" s="1"/>
  <c r="AG2951" i="20" s="1"/>
  <c r="AD2951" i="20"/>
  <c r="AC2954" i="20"/>
  <c r="AF2954" i="20" s="1"/>
  <c r="AG2954" i="20" s="1"/>
  <c r="AD2954" i="20"/>
  <c r="AC2955" i="20"/>
  <c r="AF2955" i="20" s="1"/>
  <c r="AG2955" i="20" s="1"/>
  <c r="AD2955" i="20"/>
  <c r="AC2957" i="20"/>
  <c r="AF2957" i="20" s="1"/>
  <c r="AG2957" i="20" s="1"/>
  <c r="AD2957" i="20"/>
  <c r="AC2958" i="20"/>
  <c r="AF2958" i="20" s="1"/>
  <c r="AG2958" i="20" s="1"/>
  <c r="AD2958" i="20"/>
  <c r="AC2959" i="20"/>
  <c r="AF2959" i="20" s="1"/>
  <c r="AG2959" i="20" s="1"/>
  <c r="AD2959" i="20"/>
  <c r="AC2960" i="20"/>
  <c r="AD2960" i="20"/>
  <c r="AC2961" i="20"/>
  <c r="AF2961" i="20" s="1"/>
  <c r="AG2961" i="20" s="1"/>
  <c r="AD2961" i="20"/>
  <c r="AC2962" i="20"/>
  <c r="AF2962" i="20" s="1"/>
  <c r="AG2962" i="20" s="1"/>
  <c r="AD2962" i="20"/>
  <c r="AC2963" i="20"/>
  <c r="AD2963" i="20"/>
  <c r="AC2964" i="20"/>
  <c r="AF2964" i="20" s="1"/>
  <c r="AG2964" i="20" s="1"/>
  <c r="AD2964" i="20"/>
  <c r="AC2965" i="20"/>
  <c r="AF2965" i="20" s="1"/>
  <c r="AG2965" i="20" s="1"/>
  <c r="AD2965" i="20"/>
  <c r="AC2966" i="20"/>
  <c r="AF2966" i="20" s="1"/>
  <c r="AG2966" i="20" s="1"/>
  <c r="AD2966" i="20"/>
  <c r="AC2967" i="20"/>
  <c r="AD2967" i="20"/>
  <c r="AC2969" i="20"/>
  <c r="AF2969" i="20" s="1"/>
  <c r="AG2969" i="20" s="1"/>
  <c r="AD2969" i="20"/>
  <c r="AC2970" i="20"/>
  <c r="AF2970" i="20" s="1"/>
  <c r="AG2970" i="20" s="1"/>
  <c r="AD2970" i="20"/>
  <c r="AC2971" i="20"/>
  <c r="AF2971" i="20" s="1"/>
  <c r="AG2971" i="20" s="1"/>
  <c r="AD2971" i="20"/>
  <c r="AC2972" i="20"/>
  <c r="AD2972" i="20"/>
  <c r="AC2973" i="20"/>
  <c r="AF2973" i="20" s="1"/>
  <c r="AG2973" i="20" s="1"/>
  <c r="AD2973" i="20"/>
  <c r="AC2975" i="20"/>
  <c r="AD2975" i="20"/>
  <c r="AC2976" i="20"/>
  <c r="AF2976" i="20" s="1"/>
  <c r="AG2976" i="20" s="1"/>
  <c r="AD2976" i="20"/>
  <c r="AC2977" i="20"/>
  <c r="AF2977" i="20" s="1"/>
  <c r="AG2977" i="20" s="1"/>
  <c r="AD2977" i="20"/>
  <c r="AC2978" i="20"/>
  <c r="AF2978" i="20" s="1"/>
  <c r="AG2978" i="20" s="1"/>
  <c r="AD2978" i="20"/>
  <c r="AC2979" i="20"/>
  <c r="AF2979" i="20" s="1"/>
  <c r="AG2979" i="20" s="1"/>
  <c r="AD2979" i="20"/>
  <c r="AC2980" i="20"/>
  <c r="AD2980" i="20"/>
  <c r="AC2981" i="20"/>
  <c r="AF2981" i="20" s="1"/>
  <c r="AG2981" i="20" s="1"/>
  <c r="AD2981" i="20"/>
  <c r="AC2983" i="20"/>
  <c r="AD2983" i="20"/>
  <c r="AC2984" i="20"/>
  <c r="AD2984" i="20"/>
  <c r="AC2986" i="20"/>
  <c r="AF2986" i="20" s="1"/>
  <c r="AG2986" i="20" s="1"/>
  <c r="AD2986" i="20"/>
  <c r="AC2987" i="20"/>
  <c r="AD2987" i="20"/>
  <c r="AC2988" i="20"/>
  <c r="AD2988" i="20"/>
  <c r="AC2989" i="20"/>
  <c r="AF2989" i="20" s="1"/>
  <c r="AG2989" i="20" s="1"/>
  <c r="AD2989" i="20"/>
  <c r="AC2990" i="20"/>
  <c r="AF2990" i="20" s="1"/>
  <c r="AG2990" i="20" s="1"/>
  <c r="AD2990" i="20"/>
  <c r="AC2991" i="20"/>
  <c r="AF2991" i="20" s="1"/>
  <c r="AG2991" i="20" s="1"/>
  <c r="AD2991" i="20"/>
  <c r="AC2992" i="20"/>
  <c r="AF2992" i="20" s="1"/>
  <c r="AG2992" i="20" s="1"/>
  <c r="AD2992" i="20"/>
  <c r="AC2993" i="20"/>
  <c r="AF2993" i="20" s="1"/>
  <c r="AG2993" i="20" s="1"/>
  <c r="AD2993" i="20"/>
  <c r="AC2994" i="20"/>
  <c r="AF2994" i="20" s="1"/>
  <c r="AG2994" i="20" s="1"/>
  <c r="AD2994" i="20"/>
  <c r="AC2995" i="20"/>
  <c r="AF2995" i="20" s="1"/>
  <c r="AG2995" i="20" s="1"/>
  <c r="AD2995" i="20"/>
  <c r="AC2996" i="20"/>
  <c r="AD2996" i="20"/>
  <c r="AC2997" i="20"/>
  <c r="AF2997" i="20" s="1"/>
  <c r="AG2997" i="20" s="1"/>
  <c r="AD2997" i="20"/>
  <c r="AC2998" i="20"/>
  <c r="AF2998" i="20" s="1"/>
  <c r="AG2998" i="20" s="1"/>
  <c r="AD2998" i="20"/>
  <c r="AC2999" i="20"/>
  <c r="AD2999" i="20"/>
  <c r="AC3000" i="20"/>
  <c r="AF3000" i="20" s="1"/>
  <c r="AG3000" i="20" s="1"/>
  <c r="AD3000" i="20"/>
  <c r="AC3001" i="20"/>
  <c r="AF3001" i="20" s="1"/>
  <c r="AG3001" i="20" s="1"/>
  <c r="AD3001" i="20"/>
  <c r="AC3002" i="20"/>
  <c r="AF3002" i="20" s="1"/>
  <c r="AG3002" i="20" s="1"/>
  <c r="AD3002" i="20"/>
  <c r="AC3003" i="20"/>
  <c r="AD3003" i="20"/>
  <c r="AC3004" i="20"/>
  <c r="AD3004" i="20"/>
  <c r="AC3005" i="20"/>
  <c r="AF3005" i="20" s="1"/>
  <c r="AG3005" i="20" s="1"/>
  <c r="AD3005" i="20"/>
  <c r="AC3006" i="20"/>
  <c r="AF3006" i="20" s="1"/>
  <c r="AG3006" i="20" s="1"/>
  <c r="AD3006" i="20"/>
  <c r="AC3007" i="20"/>
  <c r="AD3007" i="20"/>
  <c r="AC3008" i="20"/>
  <c r="AF3008" i="20" s="1"/>
  <c r="AG3008" i="20" s="1"/>
  <c r="AD3008" i="20"/>
  <c r="AC3009" i="20"/>
  <c r="AF3009" i="20" s="1"/>
  <c r="AG3009" i="20" s="1"/>
  <c r="AD3009" i="20"/>
  <c r="AC3010" i="20"/>
  <c r="AF3010" i="20" s="1"/>
  <c r="AG3010" i="20" s="1"/>
  <c r="AD3010" i="20"/>
  <c r="AC3011" i="20"/>
  <c r="AD3011" i="20"/>
  <c r="AC3012" i="20"/>
  <c r="AF3012" i="20" s="1"/>
  <c r="AG3012" i="20" s="1"/>
  <c r="AD3012" i="20"/>
  <c r="AC3016" i="20"/>
  <c r="AF3016" i="20" s="1"/>
  <c r="AG3016" i="20" s="1"/>
  <c r="AD3016" i="20"/>
  <c r="AC3018" i="20"/>
  <c r="AF3018" i="20" s="1"/>
  <c r="AG3018" i="20" s="1"/>
  <c r="AD3018" i="20"/>
  <c r="AC3019" i="20"/>
  <c r="AD3019" i="20"/>
  <c r="AC3020" i="20"/>
  <c r="AD3020" i="20"/>
  <c r="AC3021" i="20"/>
  <c r="AF3021" i="20" s="1"/>
  <c r="AG3021" i="20" s="1"/>
  <c r="AD3021" i="20"/>
  <c r="AC3022" i="20"/>
  <c r="AF3022" i="20" s="1"/>
  <c r="AG3022" i="20" s="1"/>
  <c r="AD3022" i="20"/>
  <c r="AC3024" i="20"/>
  <c r="AF3024" i="20" s="1"/>
  <c r="AG3024" i="20" s="1"/>
  <c r="AD3024" i="20"/>
  <c r="AC3025" i="20"/>
  <c r="AF3025" i="20" s="1"/>
  <c r="AG3025" i="20" s="1"/>
  <c r="AD3025" i="20"/>
  <c r="AC3026" i="20"/>
  <c r="AF3026" i="20" s="1"/>
  <c r="AG3026" i="20" s="1"/>
  <c r="AD3026" i="20"/>
  <c r="AC3027" i="20"/>
  <c r="AF3027" i="20" s="1"/>
  <c r="AG3027" i="20" s="1"/>
  <c r="AD3027" i="20"/>
  <c r="AC3028" i="20"/>
  <c r="AF3028" i="20" s="1"/>
  <c r="AG3028" i="20" s="1"/>
  <c r="AD3028" i="20"/>
  <c r="AC3029" i="20"/>
  <c r="AF3029" i="20" s="1"/>
  <c r="AG3029" i="20" s="1"/>
  <c r="AD3029" i="20"/>
  <c r="AC3030" i="20"/>
  <c r="AF3030" i="20" s="1"/>
  <c r="AG3030" i="20" s="1"/>
  <c r="AD3030" i="20"/>
  <c r="AC3032" i="20"/>
  <c r="AF3032" i="20" s="1"/>
  <c r="AG3032" i="20" s="1"/>
  <c r="AD3032" i="20"/>
  <c r="AC3034" i="20"/>
  <c r="AF3034" i="20" s="1"/>
  <c r="AG3034" i="20" s="1"/>
  <c r="AD3034" i="20"/>
  <c r="AC3035" i="20"/>
  <c r="AD3035" i="20"/>
  <c r="AC3036" i="20"/>
  <c r="AD3036" i="20"/>
  <c r="AC3038" i="20"/>
  <c r="AF3038" i="20" s="1"/>
  <c r="AG3038" i="20" s="1"/>
  <c r="AD3038" i="20"/>
  <c r="AC3039" i="20"/>
  <c r="AF3039" i="20" s="1"/>
  <c r="AG3039" i="20" s="1"/>
  <c r="AD3039" i="20"/>
  <c r="AC3040" i="20"/>
  <c r="AF3040" i="20" s="1"/>
  <c r="AG3040" i="20" s="1"/>
  <c r="AD3040" i="20"/>
  <c r="AC3043" i="20"/>
  <c r="AF3043" i="20" s="1"/>
  <c r="AG3043" i="20" s="1"/>
  <c r="AD3043" i="20"/>
  <c r="AC3044" i="20"/>
  <c r="AD3044" i="20"/>
  <c r="AC3045" i="20"/>
  <c r="AD3045" i="20"/>
  <c r="AC3046" i="20"/>
  <c r="AF3046" i="20" s="1"/>
  <c r="AG3046" i="20" s="1"/>
  <c r="AD3046" i="20"/>
  <c r="AC3047" i="20"/>
  <c r="AF3047" i="20" s="1"/>
  <c r="AG3047" i="20" s="1"/>
  <c r="AD3047" i="20"/>
  <c r="AC3048" i="20"/>
  <c r="AD3048" i="20"/>
  <c r="AC3049" i="20"/>
  <c r="AD3049" i="20"/>
  <c r="AC3050" i="20"/>
  <c r="AF3050" i="20" s="1"/>
  <c r="AG3050" i="20" s="1"/>
  <c r="AD3050" i="20"/>
  <c r="AC3051" i="20"/>
  <c r="AF3051" i="20" s="1"/>
  <c r="AG3051" i="20" s="1"/>
  <c r="AD3051" i="20"/>
  <c r="AC3052" i="20"/>
  <c r="AD3052" i="20"/>
  <c r="AC3053" i="20"/>
  <c r="AD3053" i="20"/>
  <c r="AC3054" i="20"/>
  <c r="AF3054" i="20" s="1"/>
  <c r="AG3054" i="20" s="1"/>
  <c r="AD3054" i="20"/>
  <c r="AC3055" i="20"/>
  <c r="AF3055" i="20" s="1"/>
  <c r="AG3055" i="20" s="1"/>
  <c r="AD3055" i="20"/>
  <c r="AC3057" i="20"/>
  <c r="AF3057" i="20" s="1"/>
  <c r="AG3057" i="20" s="1"/>
  <c r="AD3057" i="20"/>
  <c r="AC3058" i="20"/>
  <c r="AF3058" i="20" s="1"/>
  <c r="AG3058" i="20" s="1"/>
  <c r="AD3058" i="20"/>
  <c r="AC3059" i="20"/>
  <c r="AF3059" i="20" s="1"/>
  <c r="AG3059" i="20" s="1"/>
  <c r="AD3059" i="20"/>
  <c r="AC3060" i="20"/>
  <c r="AF3060" i="20" s="1"/>
  <c r="AG3060" i="20" s="1"/>
  <c r="AD3060" i="20"/>
  <c r="AC3061" i="20"/>
  <c r="AD3061" i="20"/>
  <c r="AC3062" i="20"/>
  <c r="AF3062" i="20" s="1"/>
  <c r="AG3062" i="20" s="1"/>
  <c r="AD3062" i="20"/>
  <c r="AC3063" i="20"/>
  <c r="AF3063" i="20" s="1"/>
  <c r="AG3063" i="20" s="1"/>
  <c r="AD3063" i="20"/>
  <c r="AC3064" i="20"/>
  <c r="AD3064" i="20"/>
  <c r="AC3065" i="20"/>
  <c r="AD3065" i="20"/>
  <c r="AC3066" i="20"/>
  <c r="AF3066" i="20" s="1"/>
  <c r="AG3066" i="20" s="1"/>
  <c r="AD3066" i="20"/>
  <c r="AC3067" i="20"/>
  <c r="AF3067" i="20" s="1"/>
  <c r="AG3067" i="20" s="1"/>
  <c r="AD3067" i="20"/>
  <c r="AC3068" i="20"/>
  <c r="AF3068" i="20" s="1"/>
  <c r="AG3068" i="20" s="1"/>
  <c r="AD3068" i="20"/>
  <c r="AC3069" i="20"/>
  <c r="AF3069" i="20" s="1"/>
  <c r="AG3069" i="20" s="1"/>
  <c r="AD3069" i="20"/>
  <c r="AC3070" i="20"/>
  <c r="AF3070" i="20" s="1"/>
  <c r="AG3070" i="20" s="1"/>
  <c r="AD3070" i="20"/>
  <c r="AC3071" i="20"/>
  <c r="AF3071" i="20" s="1"/>
  <c r="AG3071" i="20" s="1"/>
  <c r="AD3071" i="20"/>
  <c r="AC3072" i="20"/>
  <c r="AF3072" i="20" s="1"/>
  <c r="AG3072" i="20" s="1"/>
  <c r="AD3072" i="20"/>
  <c r="AC3074" i="20"/>
  <c r="AF3074" i="20" s="1"/>
  <c r="AG3074" i="20" s="1"/>
  <c r="AD3074" i="20"/>
  <c r="AC3075" i="20"/>
  <c r="AF3075" i="20" s="1"/>
  <c r="AG3075" i="20" s="1"/>
  <c r="AD3075" i="20"/>
  <c r="AC3076" i="20"/>
  <c r="AF3076" i="20" s="1"/>
  <c r="AG3076" i="20" s="1"/>
  <c r="AD3076" i="20"/>
  <c r="AC3077" i="20"/>
  <c r="AF3077" i="20" s="1"/>
  <c r="AG3077" i="20" s="1"/>
  <c r="AD3077" i="20"/>
  <c r="AC3078" i="20"/>
  <c r="AF3078" i="20" s="1"/>
  <c r="AG3078" i="20" s="1"/>
  <c r="AD3078" i="20"/>
  <c r="AC3080" i="20"/>
  <c r="AD3080" i="20"/>
  <c r="AC3081" i="20"/>
  <c r="AF3081" i="20" s="1"/>
  <c r="AG3081" i="20" s="1"/>
  <c r="AD3081" i="20"/>
  <c r="AC3082" i="20"/>
  <c r="AF3082" i="20" s="1"/>
  <c r="AG3082" i="20" s="1"/>
  <c r="AD3082" i="20"/>
  <c r="AC3084" i="20"/>
  <c r="AD3084" i="20"/>
  <c r="AC3085" i="20"/>
  <c r="AD3085" i="20"/>
  <c r="AC3086" i="20"/>
  <c r="AF3086" i="20" s="1"/>
  <c r="AG3086" i="20" s="1"/>
  <c r="AD3086" i="20"/>
  <c r="AC3087" i="20"/>
  <c r="AF3087" i="20" s="1"/>
  <c r="AG3087" i="20" s="1"/>
  <c r="AD3087" i="20"/>
  <c r="AC3088" i="20"/>
  <c r="AF3088" i="20" s="1"/>
  <c r="AG3088" i="20" s="1"/>
  <c r="AD3088" i="20"/>
  <c r="AC3089" i="20"/>
  <c r="AF3089" i="20" s="1"/>
  <c r="AG3089" i="20" s="1"/>
  <c r="AD3089" i="20"/>
  <c r="AC3090" i="20"/>
  <c r="AF3090" i="20" s="1"/>
  <c r="AG3090" i="20" s="1"/>
  <c r="AD3090" i="20"/>
  <c r="AC3092" i="20"/>
  <c r="AF3092" i="20" s="1"/>
  <c r="AG3092" i="20" s="1"/>
  <c r="AD3092" i="20"/>
  <c r="AC3093" i="20"/>
  <c r="AF3093" i="20" s="1"/>
  <c r="AG3093" i="20" s="1"/>
  <c r="AD3093" i="20"/>
  <c r="AC3094" i="20"/>
  <c r="AF3094" i="20" s="1"/>
  <c r="AG3094" i="20" s="1"/>
  <c r="AD3094" i="20"/>
  <c r="AC3095" i="20"/>
  <c r="AF3095" i="20" s="1"/>
  <c r="AG3095" i="20" s="1"/>
  <c r="AD3095" i="20"/>
  <c r="AC3096" i="20"/>
  <c r="AD3096" i="20"/>
  <c r="AC3097" i="20"/>
  <c r="AD3097" i="20"/>
  <c r="AC3098" i="20"/>
  <c r="AF3098" i="20" s="1"/>
  <c r="AG3098" i="20" s="1"/>
  <c r="AD3098" i="20"/>
  <c r="AC3099" i="20"/>
  <c r="AF3099" i="20" s="1"/>
  <c r="AG3099" i="20" s="1"/>
  <c r="AD3099" i="20"/>
  <c r="AC3100" i="20"/>
  <c r="AD3100" i="20"/>
  <c r="AC3101" i="20"/>
  <c r="AF3101" i="20" s="1"/>
  <c r="AG3101" i="20" s="1"/>
  <c r="AD3101" i="20"/>
  <c r="AC3102" i="20"/>
  <c r="AF3102" i="20" s="1"/>
  <c r="AG3102" i="20" s="1"/>
  <c r="AD3102" i="20"/>
  <c r="AC3103" i="20"/>
  <c r="AF3103" i="20" s="1"/>
  <c r="AG3103" i="20" s="1"/>
  <c r="AD3103" i="20"/>
  <c r="AC3104" i="20"/>
  <c r="AF3104" i="20" s="1"/>
  <c r="AG3104" i="20" s="1"/>
  <c r="AD3104" i="20"/>
  <c r="AC3105" i="20"/>
  <c r="AF3105" i="20" s="1"/>
  <c r="AG3105" i="20" s="1"/>
  <c r="AD3105" i="20"/>
  <c r="AC3107" i="20"/>
  <c r="AF3107" i="20" s="1"/>
  <c r="AG3107" i="20" s="1"/>
  <c r="AD3107" i="20"/>
  <c r="AC3108" i="20"/>
  <c r="AD3108" i="20"/>
  <c r="AC3109" i="20"/>
  <c r="AF3109" i="20" s="1"/>
  <c r="AG3109" i="20" s="1"/>
  <c r="AD3109" i="20"/>
  <c r="AC3110" i="20"/>
  <c r="AF3110" i="20" s="1"/>
  <c r="AG3110" i="20" s="1"/>
  <c r="AD3110" i="20"/>
  <c r="AC3111" i="20"/>
  <c r="AF3111" i="20" s="1"/>
  <c r="AG3111" i="20" s="1"/>
  <c r="AD3111" i="20"/>
  <c r="AC3112" i="20"/>
  <c r="AD3112" i="20"/>
  <c r="AC3113" i="20"/>
  <c r="AF3113" i="20" s="1"/>
  <c r="AG3113" i="20" s="1"/>
  <c r="AD3113" i="20"/>
  <c r="AC3114" i="20"/>
  <c r="AF3114" i="20" s="1"/>
  <c r="AG3114" i="20" s="1"/>
  <c r="AD3114" i="20"/>
  <c r="AC3115" i="20"/>
  <c r="AF3115" i="20" s="1"/>
  <c r="AG3115" i="20" s="1"/>
  <c r="AD3115" i="20"/>
  <c r="AC3116" i="20"/>
  <c r="AF3116" i="20" s="1"/>
  <c r="AG3116" i="20" s="1"/>
  <c r="AD3116" i="20"/>
  <c r="AC3117" i="20"/>
  <c r="AD3117" i="20"/>
  <c r="AC3120" i="20"/>
  <c r="AF3120" i="20" s="1"/>
  <c r="AG3120" i="20" s="1"/>
  <c r="AD3120" i="20"/>
  <c r="AC3121" i="20"/>
  <c r="AF3121" i="20" s="1"/>
  <c r="AG3121" i="20" s="1"/>
  <c r="AD3121" i="20"/>
  <c r="AC3122" i="20"/>
  <c r="AF3122" i="20" s="1"/>
  <c r="AG3122" i="20" s="1"/>
  <c r="AD3122" i="20"/>
  <c r="AC3123" i="20"/>
  <c r="AF3123" i="20" s="1"/>
  <c r="AG3123" i="20" s="1"/>
  <c r="AD3123" i="20"/>
  <c r="AC3124" i="20"/>
  <c r="AF3124" i="20" s="1"/>
  <c r="AG3124" i="20" s="1"/>
  <c r="AD3124" i="20"/>
  <c r="AC3125" i="20"/>
  <c r="AD3125" i="20"/>
  <c r="AC3126" i="20"/>
  <c r="AF3126" i="20" s="1"/>
  <c r="AG3126" i="20" s="1"/>
  <c r="AD3126" i="20"/>
  <c r="AC3127" i="20"/>
  <c r="AF3127" i="20" s="1"/>
  <c r="AG3127" i="20" s="1"/>
  <c r="AD3127" i="20"/>
  <c r="AC3128" i="20"/>
  <c r="AD3128" i="20"/>
  <c r="AC3129" i="20"/>
  <c r="AD3129" i="20"/>
  <c r="AC3130" i="20"/>
  <c r="AF3130" i="20" s="1"/>
  <c r="AG3130" i="20" s="1"/>
  <c r="AD3130" i="20"/>
  <c r="AC3131" i="20"/>
  <c r="AF3131" i="20" s="1"/>
  <c r="AG3131" i="20" s="1"/>
  <c r="AD3131" i="20"/>
  <c r="AC3132" i="20"/>
  <c r="AF3132" i="20" s="1"/>
  <c r="AG3132" i="20" s="1"/>
  <c r="AD3132" i="20"/>
  <c r="AC3133" i="20"/>
  <c r="AD3133" i="20"/>
  <c r="AC3134" i="20"/>
  <c r="AF3134" i="20" s="1"/>
  <c r="AG3134" i="20" s="1"/>
  <c r="AD3134" i="20"/>
  <c r="AC3135" i="20"/>
  <c r="AF3135" i="20" s="1"/>
  <c r="AG3135" i="20" s="1"/>
  <c r="AD3135" i="20"/>
  <c r="AC3136" i="20"/>
  <c r="AD3136" i="20"/>
  <c r="AC3137" i="20"/>
  <c r="AF3137" i="20" s="1"/>
  <c r="AG3137" i="20" s="1"/>
  <c r="AD3137" i="20"/>
  <c r="AC3139" i="20"/>
  <c r="AF3139" i="20" s="1"/>
  <c r="AG3139" i="20" s="1"/>
  <c r="AD3139" i="20"/>
  <c r="AC3140" i="20"/>
  <c r="AF3140" i="20" s="1"/>
  <c r="AG3140" i="20" s="1"/>
  <c r="AD3140" i="20"/>
  <c r="AC3142" i="20"/>
  <c r="AF3142" i="20" s="1"/>
  <c r="AG3142" i="20" s="1"/>
  <c r="AD3142" i="20"/>
  <c r="AC3143" i="20"/>
  <c r="AF3143" i="20" s="1"/>
  <c r="AG3143" i="20" s="1"/>
  <c r="AD3143" i="20"/>
  <c r="AC3144" i="20"/>
  <c r="AD3144" i="20"/>
  <c r="AC3145" i="20"/>
  <c r="AD3145" i="20"/>
  <c r="AC3149" i="20"/>
  <c r="AD3149" i="20"/>
  <c r="AC3150" i="20"/>
  <c r="AF3150" i="20" s="1"/>
  <c r="AG3150" i="20" s="1"/>
  <c r="AD3150" i="20"/>
  <c r="AC3151" i="20"/>
  <c r="AF3151" i="20" s="1"/>
  <c r="AG3151" i="20" s="1"/>
  <c r="AD3151" i="20"/>
  <c r="AC3152" i="20"/>
  <c r="AF3152" i="20" s="1"/>
  <c r="AG3152" i="20" s="1"/>
  <c r="AD3152" i="20"/>
  <c r="AC3153" i="20"/>
  <c r="AF3153" i="20" s="1"/>
  <c r="AG3153" i="20" s="1"/>
  <c r="AD3153" i="20"/>
  <c r="AC3154" i="20"/>
  <c r="AF3154" i="20" s="1"/>
  <c r="AG3154" i="20" s="1"/>
  <c r="AD3154" i="20"/>
  <c r="AC3155" i="20"/>
  <c r="AF3155" i="20" s="1"/>
  <c r="AG3155" i="20" s="1"/>
  <c r="AD3155" i="20"/>
  <c r="AC3156" i="20"/>
  <c r="AF3156" i="20" s="1"/>
  <c r="AG3156" i="20" s="1"/>
  <c r="AD3156" i="20"/>
  <c r="AC3157" i="20"/>
  <c r="AF3157" i="20" s="1"/>
  <c r="AG3157" i="20" s="1"/>
  <c r="AD3157" i="20"/>
  <c r="AC3158" i="20"/>
  <c r="AD3158" i="20"/>
  <c r="AC3159" i="20"/>
  <c r="AF3159" i="20" s="1"/>
  <c r="AG3159" i="20" s="1"/>
  <c r="AD3159" i="20"/>
  <c r="AC3160" i="20"/>
  <c r="AF3160" i="20" s="1"/>
  <c r="AG3160" i="20" s="1"/>
  <c r="AD3160" i="20"/>
  <c r="AC3161" i="20"/>
  <c r="AD3161" i="20"/>
  <c r="AC3162" i="20"/>
  <c r="AF3162" i="20" s="1"/>
  <c r="AG3162" i="20" s="1"/>
  <c r="AD3162" i="20"/>
  <c r="AC3163" i="20"/>
  <c r="AF3163" i="20" s="1"/>
  <c r="AG3163" i="20" s="1"/>
  <c r="AD3163" i="20"/>
  <c r="AC3164" i="20"/>
  <c r="AF3164" i="20" s="1"/>
  <c r="AG3164" i="20" s="1"/>
  <c r="AD3164" i="20"/>
  <c r="AC3165" i="20"/>
  <c r="AF3165" i="20" s="1"/>
  <c r="AG3165" i="20" s="1"/>
  <c r="AD3165" i="20"/>
  <c r="AC3166" i="20"/>
  <c r="AD3166" i="20"/>
  <c r="AC3167" i="20"/>
  <c r="AF3167" i="20" s="1"/>
  <c r="AG3167" i="20" s="1"/>
  <c r="AD3167" i="20"/>
  <c r="AC3168" i="20"/>
  <c r="AF3168" i="20" s="1"/>
  <c r="AG3168" i="20" s="1"/>
  <c r="AD3168" i="20"/>
  <c r="AC3169" i="20"/>
  <c r="AF3169" i="20" s="1"/>
  <c r="AG3169" i="20" s="1"/>
  <c r="AD3169" i="20"/>
  <c r="AC3170" i="20"/>
  <c r="AD3170" i="20"/>
  <c r="AC3171" i="20"/>
  <c r="AF3171" i="20" s="1"/>
  <c r="AG3171" i="20" s="1"/>
  <c r="AD3171" i="20"/>
  <c r="AC3172" i="20"/>
  <c r="AF3172" i="20" s="1"/>
  <c r="AG3172" i="20" s="1"/>
  <c r="AD3172" i="20"/>
  <c r="AC3173" i="20"/>
  <c r="AD3173" i="20"/>
  <c r="AC3174" i="20"/>
  <c r="AD3174" i="20"/>
  <c r="AC3175" i="20"/>
  <c r="AF3175" i="20" s="1"/>
  <c r="AG3175" i="20" s="1"/>
  <c r="AD3175" i="20"/>
  <c r="AC3177" i="20"/>
  <c r="AD3177" i="20"/>
  <c r="AC3178" i="20"/>
  <c r="AF3178" i="20" s="1"/>
  <c r="AG3178" i="20" s="1"/>
  <c r="AD3178" i="20"/>
  <c r="AC3179" i="20"/>
  <c r="AF3179" i="20" s="1"/>
  <c r="AG3179" i="20" s="1"/>
  <c r="AD3179" i="20"/>
  <c r="AC3182" i="20"/>
  <c r="AF3182" i="20" s="1"/>
  <c r="AG3182" i="20" s="1"/>
  <c r="AD3182" i="20"/>
  <c r="AC3184" i="20"/>
  <c r="AF3184" i="20" s="1"/>
  <c r="AG3184" i="20" s="1"/>
  <c r="AD3184" i="20"/>
  <c r="AC3186" i="20"/>
  <c r="AD3186" i="20"/>
  <c r="AC3188" i="20"/>
  <c r="AF3188" i="20" s="1"/>
  <c r="AG3188" i="20" s="1"/>
  <c r="AD3188" i="20"/>
  <c r="AC3189" i="20"/>
  <c r="AD3189" i="20"/>
  <c r="AC3190" i="20"/>
  <c r="AD3190" i="20"/>
  <c r="AC3191" i="20"/>
  <c r="AF3191" i="20" s="1"/>
  <c r="AG3191" i="20" s="1"/>
  <c r="AD3191" i="20"/>
  <c r="AC3192" i="20"/>
  <c r="AF3192" i="20" s="1"/>
  <c r="AG3192" i="20" s="1"/>
  <c r="AD3192" i="20"/>
  <c r="AC3193" i="20"/>
  <c r="AD3193" i="20"/>
  <c r="AC3194" i="20"/>
  <c r="AD3194" i="20"/>
  <c r="AC3195" i="20"/>
  <c r="AF3195" i="20" s="1"/>
  <c r="AG3195" i="20" s="1"/>
  <c r="AD3195" i="20"/>
  <c r="AC3196" i="20"/>
  <c r="AF3196" i="20" s="1"/>
  <c r="AG3196" i="20" s="1"/>
  <c r="AD3196" i="20"/>
  <c r="AC3197" i="20"/>
  <c r="AF3197" i="20" s="1"/>
  <c r="AG3197" i="20" s="1"/>
  <c r="AD3197" i="20"/>
  <c r="AC3198" i="20"/>
  <c r="AF3198" i="20" s="1"/>
  <c r="AG3198" i="20" s="1"/>
  <c r="AD3198" i="20"/>
  <c r="AC3199" i="20"/>
  <c r="AF3199" i="20" s="1"/>
  <c r="AG3199" i="20" s="1"/>
  <c r="AD3199" i="20"/>
  <c r="AC3200" i="20"/>
  <c r="AF3200" i="20" s="1"/>
  <c r="AG3200" i="20" s="1"/>
  <c r="AD3200" i="20"/>
  <c r="AC3201" i="20"/>
  <c r="AD3201" i="20"/>
  <c r="AC3202" i="20"/>
  <c r="AF3202" i="20" s="1"/>
  <c r="AG3202" i="20" s="1"/>
  <c r="AD3202" i="20"/>
  <c r="AC3203" i="20"/>
  <c r="AF3203" i="20" s="1"/>
  <c r="AG3203" i="20" s="1"/>
  <c r="AD3203" i="20"/>
  <c r="AC3204" i="20"/>
  <c r="AF3204" i="20" s="1"/>
  <c r="AG3204" i="20" s="1"/>
  <c r="AD3204" i="20"/>
  <c r="AC3205" i="20"/>
  <c r="AF3205" i="20" s="1"/>
  <c r="AG3205" i="20" s="1"/>
  <c r="AD3205" i="20"/>
  <c r="AC3206" i="20"/>
  <c r="AD3206" i="20"/>
  <c r="AC3207" i="20"/>
  <c r="AF3207" i="20" s="1"/>
  <c r="AG3207" i="20" s="1"/>
  <c r="AD3207" i="20"/>
  <c r="AC3209" i="20"/>
  <c r="AF3209" i="20" s="1"/>
  <c r="AG3209" i="20" s="1"/>
  <c r="AD3209" i="20"/>
  <c r="AC3211" i="20"/>
  <c r="AF3211" i="20" s="1"/>
  <c r="AG3211" i="20" s="1"/>
  <c r="AD3211" i="20"/>
  <c r="AC3213" i="20"/>
  <c r="AD3213" i="20"/>
  <c r="AC3214" i="20"/>
  <c r="AD3214" i="20"/>
  <c r="AC3215" i="20"/>
  <c r="AF3215" i="20" s="1"/>
  <c r="AG3215" i="20" s="1"/>
  <c r="AD3215" i="20"/>
  <c r="AC3216" i="20"/>
  <c r="AF3216" i="20" s="1"/>
  <c r="AG3216" i="20" s="1"/>
  <c r="AD3216" i="20"/>
  <c r="AC3217" i="20"/>
  <c r="AD3217" i="20"/>
  <c r="AC3218" i="20"/>
  <c r="AF3218" i="20" s="1"/>
  <c r="AG3218" i="20" s="1"/>
  <c r="AD3218" i="20"/>
  <c r="AC3219" i="20"/>
  <c r="AF3219" i="20" s="1"/>
  <c r="AG3219" i="20" s="1"/>
  <c r="AD3219" i="20"/>
  <c r="AC3220" i="20"/>
  <c r="AF3220" i="20" s="1"/>
  <c r="AG3220" i="20" s="1"/>
  <c r="AD3220" i="20"/>
  <c r="AC3221" i="20"/>
  <c r="AF3221" i="20" s="1"/>
  <c r="AG3221" i="20" s="1"/>
  <c r="AD3221" i="20"/>
  <c r="AC3222" i="20"/>
  <c r="AD3222" i="20"/>
  <c r="AC3223" i="20"/>
  <c r="AF3223" i="20" s="1"/>
  <c r="AG3223" i="20" s="1"/>
  <c r="AD3223" i="20"/>
  <c r="AC3224" i="20"/>
  <c r="AF3224" i="20" s="1"/>
  <c r="AG3224" i="20" s="1"/>
  <c r="AD3224" i="20"/>
  <c r="AC3225" i="20"/>
  <c r="AF3225" i="20" s="1"/>
  <c r="AG3225" i="20" s="1"/>
  <c r="AD3225" i="20"/>
  <c r="AC3226" i="20"/>
  <c r="AD3226" i="20"/>
  <c r="AC3227" i="20"/>
  <c r="AF3227" i="20" s="1"/>
  <c r="AG3227" i="20" s="1"/>
  <c r="AD3227" i="20"/>
  <c r="AC3228" i="20"/>
  <c r="AF3228" i="20" s="1"/>
  <c r="AG3228" i="20" s="1"/>
  <c r="AD3228" i="20"/>
  <c r="AC3229" i="20"/>
  <c r="AF3229" i="20" s="1"/>
  <c r="AG3229" i="20" s="1"/>
  <c r="AD3229" i="20"/>
  <c r="AC3230" i="20"/>
  <c r="AF3230" i="20" s="1"/>
  <c r="AG3230" i="20" s="1"/>
  <c r="AD3230" i="20"/>
  <c r="AC3231" i="20"/>
  <c r="AF3231" i="20" s="1"/>
  <c r="AG3231" i="20" s="1"/>
  <c r="AD3231" i="20"/>
  <c r="AC3232" i="20"/>
  <c r="AF3232" i="20" s="1"/>
  <c r="AG3232" i="20" s="1"/>
  <c r="AD3232" i="20"/>
  <c r="AC3233" i="20"/>
  <c r="AD3233" i="20"/>
  <c r="AC3234" i="20"/>
  <c r="AF3234" i="20" s="1"/>
  <c r="AG3234" i="20" s="1"/>
  <c r="AD3234" i="20"/>
  <c r="AC3235" i="20"/>
  <c r="AF3235" i="20" s="1"/>
  <c r="AG3235" i="20" s="1"/>
  <c r="AD3235" i="20"/>
  <c r="AC3236" i="20"/>
  <c r="AF3236" i="20" s="1"/>
  <c r="AG3236" i="20" s="1"/>
  <c r="AD3236" i="20"/>
  <c r="AC3237" i="20"/>
  <c r="AF3237" i="20" s="1"/>
  <c r="AG3237" i="20" s="1"/>
  <c r="AD3237" i="20"/>
  <c r="AC3238" i="20"/>
  <c r="AD3238" i="20"/>
  <c r="AC3239" i="20"/>
  <c r="AF3239" i="20" s="1"/>
  <c r="AG3239" i="20" s="1"/>
  <c r="AD3239" i="20"/>
  <c r="AC3240" i="20"/>
  <c r="AF3240" i="20" s="1"/>
  <c r="AG3240" i="20" s="1"/>
  <c r="AD3240" i="20"/>
  <c r="AC3241" i="20"/>
  <c r="AF3241" i="20" s="1"/>
  <c r="AG3241" i="20" s="1"/>
  <c r="AD3241" i="20"/>
  <c r="AC3242" i="20"/>
  <c r="AD3242" i="20"/>
  <c r="AC3245" i="20"/>
  <c r="AF3245" i="20" s="1"/>
  <c r="AG3245" i="20" s="1"/>
  <c r="AD3245" i="20"/>
  <c r="AC3247" i="20"/>
  <c r="AF3247" i="20" s="1"/>
  <c r="AG3247" i="20" s="1"/>
  <c r="AD3247" i="20"/>
  <c r="AC3248" i="20"/>
  <c r="AF3248" i="20" s="1"/>
  <c r="AG3248" i="20" s="1"/>
  <c r="AD3248" i="20"/>
  <c r="AC3249" i="20"/>
  <c r="AF3249" i="20" s="1"/>
  <c r="AG3249" i="20" s="1"/>
  <c r="AD3249" i="20"/>
  <c r="AC3252" i="20"/>
  <c r="AD3252" i="20"/>
  <c r="AC3253" i="20"/>
  <c r="AF3253" i="20" s="1"/>
  <c r="AG3253" i="20" s="1"/>
  <c r="AD3253" i="20"/>
  <c r="AC3254" i="20"/>
  <c r="AF3254" i="20" s="1"/>
  <c r="AG3254" i="20" s="1"/>
  <c r="AD3254" i="20"/>
  <c r="AC3255" i="20"/>
  <c r="AF3255" i="20" s="1"/>
  <c r="AG3255" i="20" s="1"/>
  <c r="AD3255" i="20"/>
  <c r="AC3256" i="20"/>
  <c r="AD3256" i="20"/>
  <c r="AC3257" i="20"/>
  <c r="AF3257" i="20" s="1"/>
  <c r="AG3257" i="20" s="1"/>
  <c r="AD3257" i="20"/>
  <c r="AC3258" i="20"/>
  <c r="AF3258" i="20" s="1"/>
  <c r="AG3258" i="20" s="1"/>
  <c r="AD3258" i="20"/>
  <c r="AC3259" i="20"/>
  <c r="AF3259" i="20" s="1"/>
  <c r="AG3259" i="20" s="1"/>
  <c r="AD3259" i="20"/>
  <c r="AC3260" i="20"/>
  <c r="AD3260" i="20"/>
  <c r="AC3261" i="20"/>
  <c r="AF3261" i="20" s="1"/>
  <c r="AG3261" i="20" s="1"/>
  <c r="AD3261" i="20"/>
  <c r="AC3262" i="20"/>
  <c r="AF3262" i="20" s="1"/>
  <c r="AG3262" i="20" s="1"/>
  <c r="AD3262" i="20"/>
  <c r="AC3263" i="20"/>
  <c r="AD3263" i="20"/>
  <c r="AC3264" i="20"/>
  <c r="AF3264" i="20" s="1"/>
  <c r="AG3264" i="20" s="1"/>
  <c r="AD3264" i="20"/>
  <c r="AC3265" i="20"/>
  <c r="AF3265" i="20" s="1"/>
  <c r="AG3265" i="20" s="1"/>
  <c r="AD3265" i="20"/>
  <c r="AC3266" i="20"/>
  <c r="AF3266" i="20" s="1"/>
  <c r="AG3266" i="20" s="1"/>
  <c r="AD3266" i="20"/>
  <c r="AC3267" i="20"/>
  <c r="AF3267" i="20" s="1"/>
  <c r="AG3267" i="20" s="1"/>
  <c r="AD3267" i="20"/>
  <c r="AC3268" i="20"/>
  <c r="AD3268" i="20"/>
  <c r="AC3269" i="20"/>
  <c r="AF3269" i="20" s="1"/>
  <c r="AG3269" i="20" s="1"/>
  <c r="AD3269" i="20"/>
  <c r="AC3270" i="20"/>
  <c r="AF3270" i="20" s="1"/>
  <c r="AG3270" i="20" s="1"/>
  <c r="AD3270" i="20"/>
  <c r="AC3271" i="20"/>
  <c r="AF3271" i="20" s="1"/>
  <c r="AG3271" i="20" s="1"/>
  <c r="AD3271" i="20"/>
  <c r="AC3272" i="20"/>
  <c r="AD3272" i="20"/>
  <c r="AC3273" i="20"/>
  <c r="AF3273" i="20" s="1"/>
  <c r="AG3273" i="20" s="1"/>
  <c r="AD3273" i="20"/>
  <c r="AC3275" i="20"/>
  <c r="AF3275" i="20" s="1"/>
  <c r="AG3275" i="20" s="1"/>
  <c r="AD3275" i="20"/>
  <c r="AC3276" i="20"/>
  <c r="AF3276" i="20" s="1"/>
  <c r="AG3276" i="20" s="1"/>
  <c r="AD3276" i="20"/>
  <c r="AC3277" i="20"/>
  <c r="AD3277" i="20"/>
  <c r="AC3278" i="20"/>
  <c r="AF3278" i="20" s="1"/>
  <c r="AG3278" i="20" s="1"/>
  <c r="AD3278" i="20"/>
  <c r="AC3279" i="20"/>
  <c r="AF3279" i="20" s="1"/>
  <c r="AG3279" i="20" s="1"/>
  <c r="AD3279" i="20"/>
  <c r="AC3280" i="20"/>
  <c r="AD3280" i="20"/>
  <c r="AC3281" i="20"/>
  <c r="AF3281" i="20" s="1"/>
  <c r="AG3281" i="20" s="1"/>
  <c r="AD3281" i="20"/>
  <c r="AC3283" i="20"/>
  <c r="AF3283" i="20" s="1"/>
  <c r="AG3283" i="20" s="1"/>
  <c r="AD3283" i="20"/>
  <c r="AC3284" i="20"/>
  <c r="AF3284" i="20" s="1"/>
  <c r="AG3284" i="20" s="1"/>
  <c r="AD3284" i="20"/>
  <c r="AC3286" i="20"/>
  <c r="AD3286" i="20"/>
  <c r="AC3288" i="20"/>
  <c r="AF3288" i="20" s="1"/>
  <c r="AG3288" i="20" s="1"/>
  <c r="AD3288" i="20"/>
  <c r="AC3289" i="20"/>
  <c r="AF3289" i="20" s="1"/>
  <c r="AG3289" i="20" s="1"/>
  <c r="AD3289" i="20"/>
  <c r="AC3290" i="20"/>
  <c r="AD3290" i="20"/>
  <c r="AC3291" i="20"/>
  <c r="AF3291" i="20" s="1"/>
  <c r="AG3291" i="20" s="1"/>
  <c r="AD3291" i="20"/>
  <c r="AC3292" i="20"/>
  <c r="AF3292" i="20" s="1"/>
  <c r="AG3292" i="20" s="1"/>
  <c r="AD3292" i="20"/>
  <c r="AC3293" i="20"/>
  <c r="AF3293" i="20" s="1"/>
  <c r="AG3293" i="20" s="1"/>
  <c r="AD3293" i="20"/>
  <c r="AC3294" i="20"/>
  <c r="AD3294" i="20"/>
  <c r="AC3295" i="20"/>
  <c r="AF3295" i="20" s="1"/>
  <c r="AG3295" i="20" s="1"/>
  <c r="AD3295" i="20"/>
  <c r="AC3296" i="20"/>
  <c r="AF3296" i="20" s="1"/>
  <c r="AG3296" i="20" s="1"/>
  <c r="AD3296" i="20"/>
  <c r="AC3297" i="20"/>
  <c r="AD3297" i="20"/>
  <c r="AC3298" i="20"/>
  <c r="AF3298" i="20" s="1"/>
  <c r="AG3298" i="20" s="1"/>
  <c r="AD3298" i="20"/>
  <c r="AC3299" i="20"/>
  <c r="AF3299" i="20" s="1"/>
  <c r="AG3299" i="20" s="1"/>
  <c r="AD3299" i="20"/>
  <c r="AC3300" i="20"/>
  <c r="AF3300" i="20" s="1"/>
  <c r="AG3300" i="20" s="1"/>
  <c r="AD3300" i="20"/>
  <c r="AC3301" i="20"/>
  <c r="AF3301" i="20" s="1"/>
  <c r="AG3301" i="20" s="1"/>
  <c r="AD3301" i="20"/>
  <c r="AC3302" i="20"/>
  <c r="AD3302" i="20"/>
  <c r="AC3303" i="20"/>
  <c r="AF3303" i="20" s="1"/>
  <c r="AG3303" i="20" s="1"/>
  <c r="AD3303" i="20"/>
  <c r="AC3304" i="20"/>
  <c r="AF3304" i="20" s="1"/>
  <c r="AG3304" i="20" s="1"/>
  <c r="AD3304" i="20"/>
  <c r="AC3305" i="20"/>
  <c r="AF3305" i="20" s="1"/>
  <c r="AG3305" i="20" s="1"/>
  <c r="AD3305" i="20"/>
  <c r="AC3306" i="20"/>
  <c r="AF3306" i="20" s="1"/>
  <c r="AG3306" i="20" s="1"/>
  <c r="AD3306" i="20"/>
  <c r="AC3307" i="20"/>
  <c r="AF3307" i="20" s="1"/>
  <c r="AG3307" i="20" s="1"/>
  <c r="AD3307" i="20"/>
  <c r="AC3308" i="20"/>
  <c r="AF3308" i="20" s="1"/>
  <c r="AG3308" i="20" s="1"/>
  <c r="AD3308" i="20"/>
  <c r="AC3309" i="20"/>
  <c r="AF3309" i="20" s="1"/>
  <c r="AG3309" i="20" s="1"/>
  <c r="AD3309" i="20"/>
  <c r="AC3310" i="20"/>
  <c r="AD3310" i="20"/>
  <c r="AC3311" i="20"/>
  <c r="AF3311" i="20" s="1"/>
  <c r="AG3311" i="20" s="1"/>
  <c r="AD3311" i="20"/>
  <c r="AC3312" i="20"/>
  <c r="AF3312" i="20" s="1"/>
  <c r="AG3312" i="20" s="1"/>
  <c r="AD3312" i="20"/>
  <c r="AC3313" i="20"/>
  <c r="AD3313" i="20"/>
  <c r="AC3314" i="20"/>
  <c r="AF3314" i="20" s="1"/>
  <c r="AG3314" i="20" s="1"/>
  <c r="AD3314" i="20"/>
  <c r="AC3315" i="20"/>
  <c r="AF3315" i="20" s="1"/>
  <c r="AG3315" i="20" s="1"/>
  <c r="AD3315" i="20"/>
  <c r="AC3317" i="20"/>
  <c r="AF3317" i="20" s="1"/>
  <c r="AG3317" i="20" s="1"/>
  <c r="AD3317" i="20"/>
  <c r="AC3318" i="20"/>
  <c r="AD3318" i="20"/>
  <c r="AC3319" i="20"/>
  <c r="AF3319" i="20" s="1"/>
  <c r="AG3319" i="20" s="1"/>
  <c r="AD3319" i="20"/>
  <c r="AC3320" i="20"/>
  <c r="AF3320" i="20" s="1"/>
  <c r="AG3320" i="20" s="1"/>
  <c r="AD3320" i="20"/>
  <c r="AC3321" i="20"/>
  <c r="AF3321" i="20" s="1"/>
  <c r="AG3321" i="20" s="1"/>
  <c r="AD3321" i="20"/>
  <c r="AC3322" i="20"/>
  <c r="AF3322" i="20" s="1"/>
  <c r="AG3322" i="20" s="1"/>
  <c r="AD3322" i="20"/>
  <c r="AC3323" i="20"/>
  <c r="AF3323" i="20" s="1"/>
  <c r="AG3323" i="20" s="1"/>
  <c r="AD3323" i="20"/>
  <c r="AC3324" i="20"/>
  <c r="AF3324" i="20" s="1"/>
  <c r="AG3324" i="20" s="1"/>
  <c r="AD3324" i="20"/>
  <c r="AC3325" i="20"/>
  <c r="AF3325" i="20" s="1"/>
  <c r="AG3325" i="20" s="1"/>
  <c r="AD3325" i="20"/>
  <c r="AC3326" i="20"/>
  <c r="AD3326" i="20"/>
  <c r="AC3327" i="20"/>
  <c r="AF3327" i="20" s="1"/>
  <c r="AG3327" i="20" s="1"/>
  <c r="AD3327" i="20"/>
  <c r="AC3328" i="20"/>
  <c r="AF3328" i="20" s="1"/>
  <c r="AG3328" i="20" s="1"/>
  <c r="AD3328" i="20"/>
  <c r="AC3329" i="20"/>
  <c r="AD3329" i="20"/>
  <c r="AC3330" i="20"/>
  <c r="AF3330" i="20" s="1"/>
  <c r="AG3330" i="20" s="1"/>
  <c r="AD3330" i="20"/>
  <c r="AC3331" i="20"/>
  <c r="AF3331" i="20" s="1"/>
  <c r="AG3331" i="20" s="1"/>
  <c r="AD3331" i="20"/>
  <c r="AC3332" i="20"/>
  <c r="AF3332" i="20" s="1"/>
  <c r="AG3332" i="20" s="1"/>
  <c r="AD3332" i="20"/>
  <c r="AC3333" i="20"/>
  <c r="AF3333" i="20" s="1"/>
  <c r="AG3333" i="20" s="1"/>
  <c r="AD3333" i="20"/>
  <c r="AC3336" i="20"/>
  <c r="AF3336" i="20" s="1"/>
  <c r="AG3336" i="20" s="1"/>
  <c r="AD3336" i="20"/>
  <c r="AC3337" i="20"/>
  <c r="AF3337" i="20" s="1"/>
  <c r="AG3337" i="20" s="1"/>
  <c r="AD3337" i="20"/>
  <c r="AC3338" i="20"/>
  <c r="AF3338" i="20" s="1"/>
  <c r="AG3338" i="20" s="1"/>
  <c r="AD3338" i="20"/>
  <c r="AC3339" i="20"/>
  <c r="AF3339" i="20" s="1"/>
  <c r="AG3339" i="20" s="1"/>
  <c r="AD3339" i="20"/>
  <c r="AC3340" i="20"/>
  <c r="AF3340" i="20" s="1"/>
  <c r="AG3340" i="20" s="1"/>
  <c r="AD3340" i="20"/>
  <c r="AC3341" i="20"/>
  <c r="AF3341" i="20" s="1"/>
  <c r="AG3341" i="20" s="1"/>
  <c r="AD3341" i="20"/>
  <c r="AC3342" i="20"/>
  <c r="AD3342" i="20"/>
  <c r="AC3343" i="20"/>
  <c r="AF3343" i="20" s="1"/>
  <c r="AG3343" i="20" s="1"/>
  <c r="AD3343" i="20"/>
  <c r="AC3346" i="20"/>
  <c r="AF3346" i="20" s="1"/>
  <c r="AG3346" i="20" s="1"/>
  <c r="AD3346" i="20"/>
  <c r="AC3349" i="20"/>
  <c r="AF3349" i="20" s="1"/>
  <c r="AG3349" i="20" s="1"/>
  <c r="AD3349" i="20"/>
  <c r="AC3350" i="20"/>
  <c r="AD3350" i="20"/>
  <c r="AC3351" i="20"/>
  <c r="AF3351" i="20" s="1"/>
  <c r="AG3351" i="20" s="1"/>
  <c r="AD3351" i="20"/>
  <c r="AC3352" i="20"/>
  <c r="AF3352" i="20" s="1"/>
  <c r="AG3352" i="20" s="1"/>
  <c r="AD3352" i="20"/>
  <c r="AC3353" i="20"/>
  <c r="AF3353" i="20" s="1"/>
  <c r="AG3353" i="20" s="1"/>
  <c r="AD3353" i="20"/>
  <c r="AC3354" i="20"/>
  <c r="AF3354" i="20" s="1"/>
  <c r="AG3354" i="20" s="1"/>
  <c r="AD3354" i="20"/>
  <c r="AC3355" i="20"/>
  <c r="AF3355" i="20" s="1"/>
  <c r="AG3355" i="20" s="1"/>
  <c r="AD3355" i="20"/>
  <c r="AC3356" i="20"/>
  <c r="AF3356" i="20" s="1"/>
  <c r="AG3356" i="20" s="1"/>
  <c r="AD3356" i="20"/>
  <c r="AC3357" i="20"/>
  <c r="AF3357" i="20" s="1"/>
  <c r="AG3357" i="20" s="1"/>
  <c r="AD3357" i="20"/>
  <c r="AC3360" i="20"/>
  <c r="AF3360" i="20" s="1"/>
  <c r="AG3360" i="20" s="1"/>
  <c r="AD3360" i="20"/>
  <c r="AC3361" i="20"/>
  <c r="AD3361" i="20"/>
  <c r="AC3362" i="20"/>
  <c r="AD3362" i="20"/>
  <c r="AC3363" i="20"/>
  <c r="AF3363" i="20" s="1"/>
  <c r="AG3363" i="20" s="1"/>
  <c r="AD3363" i="20"/>
  <c r="AC3364" i="20"/>
  <c r="AF3364" i="20" s="1"/>
  <c r="AG3364" i="20" s="1"/>
  <c r="AD3364" i="20"/>
  <c r="AC3365" i="20"/>
  <c r="AF3365" i="20" s="1"/>
  <c r="AG3365" i="20" s="1"/>
  <c r="AD3365" i="20"/>
  <c r="AC3366" i="20"/>
  <c r="AD3366" i="20"/>
  <c r="AC3367" i="20"/>
  <c r="AF3367" i="20" s="1"/>
  <c r="AG3367" i="20" s="1"/>
  <c r="AD3367" i="20"/>
  <c r="AC3369" i="20"/>
  <c r="AF3369" i="20" s="1"/>
  <c r="AG3369" i="20" s="1"/>
  <c r="AD3369" i="20"/>
  <c r="AC3370" i="20"/>
  <c r="AF3370" i="20" s="1"/>
  <c r="AG3370" i="20" s="1"/>
  <c r="AD3370" i="20"/>
  <c r="AC3371" i="20"/>
  <c r="AF3371" i="20" s="1"/>
  <c r="AG3371" i="20" s="1"/>
  <c r="AD3371" i="20"/>
  <c r="AC3372" i="20"/>
  <c r="AF3372" i="20" s="1"/>
  <c r="AG3372" i="20" s="1"/>
  <c r="AD3372" i="20"/>
  <c r="AC3373" i="20"/>
  <c r="AF3373" i="20" s="1"/>
  <c r="AG3373" i="20" s="1"/>
  <c r="AD3373" i="20"/>
  <c r="AC3374" i="20"/>
  <c r="AD3374" i="20"/>
  <c r="AC3375" i="20"/>
  <c r="AF3375" i="20" s="1"/>
  <c r="AG3375" i="20" s="1"/>
  <c r="AD3375" i="20"/>
  <c r="AC3377" i="20"/>
  <c r="AD3377" i="20"/>
  <c r="AC3378" i="20"/>
  <c r="AF3378" i="20" s="1"/>
  <c r="AG3378" i="20" s="1"/>
  <c r="AD3378" i="20"/>
  <c r="AC3380" i="20"/>
  <c r="AF3380" i="20" s="1"/>
  <c r="AG3380" i="20" s="1"/>
  <c r="AD3380" i="20"/>
  <c r="AC3382" i="20"/>
  <c r="AD3382" i="20"/>
  <c r="AC3383" i="20"/>
  <c r="AF3383" i="20" s="1"/>
  <c r="AG3383" i="20" s="1"/>
  <c r="AD3383" i="20"/>
  <c r="AC3384" i="20"/>
  <c r="AF3384" i="20" s="1"/>
  <c r="AG3384" i="20" s="1"/>
  <c r="AD3384" i="20"/>
  <c r="AC3385" i="20"/>
  <c r="AF3385" i="20" s="1"/>
  <c r="AG3385" i="20" s="1"/>
  <c r="AD3385" i="20"/>
  <c r="AC3386" i="20"/>
  <c r="AF3386" i="20" s="1"/>
  <c r="AG3386" i="20" s="1"/>
  <c r="AD3386" i="20"/>
  <c r="AC3387" i="20"/>
  <c r="AF3387" i="20" s="1"/>
  <c r="AG3387" i="20" s="1"/>
  <c r="AD3387" i="20"/>
  <c r="AC3388" i="20"/>
  <c r="AF3388" i="20" s="1"/>
  <c r="AG3388" i="20" s="1"/>
  <c r="AD3388" i="20"/>
  <c r="AC3389" i="20"/>
  <c r="AF3389" i="20" s="1"/>
  <c r="AG3389" i="20" s="1"/>
  <c r="AD3389" i="20"/>
  <c r="AC3390" i="20"/>
  <c r="AD3390" i="20"/>
  <c r="AC3391" i="20"/>
  <c r="AF3391" i="20" s="1"/>
  <c r="AG3391" i="20" s="1"/>
  <c r="AD3391" i="20"/>
  <c r="AC3392" i="20"/>
  <c r="AF3392" i="20" s="1"/>
  <c r="AG3392" i="20" s="1"/>
  <c r="AD3392" i="20"/>
  <c r="AC3393" i="20"/>
  <c r="AD3393" i="20"/>
  <c r="AC3394" i="20"/>
  <c r="AD3394" i="20"/>
  <c r="AC3395" i="20"/>
  <c r="AF3395" i="20" s="1"/>
  <c r="AG3395" i="20" s="1"/>
  <c r="AD3395" i="20"/>
  <c r="AC3396" i="20"/>
  <c r="AF3396" i="20" s="1"/>
  <c r="AG3396" i="20" s="1"/>
  <c r="AD3396" i="20"/>
  <c r="AC3397" i="20"/>
  <c r="AF3397" i="20" s="1"/>
  <c r="AG3397" i="20" s="1"/>
  <c r="AD3397" i="20"/>
  <c r="AC3398" i="20"/>
  <c r="AD3398" i="20"/>
  <c r="AC3399" i="20"/>
  <c r="AF3399" i="20" s="1"/>
  <c r="AG3399" i="20" s="1"/>
  <c r="AD3399" i="20"/>
  <c r="AC3400" i="20"/>
  <c r="AF3400" i="20" s="1"/>
  <c r="AG3400" i="20" s="1"/>
  <c r="AD3400" i="20"/>
  <c r="AC3401" i="20"/>
  <c r="AF3401" i="20" s="1"/>
  <c r="AG3401" i="20" s="1"/>
  <c r="AD3401" i="20"/>
  <c r="AC3402" i="20"/>
  <c r="AD3402" i="20"/>
  <c r="AC3404" i="20"/>
  <c r="AF3404" i="20" s="1"/>
  <c r="AG3404" i="20" s="1"/>
  <c r="AD3404" i="20"/>
  <c r="AC3405" i="20"/>
  <c r="AF3405" i="20" s="1"/>
  <c r="AG3405" i="20" s="1"/>
  <c r="AD3405" i="20"/>
  <c r="AC3406" i="20"/>
  <c r="AD3406" i="20"/>
  <c r="AC3407" i="20"/>
  <c r="AF3407" i="20" s="1"/>
  <c r="AG3407" i="20" s="1"/>
  <c r="AD3407" i="20"/>
  <c r="AC3409" i="20"/>
  <c r="AD3409" i="20"/>
  <c r="AC3410" i="20"/>
  <c r="AD3410" i="20"/>
  <c r="AC3411" i="20"/>
  <c r="AF3411" i="20" s="1"/>
  <c r="AG3411" i="20" s="1"/>
  <c r="AD3411" i="20"/>
  <c r="AC3412" i="20"/>
  <c r="AF3412" i="20" s="1"/>
  <c r="AG3412" i="20" s="1"/>
  <c r="AD3412" i="20"/>
  <c r="AC3413" i="20"/>
  <c r="AF3413" i="20" s="1"/>
  <c r="AG3413" i="20" s="1"/>
  <c r="AD3413" i="20"/>
  <c r="AC3414" i="20"/>
  <c r="AD3414" i="20"/>
  <c r="AC3415" i="20"/>
  <c r="AF3415" i="20" s="1"/>
  <c r="AG3415" i="20" s="1"/>
  <c r="AD3415" i="20"/>
  <c r="AC3416" i="20"/>
  <c r="AF3416" i="20" s="1"/>
  <c r="AG3416" i="20" s="1"/>
  <c r="AD3416" i="20"/>
  <c r="AC3417" i="20"/>
  <c r="AF3417" i="20" s="1"/>
  <c r="AG3417" i="20" s="1"/>
  <c r="AD3417" i="20"/>
  <c r="AC3418" i="20"/>
  <c r="AF3418" i="20" s="1"/>
  <c r="AG3418" i="20" s="1"/>
  <c r="AD3418" i="20"/>
  <c r="AC3419" i="20"/>
  <c r="AF3419" i="20" s="1"/>
  <c r="AG3419" i="20" s="1"/>
  <c r="AD3419" i="20"/>
  <c r="AC3420" i="20"/>
  <c r="AF3420" i="20" s="1"/>
  <c r="AG3420" i="20" s="1"/>
  <c r="AD3420" i="20"/>
  <c r="AC3421" i="20"/>
  <c r="AF3421" i="20" s="1"/>
  <c r="AG3421" i="20" s="1"/>
  <c r="AD3421" i="20"/>
  <c r="AC3422" i="20"/>
  <c r="AD3422" i="20"/>
  <c r="AC3423" i="20"/>
  <c r="AF3423" i="20" s="1"/>
  <c r="AG3423" i="20" s="1"/>
  <c r="AD3423" i="20"/>
  <c r="AC3424" i="20"/>
  <c r="AF3424" i="20" s="1"/>
  <c r="AG3424" i="20" s="1"/>
  <c r="AD3424" i="20"/>
  <c r="AC3425" i="20"/>
  <c r="AD3425" i="20"/>
  <c r="AC3426" i="20"/>
  <c r="AD3426" i="20"/>
  <c r="AC3427" i="20"/>
  <c r="AF3427" i="20" s="1"/>
  <c r="AG3427" i="20" s="1"/>
  <c r="AD3427" i="20"/>
  <c r="AC3428" i="20"/>
  <c r="AF3428" i="20" s="1"/>
  <c r="AG3428" i="20" s="1"/>
  <c r="AD3428" i="20"/>
  <c r="AC3429" i="20"/>
  <c r="AD3429" i="20"/>
  <c r="AC3430" i="20"/>
  <c r="AD3430" i="20"/>
  <c r="AC3433" i="20"/>
  <c r="AF3433" i="20" s="1"/>
  <c r="AG3433" i="20" s="1"/>
  <c r="AD3433" i="20"/>
  <c r="AC3434" i="20"/>
  <c r="AF3434" i="20" s="1"/>
  <c r="AG3434" i="20" s="1"/>
  <c r="AD3434" i="20"/>
  <c r="AC3435" i="20"/>
  <c r="AF3435" i="20" s="1"/>
  <c r="AG3435" i="20" s="1"/>
  <c r="AD3435" i="20"/>
  <c r="AC3436" i="20"/>
  <c r="AF3436" i="20" s="1"/>
  <c r="AG3436" i="20" s="1"/>
  <c r="AD3436" i="20"/>
  <c r="AC3437" i="20"/>
  <c r="AF3437" i="20" s="1"/>
  <c r="AG3437" i="20" s="1"/>
  <c r="AD3437" i="20"/>
  <c r="AC3439" i="20"/>
  <c r="AF3439" i="20" s="1"/>
  <c r="AG3439" i="20" s="1"/>
  <c r="AD3439" i="20"/>
  <c r="AC3441" i="20"/>
  <c r="AD3441" i="20"/>
  <c r="AC3442" i="20"/>
  <c r="AF3442" i="20" s="1"/>
  <c r="AG3442" i="20" s="1"/>
  <c r="AD3442" i="20"/>
  <c r="AC3443" i="20"/>
  <c r="AF3443" i="20" s="1"/>
  <c r="AG3443" i="20" s="1"/>
  <c r="AD3443" i="20"/>
  <c r="AC3445" i="20"/>
  <c r="AD3445" i="20"/>
  <c r="AC3446" i="20"/>
  <c r="AD3446" i="20"/>
  <c r="AC3447" i="20"/>
  <c r="AF3447" i="20" s="1"/>
  <c r="AG3447" i="20" s="1"/>
  <c r="AD3447" i="20"/>
  <c r="AC3448" i="20"/>
  <c r="AF3448" i="20" s="1"/>
  <c r="AG3448" i="20" s="1"/>
  <c r="AD3448" i="20"/>
  <c r="AC3449" i="20"/>
  <c r="AF3449" i="20" s="1"/>
  <c r="AG3449" i="20" s="1"/>
  <c r="AD3449" i="20"/>
  <c r="AC3450" i="20"/>
  <c r="AF3450" i="20" s="1"/>
  <c r="AG3450" i="20" s="1"/>
  <c r="AD3450" i="20"/>
  <c r="AC3451" i="20"/>
  <c r="AF3451" i="20" s="1"/>
  <c r="AG3451" i="20" s="1"/>
  <c r="AD3451" i="20"/>
  <c r="AC3455" i="20"/>
  <c r="AD3455" i="20"/>
  <c r="AC3456" i="20"/>
  <c r="AF3456" i="20" s="1"/>
  <c r="AG3456" i="20" s="1"/>
  <c r="AD3456" i="20"/>
  <c r="AC3457" i="20"/>
  <c r="AF3457" i="20" s="1"/>
  <c r="AG3457" i="20" s="1"/>
  <c r="AD3457" i="20"/>
  <c r="AC3458" i="20"/>
  <c r="AD3458" i="20"/>
  <c r="AC3459" i="20"/>
  <c r="AF3459" i="20" s="1"/>
  <c r="AG3459" i="20" s="1"/>
  <c r="AD3459" i="20"/>
  <c r="AC3460" i="20"/>
  <c r="AF3460" i="20" s="1"/>
  <c r="AG3460" i="20" s="1"/>
  <c r="AD3460" i="20"/>
  <c r="AC3461" i="20"/>
  <c r="AF3461" i="20" s="1"/>
  <c r="AG3461" i="20" s="1"/>
  <c r="AD3461" i="20"/>
  <c r="AC3462" i="20"/>
  <c r="AD3462" i="20"/>
  <c r="AC3463" i="20"/>
  <c r="AD3463" i="20"/>
  <c r="AC3465" i="20"/>
  <c r="AF3465" i="20" s="1"/>
  <c r="AG3465" i="20" s="1"/>
  <c r="AD3465" i="20"/>
  <c r="AC3466" i="20"/>
  <c r="AF3466" i="20" s="1"/>
  <c r="AG3466" i="20" s="1"/>
  <c r="AD3466" i="20"/>
  <c r="AC3467" i="20"/>
  <c r="AF3467" i="20" s="1"/>
  <c r="AG3467" i="20" s="1"/>
  <c r="AD3467" i="20"/>
  <c r="AC3468" i="20"/>
  <c r="AF3468" i="20" s="1"/>
  <c r="AG3468" i="20" s="1"/>
  <c r="AD3468" i="20"/>
  <c r="AC3469" i="20"/>
  <c r="AD3469" i="20"/>
  <c r="AC3470" i="20"/>
  <c r="AF3470" i="20" s="1"/>
  <c r="AG3470" i="20" s="1"/>
  <c r="AD3470" i="20"/>
  <c r="AC3471" i="20"/>
  <c r="AF3471" i="20" s="1"/>
  <c r="AG3471" i="20" s="1"/>
  <c r="AD3471" i="20"/>
  <c r="AC3472" i="20"/>
  <c r="AF3472" i="20" s="1"/>
  <c r="AG3472" i="20" s="1"/>
  <c r="AD3472" i="20"/>
  <c r="AC3474" i="20"/>
  <c r="AD3474" i="20"/>
  <c r="AC3477" i="20"/>
  <c r="AF3477" i="20" s="1"/>
  <c r="AG3477" i="20" s="1"/>
  <c r="AD3477" i="20"/>
  <c r="AC3479" i="20"/>
  <c r="AF3479" i="20" s="1"/>
  <c r="AG3479" i="20" s="1"/>
  <c r="AD3479" i="20"/>
  <c r="AC3480" i="20"/>
  <c r="AF3480" i="20" s="1"/>
  <c r="AG3480" i="20" s="1"/>
  <c r="AD3480" i="20"/>
  <c r="AC3481" i="20"/>
  <c r="AF3481" i="20" s="1"/>
  <c r="AG3481" i="20" s="1"/>
  <c r="AD3481" i="20"/>
  <c r="AC3482" i="20"/>
  <c r="AD3482" i="20"/>
  <c r="AC3483" i="20"/>
  <c r="AD3483" i="20"/>
  <c r="AC3485" i="20"/>
  <c r="AF3485" i="20" s="1"/>
  <c r="AG3485" i="20" s="1"/>
  <c r="AD3485" i="20"/>
  <c r="AC3487" i="20"/>
  <c r="AF3487" i="20" s="1"/>
  <c r="AG3487" i="20" s="1"/>
  <c r="AD3487" i="20"/>
  <c r="AC3488" i="20"/>
  <c r="AD3488" i="20"/>
  <c r="AC3489" i="20"/>
  <c r="AF3489" i="20" s="1"/>
  <c r="AG3489" i="20" s="1"/>
  <c r="AD3489" i="20"/>
  <c r="AC3490" i="20"/>
  <c r="AD3490" i="20"/>
  <c r="AC3491" i="20"/>
  <c r="AD3491" i="20"/>
  <c r="AC3492" i="20"/>
  <c r="AF3492" i="20" s="1"/>
  <c r="AG3492" i="20" s="1"/>
  <c r="AD3492" i="20"/>
  <c r="AC3494" i="20"/>
  <c r="AD3494" i="20"/>
  <c r="AC3495" i="20"/>
  <c r="AF3495" i="20" s="1"/>
  <c r="AG3495" i="20" s="1"/>
  <c r="AD3495" i="20"/>
  <c r="AC3497" i="20"/>
  <c r="AF3497" i="20" s="1"/>
  <c r="AG3497" i="20" s="1"/>
  <c r="AD3497" i="20"/>
  <c r="AC3498" i="20"/>
  <c r="AD3498" i="20"/>
  <c r="AC3499" i="20"/>
  <c r="AD3499" i="20"/>
  <c r="AC3501" i="20"/>
  <c r="AF3501" i="20" s="1"/>
  <c r="AG3501" i="20" s="1"/>
  <c r="AD3501" i="20"/>
  <c r="AC3502" i="20"/>
  <c r="AD3502" i="20"/>
  <c r="AC3503" i="20"/>
  <c r="AF3503" i="20" s="1"/>
  <c r="AG3503" i="20" s="1"/>
  <c r="AD3503" i="20"/>
  <c r="AC3504" i="20"/>
  <c r="AD3504" i="20"/>
  <c r="AC3505" i="20"/>
  <c r="AF3505" i="20" s="1"/>
  <c r="AG3505" i="20" s="1"/>
  <c r="AD3505" i="20"/>
  <c r="AC3506" i="20"/>
  <c r="AD3506" i="20"/>
  <c r="AC3507" i="20"/>
  <c r="AD3507" i="20"/>
  <c r="AC3508" i="20"/>
  <c r="AD3508" i="20"/>
  <c r="AC3510" i="20"/>
  <c r="AD3510" i="20"/>
  <c r="AC3511" i="20"/>
  <c r="AF3511" i="20" s="1"/>
  <c r="AG3511" i="20" s="1"/>
  <c r="AD3511" i="20"/>
  <c r="AC3512" i="20"/>
  <c r="AF3512" i="20" s="1"/>
  <c r="AG3512" i="20" s="1"/>
  <c r="AD3512" i="20"/>
  <c r="AC3513" i="20"/>
  <c r="AF3513" i="20" s="1"/>
  <c r="AG3513" i="20" s="1"/>
  <c r="AD3513" i="20"/>
  <c r="AC3514" i="20"/>
  <c r="AD3514" i="20"/>
  <c r="AC3516" i="20"/>
  <c r="AF3516" i="20" s="1"/>
  <c r="AG3516" i="20" s="1"/>
  <c r="AD3516" i="20"/>
  <c r="AC3517" i="20"/>
  <c r="AF3517" i="20" s="1"/>
  <c r="AG3517" i="20" s="1"/>
  <c r="AD3517" i="20"/>
  <c r="AC3520" i="20"/>
  <c r="AD3520" i="20"/>
  <c r="AC3521" i="20"/>
  <c r="AF3521" i="20" s="1"/>
  <c r="AG3521" i="20" s="1"/>
  <c r="AD3521" i="20"/>
  <c r="AC3523" i="20"/>
  <c r="AD3523" i="20"/>
  <c r="AC3525" i="20"/>
  <c r="AF3525" i="20" s="1"/>
  <c r="AG3525" i="20" s="1"/>
  <c r="AD3525" i="20"/>
  <c r="AC3527" i="20"/>
  <c r="AF3527" i="20" s="1"/>
  <c r="AG3527" i="20" s="1"/>
  <c r="AD3527" i="20"/>
  <c r="AC3528" i="20"/>
  <c r="AD3528" i="20"/>
  <c r="AC3529" i="20"/>
  <c r="AF3529" i="20" s="1"/>
  <c r="AG3529" i="20" s="1"/>
  <c r="AD3529" i="20"/>
  <c r="AC3530" i="20"/>
  <c r="AD3530" i="20"/>
  <c r="AC3531" i="20"/>
  <c r="AD3531" i="20"/>
  <c r="AC3532" i="20"/>
  <c r="AF3532" i="20" s="1"/>
  <c r="AG3532" i="20" s="1"/>
  <c r="AD3532" i="20"/>
  <c r="AC3533" i="20"/>
  <c r="AF3533" i="20" s="1"/>
  <c r="AG3533" i="20" s="1"/>
  <c r="AD3533" i="20"/>
  <c r="AC3534" i="20"/>
  <c r="AD3534" i="20"/>
  <c r="AC3535" i="20"/>
  <c r="AF3535" i="20" s="1"/>
  <c r="AG3535" i="20" s="1"/>
  <c r="AD3535" i="20"/>
  <c r="AC3536" i="20"/>
  <c r="AD3536" i="20"/>
  <c r="AC3537" i="20"/>
  <c r="AF3537" i="20" s="1"/>
  <c r="AG3537" i="20" s="1"/>
  <c r="AD3537" i="20"/>
  <c r="AC3538" i="20"/>
  <c r="AD3538" i="20"/>
  <c r="AC3540" i="20"/>
  <c r="AD3540" i="20"/>
  <c r="AC3541" i="20"/>
  <c r="AF3541" i="20" s="1"/>
  <c r="AG3541" i="20" s="1"/>
  <c r="AD3541" i="20"/>
  <c r="AC3543" i="20"/>
  <c r="AF3543" i="20" s="1"/>
  <c r="AG3543" i="20" s="1"/>
  <c r="AD3543" i="20"/>
  <c r="AC3545" i="20"/>
  <c r="AF3545" i="20" s="1"/>
  <c r="AG3545" i="20" s="1"/>
  <c r="AD3545" i="20"/>
  <c r="AC3546" i="20"/>
  <c r="AD3546" i="20"/>
  <c r="AC3548" i="20"/>
  <c r="AF3548" i="20" s="1"/>
  <c r="AG3548" i="20" s="1"/>
  <c r="AD3548" i="20"/>
  <c r="AC3549" i="20"/>
  <c r="AF3549" i="20" s="1"/>
  <c r="AG3549" i="20" s="1"/>
  <c r="AD3549" i="20"/>
  <c r="AC3550" i="20"/>
  <c r="AD3550" i="20"/>
  <c r="AC3551" i="20"/>
  <c r="AF3551" i="20" s="1"/>
  <c r="AG3551" i="20" s="1"/>
  <c r="AD3551" i="20"/>
  <c r="AC3552" i="20"/>
  <c r="AD3552" i="20"/>
  <c r="AC3553" i="20"/>
  <c r="AF3553" i="20" s="1"/>
  <c r="AG3553" i="20" s="1"/>
  <c r="AD3553" i="20"/>
  <c r="AC3554" i="20"/>
  <c r="AD3554" i="20"/>
  <c r="AC3556" i="20"/>
  <c r="AF3556" i="20" s="1"/>
  <c r="AG3556" i="20" s="1"/>
  <c r="AD3556" i="20"/>
  <c r="AC3557" i="20"/>
  <c r="AF3557" i="20" s="1"/>
  <c r="AG3557" i="20" s="1"/>
  <c r="AD3557" i="20"/>
  <c r="AC3558" i="20"/>
  <c r="AD3558" i="20"/>
  <c r="AC3559" i="20"/>
  <c r="AF3559" i="20" s="1"/>
  <c r="AG3559" i="20" s="1"/>
  <c r="AD3559" i="20"/>
  <c r="AC3560" i="20"/>
  <c r="AD3560" i="20"/>
  <c r="AC3561" i="20"/>
  <c r="AF3561" i="20" s="1"/>
  <c r="AG3561" i="20" s="1"/>
  <c r="AD3561" i="20"/>
  <c r="AC3562" i="20"/>
  <c r="AD3562" i="20"/>
  <c r="AC3563" i="20"/>
  <c r="AD3563" i="20"/>
  <c r="AC3564" i="20"/>
  <c r="AF3564" i="20" s="1"/>
  <c r="AG3564" i="20" s="1"/>
  <c r="AD3564" i="20"/>
  <c r="AC3567" i="20"/>
  <c r="AF3567" i="20" s="1"/>
  <c r="AG3567" i="20" s="1"/>
  <c r="AD3567" i="20"/>
  <c r="AC3569" i="20"/>
  <c r="AF3569" i="20" s="1"/>
  <c r="AG3569" i="20" s="1"/>
  <c r="AD3569" i="20"/>
  <c r="AC3570" i="20"/>
  <c r="AD3570" i="20"/>
  <c r="AC3571" i="20"/>
  <c r="AD3571" i="20"/>
  <c r="AC3572" i="20"/>
  <c r="AF3572" i="20" s="1"/>
  <c r="AG3572" i="20" s="1"/>
  <c r="AD3572" i="20"/>
  <c r="AC3573" i="20"/>
  <c r="AF3573" i="20" s="1"/>
  <c r="AG3573" i="20" s="1"/>
  <c r="AD3573" i="20"/>
  <c r="AC3574" i="20"/>
  <c r="AD3574" i="20"/>
  <c r="AC3576" i="20"/>
  <c r="AD3576" i="20"/>
  <c r="AC3577" i="20"/>
  <c r="AF3577" i="20" s="1"/>
  <c r="AG3577" i="20" s="1"/>
  <c r="AD3577" i="20"/>
  <c r="AC3578" i="20"/>
  <c r="AD3578" i="20"/>
  <c r="AC3579" i="20"/>
  <c r="AD3579" i="20"/>
  <c r="AC3580" i="20"/>
  <c r="AF3580" i="20" s="1"/>
  <c r="AG3580" i="20" s="1"/>
  <c r="AD3580" i="20"/>
  <c r="AC3581" i="20"/>
  <c r="AF3581" i="20" s="1"/>
  <c r="AG3581" i="20" s="1"/>
  <c r="AD3581" i="20"/>
  <c r="AC3582" i="20"/>
  <c r="AD3582" i="20"/>
  <c r="AC3583" i="20"/>
  <c r="AF3583" i="20" s="1"/>
  <c r="AG3583" i="20" s="1"/>
  <c r="AD3583" i="20"/>
  <c r="AC3585" i="20"/>
  <c r="AF3585" i="20" s="1"/>
  <c r="AG3585" i="20" s="1"/>
  <c r="AD3585" i="20"/>
  <c r="AC3588" i="20"/>
  <c r="AF3588" i="20" s="1"/>
  <c r="AG3588" i="20" s="1"/>
  <c r="AD3588" i="20"/>
  <c r="AC3589" i="20"/>
  <c r="AF3589" i="20" s="1"/>
  <c r="AG3589" i="20" s="1"/>
  <c r="AD3589" i="20"/>
  <c r="AC3590" i="20"/>
  <c r="AD3590" i="20"/>
  <c r="AC3591" i="20"/>
  <c r="AF3591" i="20" s="1"/>
  <c r="AD3591" i="20"/>
  <c r="AC3592" i="20"/>
  <c r="AD3592" i="20"/>
  <c r="AC3593" i="20"/>
  <c r="AF3593" i="20" s="1"/>
  <c r="AG3593" i="20" s="1"/>
  <c r="AD3593" i="20"/>
  <c r="AC3594" i="20"/>
  <c r="AD3594" i="20"/>
  <c r="AC3596" i="20"/>
  <c r="AF3596" i="20" s="1"/>
  <c r="AG3596" i="20" s="1"/>
  <c r="AD3596" i="20"/>
  <c r="AC3597" i="20"/>
  <c r="AD3597" i="20"/>
  <c r="AC3598" i="20"/>
  <c r="AD3598" i="20"/>
  <c r="AC3599" i="20"/>
  <c r="AD3599" i="20"/>
  <c r="AC3600" i="20"/>
  <c r="AD3600" i="20"/>
  <c r="AC3601" i="20"/>
  <c r="AF3601" i="20" s="1"/>
  <c r="AG3601" i="20" s="1"/>
  <c r="AD3601" i="20"/>
  <c r="AC3602" i="20"/>
  <c r="AD3602" i="20"/>
  <c r="AC3603" i="20"/>
  <c r="AD3603" i="20"/>
  <c r="AC3604" i="20"/>
  <c r="AF3604" i="20" s="1"/>
  <c r="AG3604" i="20" s="1"/>
  <c r="AD3604" i="20"/>
  <c r="AC3605" i="20"/>
  <c r="AD3605" i="20"/>
  <c r="AC3606" i="20"/>
  <c r="AD3606" i="20"/>
  <c r="AC3607" i="20"/>
  <c r="AF3607" i="20" s="1"/>
  <c r="AG3607" i="20" s="1"/>
  <c r="AD3607" i="20"/>
  <c r="AC3609" i="20"/>
  <c r="AF3609" i="20" s="1"/>
  <c r="AG3609" i="20" s="1"/>
  <c r="AD3609" i="20"/>
  <c r="AC3610" i="20"/>
  <c r="AD3610" i="20"/>
  <c r="AC3611" i="20"/>
  <c r="AF3611" i="20" s="1"/>
  <c r="AD3611" i="20"/>
  <c r="AC3612" i="20"/>
  <c r="AD3612" i="20"/>
  <c r="AC3613" i="20"/>
  <c r="AD3613" i="20"/>
  <c r="AC3614" i="20"/>
  <c r="AD3614" i="20"/>
  <c r="AC3616" i="20"/>
  <c r="AD3616" i="20"/>
  <c r="AC3617" i="20"/>
  <c r="AF3617" i="20" s="1"/>
  <c r="AG3617" i="20" s="1"/>
  <c r="AD3617" i="20"/>
  <c r="AC3618" i="20"/>
  <c r="AD3618" i="20"/>
  <c r="AC3619" i="20"/>
  <c r="AD3619" i="20"/>
  <c r="AC3623" i="20"/>
  <c r="AD3623" i="20"/>
  <c r="AC3624" i="20"/>
  <c r="AD3624" i="20"/>
  <c r="AC3625" i="20"/>
  <c r="AF3625" i="20" s="1"/>
  <c r="AG3625" i="20" s="1"/>
  <c r="AD3625" i="20"/>
  <c r="AC3626" i="20"/>
  <c r="AD3626" i="20"/>
  <c r="AC3627" i="20"/>
  <c r="AD3627" i="20"/>
  <c r="AC3628" i="20"/>
  <c r="AF3628" i="20" s="1"/>
  <c r="AG3628" i="20" s="1"/>
  <c r="AD3628" i="20"/>
  <c r="AC3629" i="20"/>
  <c r="AD3629" i="20"/>
  <c r="AC3630" i="20"/>
  <c r="AD3630" i="20"/>
  <c r="AC3631" i="20"/>
  <c r="AD3631" i="20"/>
  <c r="AC3632" i="20"/>
  <c r="AF3632" i="20" s="1"/>
  <c r="AG3632" i="20" s="1"/>
  <c r="AD3632" i="20"/>
  <c r="AC3633" i="20"/>
  <c r="AF3633" i="20" s="1"/>
  <c r="AG3633" i="20" s="1"/>
  <c r="AD3633" i="20"/>
  <c r="AC3634" i="20"/>
  <c r="AD3634" i="20"/>
  <c r="AC3635" i="20"/>
  <c r="AD3635" i="20"/>
  <c r="AC3636" i="20"/>
  <c r="AD3636" i="20"/>
  <c r="AC3637" i="20"/>
  <c r="AD3637" i="20"/>
  <c r="AC3638" i="20"/>
  <c r="AD3638" i="20"/>
  <c r="AC3639" i="20"/>
  <c r="AF3639" i="20" s="1"/>
  <c r="AD3639" i="20"/>
  <c r="AC3641" i="20"/>
  <c r="AF3641" i="20" s="1"/>
  <c r="AG3641" i="20" s="1"/>
  <c r="AD3641" i="20"/>
  <c r="AC3642" i="20"/>
  <c r="AD3642" i="20"/>
  <c r="AC3644" i="20"/>
  <c r="AF3644" i="20" s="1"/>
  <c r="AG3644" i="20" s="1"/>
  <c r="AD3644" i="20"/>
  <c r="AC3645" i="20"/>
  <c r="AF3645" i="20" s="1"/>
  <c r="AG3645" i="20" s="1"/>
  <c r="AD3645" i="20"/>
  <c r="AC3646" i="20"/>
  <c r="AD3646" i="20"/>
  <c r="AC3647" i="20"/>
  <c r="AD3647" i="20"/>
  <c r="AC3648" i="20"/>
  <c r="AF3648" i="20" s="1"/>
  <c r="AG3648" i="20" s="1"/>
  <c r="AD3648" i="20"/>
  <c r="AC3649" i="20"/>
  <c r="AF3649" i="20" s="1"/>
  <c r="AG3649" i="20" s="1"/>
  <c r="AD3649" i="20"/>
  <c r="AC3650" i="20"/>
  <c r="AD3650" i="20"/>
  <c r="AC3651" i="20"/>
  <c r="AD3651" i="20"/>
  <c r="AC3652" i="20"/>
  <c r="AF3652" i="20" s="1"/>
  <c r="AG3652" i="20" s="1"/>
  <c r="AD3652" i="20"/>
  <c r="AC3653" i="20"/>
  <c r="AF3653" i="20" s="1"/>
  <c r="AG3653" i="20" s="1"/>
  <c r="AD3653" i="20"/>
  <c r="AC3654" i="20"/>
  <c r="AD3654" i="20"/>
  <c r="AC3656" i="20"/>
  <c r="AD3656" i="20"/>
  <c r="AC3657" i="20"/>
  <c r="AF3657" i="20" s="1"/>
  <c r="AG3657" i="20" s="1"/>
  <c r="AD3657" i="20"/>
  <c r="AC3658" i="20"/>
  <c r="AD3658" i="20"/>
  <c r="AC3659" i="20"/>
  <c r="AF3659" i="20" s="1"/>
  <c r="AD3659" i="20"/>
  <c r="AC3660" i="20"/>
  <c r="AD3660" i="20"/>
  <c r="AC3662" i="20"/>
  <c r="AD3662" i="20"/>
  <c r="AC3663" i="20"/>
  <c r="AD3663" i="20"/>
  <c r="AC3664" i="20"/>
  <c r="AD3664" i="20"/>
  <c r="AC3665" i="20"/>
  <c r="AF3665" i="20" s="1"/>
  <c r="AG3665" i="20" s="1"/>
  <c r="AD3665" i="20"/>
  <c r="AC3666" i="20"/>
  <c r="AD3666" i="20"/>
  <c r="AC3667" i="20"/>
  <c r="AD3667" i="20"/>
  <c r="AC3668" i="20"/>
  <c r="AD3668" i="20"/>
  <c r="AC3669" i="20"/>
  <c r="AD3669" i="20"/>
  <c r="AC3670" i="20"/>
  <c r="AD3670" i="20"/>
  <c r="AC3671" i="20"/>
  <c r="AD3671" i="20"/>
  <c r="AC3672" i="20"/>
  <c r="AD3672" i="20"/>
  <c r="AC3673" i="20"/>
  <c r="AF3673" i="20" s="1"/>
  <c r="AG3673" i="20" s="1"/>
  <c r="AD3673" i="20"/>
  <c r="AC3674" i="20"/>
  <c r="AD3674" i="20"/>
  <c r="AC3675" i="20"/>
  <c r="AF3675" i="20" s="1"/>
  <c r="AD3675" i="20"/>
  <c r="AC3676" i="20"/>
  <c r="AD3676" i="20"/>
  <c r="AC3677" i="20"/>
  <c r="AD3677" i="20"/>
  <c r="AC3678" i="20"/>
  <c r="AD3678" i="20"/>
  <c r="AC3679" i="20"/>
  <c r="AD3679" i="20"/>
  <c r="AC3680" i="20"/>
  <c r="AF3680" i="20" s="1"/>
  <c r="AG3680" i="20" s="1"/>
  <c r="AD3680" i="20"/>
  <c r="AC3681" i="20"/>
  <c r="AF3681" i="20" s="1"/>
  <c r="AG3681" i="20" s="1"/>
  <c r="AD3681" i="20"/>
  <c r="AC3682" i="20"/>
  <c r="AD3682" i="20"/>
  <c r="AC3683" i="20"/>
  <c r="AD3683" i="20"/>
  <c r="AC3684" i="20"/>
  <c r="AD3684" i="20"/>
  <c r="AC3685" i="20"/>
  <c r="AF3685" i="20" s="1"/>
  <c r="AG3685" i="20" s="1"/>
  <c r="AD3685" i="20"/>
  <c r="AC3686" i="20"/>
  <c r="AD3686" i="20"/>
  <c r="AC3687" i="20"/>
  <c r="AD3687" i="20"/>
  <c r="AC3688" i="20"/>
  <c r="AF3688" i="20" s="1"/>
  <c r="AG3688" i="20" s="1"/>
  <c r="AD3688" i="20"/>
  <c r="AC3689" i="20"/>
  <c r="AF3689" i="20" s="1"/>
  <c r="AG3689" i="20" s="1"/>
  <c r="AD3689" i="20"/>
  <c r="AC3690" i="20"/>
  <c r="AD3690" i="20"/>
  <c r="AC3691" i="20"/>
  <c r="AF3691" i="20" s="1"/>
  <c r="AD3691" i="20"/>
  <c r="AC3692" i="20"/>
  <c r="AD3692" i="20"/>
  <c r="AC3693" i="20"/>
  <c r="AF3693" i="20" s="1"/>
  <c r="AG3693" i="20" s="1"/>
  <c r="AD3693" i="20"/>
  <c r="AC3694" i="20"/>
  <c r="AD3694" i="20"/>
  <c r="AC3695" i="20"/>
  <c r="AD3695" i="20"/>
  <c r="AC3697" i="20"/>
  <c r="AF3697" i="20" s="1"/>
  <c r="AG3697" i="20" s="1"/>
  <c r="AD3697" i="20"/>
  <c r="AC3698" i="20"/>
  <c r="AD3698" i="20"/>
  <c r="AC3699" i="20"/>
  <c r="AD3699" i="20"/>
  <c r="AC3701" i="20"/>
  <c r="AD3701" i="20"/>
  <c r="AC3702" i="20"/>
  <c r="AD3702" i="20"/>
  <c r="AC3703" i="20"/>
  <c r="AD3703" i="20"/>
  <c r="AC3705" i="20"/>
  <c r="AF3705" i="20" s="1"/>
  <c r="AG3705" i="20" s="1"/>
  <c r="AD3705" i="20"/>
  <c r="AC3706" i="20"/>
  <c r="AD3706" i="20"/>
  <c r="AC3707" i="20"/>
  <c r="AF3707" i="20" s="1"/>
  <c r="AD3707" i="20"/>
  <c r="AC3708" i="20"/>
  <c r="AD3708" i="20"/>
  <c r="AC3709" i="20"/>
  <c r="AD3709" i="20"/>
  <c r="AC3710" i="20"/>
  <c r="AD3710" i="20"/>
  <c r="AC3711" i="20"/>
  <c r="AD3711" i="20"/>
  <c r="AC3713" i="20"/>
  <c r="AF3713" i="20" s="1"/>
  <c r="AG3713" i="20" s="1"/>
  <c r="AD3713" i="20"/>
  <c r="AC3714" i="20"/>
  <c r="AD3714" i="20"/>
  <c r="AC3715" i="20"/>
  <c r="AD3715" i="20"/>
  <c r="AC3716" i="20"/>
  <c r="AF3716" i="20" s="1"/>
  <c r="AG3716" i="20" s="1"/>
  <c r="AD3716" i="20"/>
  <c r="AC3717" i="20"/>
  <c r="AF3717" i="20" s="1"/>
  <c r="AG3717" i="20" s="1"/>
  <c r="AD3717" i="20"/>
  <c r="AC3718" i="20"/>
  <c r="AD3718" i="20"/>
  <c r="AC3719" i="20"/>
  <c r="AD3719" i="20"/>
  <c r="AC3720" i="20"/>
  <c r="AD3720" i="20"/>
  <c r="AC3721" i="20"/>
  <c r="AF3721" i="20" s="1"/>
  <c r="AG3721" i="20" s="1"/>
  <c r="AD3721" i="20"/>
  <c r="AC3723" i="20"/>
  <c r="AD3723" i="20"/>
  <c r="AC3724" i="20"/>
  <c r="AD3724" i="20"/>
  <c r="AC3725" i="20"/>
  <c r="AD3725" i="20"/>
  <c r="AC3727" i="20"/>
  <c r="AD3727" i="20"/>
  <c r="AC3728" i="20"/>
  <c r="AD3728" i="20"/>
  <c r="AC3729" i="20"/>
  <c r="AF3729" i="20" s="1"/>
  <c r="AG3729" i="20" s="1"/>
  <c r="AD3729" i="20"/>
  <c r="AC3730" i="20"/>
  <c r="AD3730" i="20"/>
  <c r="AC3732" i="20"/>
  <c r="AD3732" i="20"/>
  <c r="AC3733" i="20"/>
  <c r="AD3733" i="20"/>
  <c r="AC3735" i="20"/>
  <c r="AF3735" i="20" s="1"/>
  <c r="AG3735" i="20" s="1"/>
  <c r="AD3735" i="20"/>
  <c r="AC3736" i="20"/>
  <c r="AD3736" i="20"/>
  <c r="AC3737" i="20"/>
  <c r="AF3737" i="20" s="1"/>
  <c r="AG3737" i="20" s="1"/>
  <c r="AD3737" i="20"/>
  <c r="AC3738" i="20"/>
  <c r="AD3738" i="20"/>
  <c r="AC3739" i="20"/>
  <c r="AD3739" i="20"/>
  <c r="AC3740" i="20"/>
  <c r="AF3740" i="20" s="1"/>
  <c r="AG3740" i="20" s="1"/>
  <c r="AC3742" i="20"/>
  <c r="AD3742" i="20"/>
  <c r="AC3743" i="20"/>
  <c r="AD3743" i="20"/>
  <c r="AC3744" i="20"/>
  <c r="AD3744" i="20"/>
  <c r="AC3745" i="20"/>
  <c r="AF3745" i="20" s="1"/>
  <c r="AG3745" i="20" s="1"/>
  <c r="AD3745" i="20"/>
  <c r="AC3748" i="20"/>
  <c r="AD3748" i="20"/>
  <c r="AC3749" i="20"/>
  <c r="AD3749" i="20"/>
  <c r="AC3750" i="20"/>
  <c r="AF3750" i="20" s="1"/>
  <c r="AG3750" i="20" s="1"/>
  <c r="AD3750" i="20"/>
  <c r="AC3751" i="20"/>
  <c r="AD3751" i="20"/>
  <c r="AC3752" i="20"/>
  <c r="AD3752" i="20"/>
  <c r="AC3753" i="20"/>
  <c r="AF3753" i="20" s="1"/>
  <c r="AD3753" i="20"/>
  <c r="AC3754" i="20"/>
  <c r="AD3754" i="20"/>
  <c r="AC3756" i="20"/>
  <c r="AD3756" i="20"/>
  <c r="AC3757" i="20"/>
  <c r="AD3757" i="20"/>
  <c r="AC3758" i="20"/>
  <c r="AD3758" i="20"/>
  <c r="AC3761" i="20"/>
  <c r="AD3761" i="20"/>
  <c r="AC3762" i="20"/>
  <c r="AF3762" i="20" s="1"/>
  <c r="AG3762" i="20" s="1"/>
  <c r="AD3762" i="20"/>
  <c r="AC3764" i="20"/>
  <c r="AD3764" i="20"/>
  <c r="AC3765" i="20"/>
  <c r="AD3765" i="20"/>
  <c r="AC3768" i="20"/>
  <c r="AD3768" i="20"/>
  <c r="AC3769" i="20"/>
  <c r="AD3769" i="20"/>
  <c r="AC3770" i="20"/>
  <c r="AD3770" i="20"/>
  <c r="AC3772" i="20"/>
  <c r="AD3772" i="20"/>
  <c r="AC3773" i="20"/>
  <c r="AD3773" i="20"/>
  <c r="AC3774" i="20"/>
  <c r="AD3774" i="20"/>
  <c r="AC3777" i="20"/>
  <c r="AD3777" i="20"/>
  <c r="AC3778" i="20"/>
  <c r="AF3778" i="20" s="1"/>
  <c r="AG3778" i="20" s="1"/>
  <c r="AD3778" i="20"/>
  <c r="AC3779" i="20"/>
  <c r="AF3779" i="20" s="1"/>
  <c r="AG3779" i="20" s="1"/>
  <c r="AD3779" i="20"/>
  <c r="AC3780" i="20"/>
  <c r="AD3780" i="20"/>
  <c r="AC3781" i="20"/>
  <c r="AF3781" i="20" s="1"/>
  <c r="AG3781" i="20" s="1"/>
  <c r="AD3781" i="20"/>
  <c r="AC3782" i="20"/>
  <c r="AF3782" i="20" s="1"/>
  <c r="AG3782" i="20" s="1"/>
  <c r="AD3782" i="20"/>
  <c r="AC3785" i="20"/>
  <c r="AF3785" i="20" s="1"/>
  <c r="AG3785" i="20" s="1"/>
  <c r="AD3785" i="20"/>
  <c r="AC3787" i="20"/>
  <c r="AF3787" i="20" s="1"/>
  <c r="AG3787" i="20" s="1"/>
  <c r="AD3787" i="20"/>
  <c r="AC3788" i="20"/>
  <c r="AF3788" i="20" s="1"/>
  <c r="AG3788" i="20" s="1"/>
  <c r="AD3788" i="20"/>
  <c r="AC3789" i="20"/>
  <c r="AF3789" i="20" s="1"/>
  <c r="AG3789" i="20" s="1"/>
  <c r="AD3789" i="20"/>
  <c r="AC3790" i="20"/>
  <c r="AF3790" i="20" s="1"/>
  <c r="AG3790" i="20" s="1"/>
  <c r="AD3790" i="20"/>
  <c r="AC3791" i="20"/>
  <c r="AD3791" i="20"/>
  <c r="AC3792" i="20"/>
  <c r="AF3792" i="20" s="1"/>
  <c r="AG3792" i="20" s="1"/>
  <c r="AD3792" i="20"/>
  <c r="AC3794" i="20"/>
  <c r="AF3794" i="20" s="1"/>
  <c r="AG3794" i="20" s="1"/>
  <c r="AD3794" i="20"/>
  <c r="AC3795" i="20"/>
  <c r="AD3795" i="20"/>
  <c r="AC3796" i="20"/>
  <c r="AD3796" i="20"/>
  <c r="AC3797" i="20"/>
  <c r="AF3797" i="20" s="1"/>
  <c r="AG3797" i="20" s="1"/>
  <c r="AD3797" i="20"/>
  <c r="AC3798" i="20"/>
  <c r="AF3798" i="20" s="1"/>
  <c r="AG3798" i="20" s="1"/>
  <c r="AD3798" i="20"/>
  <c r="AC3799" i="20"/>
  <c r="AD3799" i="20"/>
  <c r="AC3801" i="20"/>
  <c r="AF3801" i="20" s="1"/>
  <c r="AG3801" i="20" s="1"/>
  <c r="AD3801" i="20"/>
  <c r="AC3802" i="20"/>
  <c r="AF3802" i="20" s="1"/>
  <c r="AG3802" i="20" s="1"/>
  <c r="AD3802" i="20"/>
  <c r="AC3803" i="20"/>
  <c r="AD3803" i="20"/>
  <c r="AC3806" i="20"/>
  <c r="AF3806" i="20" s="1"/>
  <c r="AG3806" i="20" s="1"/>
  <c r="AD3806" i="20"/>
  <c r="AC3807" i="20"/>
  <c r="AF3807" i="20" s="1"/>
  <c r="AG3807" i="20" s="1"/>
  <c r="AD3807" i="20"/>
  <c r="AC3808" i="20"/>
  <c r="AF3808" i="20" s="1"/>
  <c r="AG3808" i="20" s="1"/>
  <c r="AD3808" i="20"/>
  <c r="AC3809" i="20"/>
  <c r="AF3809" i="20" s="1"/>
  <c r="AG3809" i="20" s="1"/>
  <c r="AD3809" i="20"/>
  <c r="AC3811" i="20"/>
  <c r="AD3811" i="20"/>
  <c r="AC3813" i="20"/>
  <c r="AF3813" i="20" s="1"/>
  <c r="AG3813" i="20" s="1"/>
  <c r="AD3813" i="20"/>
  <c r="AC3815" i="20"/>
  <c r="AF3815" i="20" s="1"/>
  <c r="AG3815" i="20" s="1"/>
  <c r="AD3815" i="20"/>
  <c r="AC3816" i="20"/>
  <c r="AF3816" i="20" s="1"/>
  <c r="AG3816" i="20" s="1"/>
  <c r="AD3816" i="20"/>
  <c r="AC3817" i="20"/>
  <c r="AF3817" i="20" s="1"/>
  <c r="AG3817" i="20" s="1"/>
  <c r="AD3817" i="20"/>
  <c r="AC3818" i="20"/>
  <c r="AF3818" i="20" s="1"/>
  <c r="AG3818" i="20" s="1"/>
  <c r="AD3818" i="20"/>
  <c r="AC3819" i="20"/>
  <c r="AF3819" i="20" s="1"/>
  <c r="AG3819" i="20" s="1"/>
  <c r="AD3819" i="20"/>
  <c r="AC3820" i="20"/>
  <c r="AD3820" i="20"/>
  <c r="AC3821" i="20"/>
  <c r="AF3821" i="20" s="1"/>
  <c r="AG3821" i="20" s="1"/>
  <c r="AD3821" i="20"/>
  <c r="AC3822" i="20"/>
  <c r="AF3822" i="20" s="1"/>
  <c r="AG3822" i="20" s="1"/>
  <c r="AD3822" i="20"/>
  <c r="AC3823" i="20"/>
  <c r="AF3823" i="20" s="1"/>
  <c r="AG3823" i="20" s="1"/>
  <c r="AD3823" i="20"/>
  <c r="AC3824" i="20"/>
  <c r="AD3824" i="20"/>
  <c r="AC3825" i="20"/>
  <c r="AF3825" i="20" s="1"/>
  <c r="AG3825" i="20" s="1"/>
  <c r="AD3825" i="20"/>
  <c r="AC3827" i="20"/>
  <c r="AF3827" i="20" s="1"/>
  <c r="AG3827" i="20" s="1"/>
  <c r="AD3827" i="20"/>
  <c r="AC3828" i="20"/>
  <c r="AF3828" i="20" s="1"/>
  <c r="AG3828" i="20" s="1"/>
  <c r="AD3828" i="20"/>
  <c r="AC3832" i="20"/>
  <c r="AD3832" i="20"/>
  <c r="AC3833" i="20"/>
  <c r="AF3833" i="20" s="1"/>
  <c r="AG3833" i="20" s="1"/>
  <c r="AD3833" i="20"/>
  <c r="AC3834" i="20"/>
  <c r="AF3834" i="20" s="1"/>
  <c r="AG3834" i="20" s="1"/>
  <c r="AD3834" i="20"/>
  <c r="AC3835" i="20"/>
  <c r="AF3835" i="20" s="1"/>
  <c r="AG3835" i="20" s="1"/>
  <c r="AD3835" i="20"/>
  <c r="AC3836" i="20"/>
  <c r="AF3836" i="20" s="1"/>
  <c r="AG3836" i="20" s="1"/>
  <c r="AD3836" i="20"/>
  <c r="AC3837" i="20"/>
  <c r="AF3837" i="20" s="1"/>
  <c r="AG3837" i="20" s="1"/>
  <c r="AD3837" i="20"/>
  <c r="AC3838" i="20"/>
  <c r="AF3838" i="20" s="1"/>
  <c r="AG3838" i="20" s="1"/>
  <c r="AD3838" i="20"/>
  <c r="AC3841" i="20"/>
  <c r="AF3841" i="20" s="1"/>
  <c r="AG3841" i="20" s="1"/>
  <c r="AD3841" i="20"/>
  <c r="AC3842" i="20"/>
  <c r="AF3842" i="20" s="1"/>
  <c r="AG3842" i="20" s="1"/>
  <c r="AD3842" i="20"/>
  <c r="AC3843" i="20"/>
  <c r="AD3843" i="20"/>
  <c r="AC3844" i="20"/>
  <c r="AF3844" i="20" s="1"/>
  <c r="AG3844" i="20" s="1"/>
  <c r="AD3844" i="20"/>
  <c r="AC3845" i="20"/>
  <c r="AF3845" i="20" s="1"/>
  <c r="AG3845" i="20" s="1"/>
  <c r="AD3845" i="20"/>
  <c r="AC3848" i="20"/>
  <c r="AF3848" i="20" s="1"/>
  <c r="AG3848" i="20" s="1"/>
  <c r="AD3848" i="20"/>
  <c r="AC3849" i="20"/>
  <c r="AF3849" i="20" s="1"/>
  <c r="AG3849" i="20" s="1"/>
  <c r="AD3849" i="20"/>
  <c r="AC3850" i="20"/>
  <c r="AF3850" i="20" s="1"/>
  <c r="AG3850" i="20" s="1"/>
  <c r="AD3850" i="20"/>
  <c r="AC3853" i="20"/>
  <c r="AF3853" i="20" s="1"/>
  <c r="AG3853" i="20" s="1"/>
  <c r="AD3853" i="20"/>
  <c r="AC3854" i="20"/>
  <c r="AF3854" i="20" s="1"/>
  <c r="AG3854" i="20" s="1"/>
  <c r="AD3854" i="20"/>
  <c r="AC3855" i="20"/>
  <c r="AD3855" i="20"/>
  <c r="AC3856" i="20"/>
  <c r="AF3856" i="20" s="1"/>
  <c r="AG3856" i="20" s="1"/>
  <c r="AD3856" i="20"/>
  <c r="AC3857" i="20"/>
  <c r="AF3857" i="20" s="1"/>
  <c r="AG3857" i="20" s="1"/>
  <c r="AD3857" i="20"/>
  <c r="AC3858" i="20"/>
  <c r="AF3858" i="20" s="1"/>
  <c r="AG3858" i="20" s="1"/>
  <c r="AD3858" i="20"/>
  <c r="AC3859" i="20"/>
  <c r="AD3859" i="20"/>
  <c r="AC3860" i="20"/>
  <c r="AF3860" i="20" s="1"/>
  <c r="AG3860" i="20" s="1"/>
  <c r="AD3860" i="20"/>
  <c r="AC3861" i="20"/>
  <c r="AF3861" i="20" s="1"/>
  <c r="AG3861" i="20" s="1"/>
  <c r="AD3861" i="20"/>
  <c r="AC3862" i="20"/>
  <c r="AF3862" i="20" s="1"/>
  <c r="AG3862" i="20" s="1"/>
  <c r="AD3862" i="20"/>
  <c r="AC3863" i="20"/>
  <c r="AD3863" i="20"/>
  <c r="AC3864" i="20"/>
  <c r="AF3864" i="20" s="1"/>
  <c r="AG3864" i="20" s="1"/>
  <c r="AD3864" i="20"/>
  <c r="AC3865" i="20"/>
  <c r="AF3865" i="20" s="1"/>
  <c r="AG3865" i="20" s="1"/>
  <c r="AD3865" i="20"/>
  <c r="AC3866" i="20"/>
  <c r="AF3866" i="20" s="1"/>
  <c r="AG3866" i="20" s="1"/>
  <c r="AD3866" i="20"/>
  <c r="AC3867" i="20"/>
  <c r="AD3867" i="20"/>
  <c r="AC3868" i="20"/>
  <c r="AF3868" i="20" s="1"/>
  <c r="AG3868" i="20" s="1"/>
  <c r="AD3868" i="20"/>
  <c r="AC3869" i="20"/>
  <c r="AF3869" i="20" s="1"/>
  <c r="AG3869" i="20" s="1"/>
  <c r="AD3869" i="20"/>
  <c r="AC3870" i="20"/>
  <c r="AF3870" i="20" s="1"/>
  <c r="AG3870" i="20" s="1"/>
  <c r="AD3870" i="20"/>
  <c r="AC3871" i="20"/>
  <c r="AD3871" i="20"/>
  <c r="AC3874" i="20"/>
  <c r="AF3874" i="20" s="1"/>
  <c r="AG3874" i="20" s="1"/>
  <c r="AD3874" i="20"/>
  <c r="AC3875" i="20"/>
  <c r="AF3875" i="20" s="1"/>
  <c r="AG3875" i="20" s="1"/>
  <c r="AD3875" i="20"/>
  <c r="AC3876" i="20"/>
  <c r="AD3876" i="20"/>
  <c r="AC3877" i="20"/>
  <c r="AF3877" i="20" s="1"/>
  <c r="AG3877" i="20" s="1"/>
  <c r="AD3877" i="20"/>
  <c r="AC3878" i="20"/>
  <c r="AF3878" i="20" s="1"/>
  <c r="AG3878" i="20" s="1"/>
  <c r="AD3878" i="20"/>
  <c r="AC3879" i="20"/>
  <c r="AD3879" i="20"/>
  <c r="AC3880" i="20"/>
  <c r="AF3880" i="20" s="1"/>
  <c r="AG3880" i="20" s="1"/>
  <c r="AD3880" i="20"/>
  <c r="AC3882" i="20"/>
  <c r="AF3882" i="20" s="1"/>
  <c r="AG3882" i="20" s="1"/>
  <c r="AD3882" i="20"/>
  <c r="AC3883" i="20"/>
  <c r="AF3883" i="20" s="1"/>
  <c r="AG3883" i="20" s="1"/>
  <c r="AD3883" i="20"/>
  <c r="AC3884" i="20"/>
  <c r="AD3884" i="20"/>
  <c r="AC3885" i="20"/>
  <c r="AF3885" i="20" s="1"/>
  <c r="AG3885" i="20" s="1"/>
  <c r="AD3885" i="20"/>
  <c r="AC3886" i="20"/>
  <c r="AF3886" i="20" s="1"/>
  <c r="AG3886" i="20" s="1"/>
  <c r="AD3886" i="20"/>
  <c r="AC3887" i="20"/>
  <c r="AD3887" i="20"/>
  <c r="AC3889" i="20"/>
  <c r="AF3889" i="20" s="1"/>
  <c r="AG3889" i="20" s="1"/>
  <c r="AD3889" i="20"/>
  <c r="AC3890" i="20"/>
  <c r="AF3890" i="20" s="1"/>
  <c r="AG3890" i="20" s="1"/>
  <c r="AD3890" i="20"/>
  <c r="AC3891" i="20"/>
  <c r="AF3891" i="20" s="1"/>
  <c r="AG3891" i="20" s="1"/>
  <c r="AD3891" i="20"/>
  <c r="AC3893" i="20"/>
  <c r="AF3893" i="20" s="1"/>
  <c r="AG3893" i="20" s="1"/>
  <c r="AD3893" i="20"/>
  <c r="AC3894" i="20"/>
  <c r="AF3894" i="20" s="1"/>
  <c r="AG3894" i="20" s="1"/>
  <c r="AD3894" i="20"/>
  <c r="AC3895" i="20"/>
  <c r="AD3895" i="20"/>
  <c r="AC3896" i="20"/>
  <c r="AD3896" i="20"/>
  <c r="AC3897" i="20"/>
  <c r="AF3897" i="20" s="1"/>
  <c r="AG3897" i="20" s="1"/>
  <c r="AD3897" i="20"/>
  <c r="AC3898" i="20"/>
  <c r="AF3898" i="20" s="1"/>
  <c r="AG3898" i="20" s="1"/>
  <c r="AD3898" i="20"/>
  <c r="AC3899" i="20"/>
  <c r="AF3899" i="20" s="1"/>
  <c r="AG3899" i="20" s="1"/>
  <c r="AD3899" i="20"/>
  <c r="AC3901" i="20"/>
  <c r="AF3901" i="20" s="1"/>
  <c r="AG3901" i="20" s="1"/>
  <c r="AD3901" i="20"/>
  <c r="AC3905" i="20"/>
  <c r="AF3905" i="20" s="1"/>
  <c r="AG3905" i="20" s="1"/>
  <c r="AD3905" i="20"/>
  <c r="AC3906" i="20"/>
  <c r="AF3906" i="20" s="1"/>
  <c r="AG3906" i="20" s="1"/>
  <c r="AD3906" i="20"/>
  <c r="AC3907" i="20"/>
  <c r="AF3907" i="20" s="1"/>
  <c r="AG3907" i="20" s="1"/>
  <c r="AD3907" i="20"/>
  <c r="AC3908" i="20"/>
  <c r="AF3908" i="20" s="1"/>
  <c r="AG3908" i="20" s="1"/>
  <c r="AD3908" i="20"/>
  <c r="AC3912" i="20"/>
  <c r="AD3912" i="20"/>
  <c r="AC3913" i="20"/>
  <c r="AF3913" i="20" s="1"/>
  <c r="AG3913" i="20" s="1"/>
  <c r="AD3913" i="20"/>
  <c r="AC3914" i="20"/>
  <c r="AF3914" i="20" s="1"/>
  <c r="AG3914" i="20" s="1"/>
  <c r="AD3914" i="20"/>
  <c r="AC3915" i="20"/>
  <c r="AD3915" i="20"/>
  <c r="AC3916" i="20"/>
  <c r="AD3916" i="20"/>
  <c r="AC3917" i="20"/>
  <c r="AF3917" i="20" s="1"/>
  <c r="AG3917" i="20" s="1"/>
  <c r="AD3917" i="20"/>
  <c r="AC3918" i="20"/>
  <c r="AF3918" i="20" s="1"/>
  <c r="AG3918" i="20" s="1"/>
  <c r="AD3918" i="20"/>
  <c r="AC3919" i="20"/>
  <c r="AF3919" i="20" s="1"/>
  <c r="AG3919" i="20" s="1"/>
  <c r="AD3919" i="20"/>
  <c r="AC3920" i="20"/>
  <c r="AF3920" i="20" s="1"/>
  <c r="AG3920" i="20" s="1"/>
  <c r="AD3920" i="20"/>
  <c r="AC3921" i="20"/>
  <c r="AF3921" i="20" s="1"/>
  <c r="AG3921" i="20" s="1"/>
  <c r="AD3921" i="20"/>
  <c r="AC3922" i="20"/>
  <c r="AF3922" i="20" s="1"/>
  <c r="AG3922" i="20" s="1"/>
  <c r="AD3922" i="20"/>
  <c r="AC3923" i="20"/>
  <c r="AF3923" i="20" s="1"/>
  <c r="AG3923" i="20" s="1"/>
  <c r="AD3923" i="20"/>
  <c r="AC3924" i="20"/>
  <c r="AD3924" i="20"/>
  <c r="AC3925" i="20"/>
  <c r="AF3925" i="20" s="1"/>
  <c r="AG3925" i="20" s="1"/>
  <c r="AD3925" i="20"/>
  <c r="AC3926" i="20"/>
  <c r="AF3926" i="20" s="1"/>
  <c r="AG3926" i="20" s="1"/>
  <c r="AD3926" i="20"/>
  <c r="AC3927" i="20"/>
  <c r="AD3927" i="20"/>
  <c r="AC3928" i="20"/>
  <c r="AF3928" i="20" s="1"/>
  <c r="AG3928" i="20" s="1"/>
  <c r="AD3928" i="20"/>
  <c r="AC3929" i="20"/>
  <c r="AF3929" i="20" s="1"/>
  <c r="AG3929" i="20" s="1"/>
  <c r="AD3929" i="20"/>
  <c r="AC3930" i="20"/>
  <c r="AF3930" i="20" s="1"/>
  <c r="AG3930" i="20" s="1"/>
  <c r="AD3930" i="20"/>
  <c r="AC3931" i="20"/>
  <c r="AF3931" i="20" s="1"/>
  <c r="AG3931" i="20" s="1"/>
  <c r="AD3931" i="20"/>
  <c r="AC3932" i="20"/>
  <c r="AF3932" i="20" s="1"/>
  <c r="AG3932" i="20" s="1"/>
  <c r="AD3932" i="20"/>
  <c r="AC3934" i="20"/>
  <c r="AF3934" i="20" s="1"/>
  <c r="AG3934" i="20" s="1"/>
  <c r="AD3934" i="20"/>
  <c r="AC3936" i="20"/>
  <c r="AF3936" i="20" s="1"/>
  <c r="AG3936" i="20" s="1"/>
  <c r="AD3936" i="20"/>
  <c r="AC3940" i="20"/>
  <c r="AF3940" i="20" s="1"/>
  <c r="AG3940" i="20" s="1"/>
  <c r="AD3940" i="20"/>
  <c r="AC3941" i="20"/>
  <c r="AF3941" i="20" s="1"/>
  <c r="AG3941" i="20" s="1"/>
  <c r="AD3941" i="20"/>
  <c r="AC3942" i="20"/>
  <c r="AF3942" i="20" s="1"/>
  <c r="AG3942" i="20" s="1"/>
  <c r="AD3942" i="20"/>
  <c r="AC3943" i="20"/>
  <c r="AF3943" i="20" s="1"/>
  <c r="AG3943" i="20" s="1"/>
  <c r="AD3943" i="20"/>
  <c r="AC3944" i="20"/>
  <c r="AD3944" i="20"/>
  <c r="AC3945" i="20"/>
  <c r="AF3945" i="20" s="1"/>
  <c r="AG3945" i="20" s="1"/>
  <c r="AD3945" i="20"/>
  <c r="AC3946" i="20"/>
  <c r="AF3946" i="20" s="1"/>
  <c r="AG3946" i="20" s="1"/>
  <c r="AD3946" i="20"/>
  <c r="AC3947" i="20"/>
  <c r="AD3947" i="20"/>
  <c r="AC3948" i="20"/>
  <c r="AF3948" i="20" s="1"/>
  <c r="AG3948" i="20" s="1"/>
  <c r="AD3948" i="20"/>
  <c r="AC3949" i="20"/>
  <c r="AF3949" i="20" s="1"/>
  <c r="AG3949" i="20" s="1"/>
  <c r="AD3949" i="20"/>
  <c r="AC3950" i="20"/>
  <c r="AF3950" i="20" s="1"/>
  <c r="AG3950" i="20" s="1"/>
  <c r="AD3950" i="20"/>
  <c r="AC3953" i="20"/>
  <c r="AF3953" i="20" s="1"/>
  <c r="AG3953" i="20" s="1"/>
  <c r="AD3953" i="20"/>
  <c r="AC3954" i="20"/>
  <c r="AF3954" i="20" s="1"/>
  <c r="AG3954" i="20" s="1"/>
  <c r="AD3954" i="20"/>
  <c r="AC3955" i="20"/>
  <c r="AD3955" i="20"/>
  <c r="AC3956" i="20"/>
  <c r="AF3956" i="20" s="1"/>
  <c r="AG3956" i="20" s="1"/>
  <c r="AD3956" i="20"/>
  <c r="AC3958" i="20"/>
  <c r="AF3958" i="20" s="1"/>
  <c r="AG3958" i="20" s="1"/>
  <c r="AD3958" i="20"/>
  <c r="AC3959" i="20"/>
  <c r="AD3959" i="20"/>
  <c r="AC3960" i="20"/>
  <c r="AF3960" i="20" s="1"/>
  <c r="AG3960" i="20" s="1"/>
  <c r="AD3960" i="20"/>
  <c r="AC3961" i="20"/>
  <c r="AF3961" i="20" s="1"/>
  <c r="AG3961" i="20" s="1"/>
  <c r="AD3961" i="20"/>
  <c r="AC3963" i="20"/>
  <c r="AD3963" i="20"/>
  <c r="AC3964" i="20"/>
  <c r="AF3964" i="20" s="1"/>
  <c r="AG3964" i="20" s="1"/>
  <c r="AD3964" i="20"/>
  <c r="AC3966" i="20"/>
  <c r="AF3966" i="20" s="1"/>
  <c r="AG3966" i="20" s="1"/>
  <c r="AD3966" i="20"/>
  <c r="AC3967" i="20"/>
  <c r="AF3967" i="20" s="1"/>
  <c r="AG3967" i="20" s="1"/>
  <c r="AD3967" i="20"/>
  <c r="AC3971" i="20"/>
  <c r="AF3971" i="20" s="1"/>
  <c r="AG3971" i="20" s="1"/>
  <c r="AD3971" i="20"/>
  <c r="AC3972" i="20"/>
  <c r="AF3972" i="20" s="1"/>
  <c r="AG3972" i="20" s="1"/>
  <c r="AD3972" i="20"/>
  <c r="AC3973" i="20"/>
  <c r="AF3973" i="20" s="1"/>
  <c r="AG3973" i="20" s="1"/>
  <c r="AD3973" i="20"/>
  <c r="AC3974" i="20"/>
  <c r="AF3974" i="20" s="1"/>
  <c r="AG3974" i="20" s="1"/>
  <c r="AD3974" i="20"/>
  <c r="AC3976" i="20"/>
  <c r="AD3976" i="20"/>
  <c r="AC3978" i="20"/>
  <c r="AF3978" i="20" s="1"/>
  <c r="AG3978" i="20" s="1"/>
  <c r="AD3978" i="20"/>
  <c r="AC3980" i="20"/>
  <c r="AF3980" i="20" s="1"/>
  <c r="AG3980" i="20" s="1"/>
  <c r="AD3980" i="20"/>
  <c r="AC3981" i="20"/>
  <c r="AD3981" i="20"/>
  <c r="AC3982" i="20"/>
  <c r="AF3982" i="20" s="1"/>
  <c r="AG3982" i="20" s="1"/>
  <c r="AD3982" i="20"/>
  <c r="AC3983" i="20"/>
  <c r="AF3983" i="20" s="1"/>
  <c r="AG3983" i="20" s="1"/>
  <c r="AD3983" i="20"/>
  <c r="AC3984" i="20"/>
  <c r="AF3984" i="20" s="1"/>
  <c r="AG3984" i="20" s="1"/>
  <c r="AD3984" i="20"/>
  <c r="AC3985" i="20"/>
  <c r="AF3985" i="20" s="1"/>
  <c r="AG3985" i="20" s="1"/>
  <c r="AD3985" i="20"/>
  <c r="AC3987" i="20"/>
  <c r="AF3987" i="20" s="1"/>
  <c r="AG3987" i="20" s="1"/>
  <c r="AD3987" i="20"/>
  <c r="AC3990" i="20"/>
  <c r="AF3990" i="20" s="1"/>
  <c r="AG3990" i="20" s="1"/>
  <c r="AD3990" i="20"/>
  <c r="AC3991" i="20"/>
  <c r="AF3991" i="20" s="1"/>
  <c r="AG3991" i="20" s="1"/>
  <c r="AD3991" i="20"/>
  <c r="AC3992" i="20"/>
  <c r="AF3992" i="20" s="1"/>
  <c r="AG3992" i="20" s="1"/>
  <c r="AD3992" i="20"/>
  <c r="AC3994" i="20"/>
  <c r="AF3994" i="20" s="1"/>
  <c r="AG3994" i="20" s="1"/>
  <c r="AD3994" i="20"/>
  <c r="AC3996" i="20"/>
  <c r="AD3996" i="20"/>
  <c r="AC3998" i="20"/>
  <c r="AF3998" i="20" s="1"/>
  <c r="AG3998" i="20" s="1"/>
  <c r="AD3998" i="20"/>
  <c r="AC4000" i="20"/>
  <c r="AF4000" i="20" s="1"/>
  <c r="AG4000" i="20" s="1"/>
  <c r="AD4000" i="20"/>
  <c r="AC4001" i="20"/>
  <c r="AF4001" i="20" s="1"/>
  <c r="AG4001" i="20" s="1"/>
  <c r="AD4001" i="20"/>
  <c r="AC4002" i="20"/>
  <c r="AF4002" i="20" s="1"/>
  <c r="AG4002" i="20" s="1"/>
  <c r="AD4002" i="20"/>
  <c r="AC4003" i="20"/>
  <c r="AF4003" i="20" s="1"/>
  <c r="AG4003" i="20" s="1"/>
  <c r="AD4003" i="20"/>
  <c r="AC4004" i="20"/>
  <c r="AD4004" i="20"/>
  <c r="AC4005" i="20"/>
  <c r="AF4005" i="20" s="1"/>
  <c r="AG4005" i="20" s="1"/>
  <c r="AD4005" i="20"/>
  <c r="AC4007" i="20"/>
  <c r="AF4007" i="20" s="1"/>
  <c r="AG4007" i="20" s="1"/>
  <c r="AD4007" i="20"/>
  <c r="AC4008" i="20"/>
  <c r="AD4008" i="20"/>
  <c r="AC4009" i="20"/>
  <c r="AF4009" i="20" s="1"/>
  <c r="AG4009" i="20" s="1"/>
  <c r="AD4009" i="20"/>
  <c r="AC4011" i="20"/>
  <c r="AF4011" i="20" s="1"/>
  <c r="AG4011" i="20" s="1"/>
  <c r="AD4011" i="20"/>
  <c r="AC4013" i="20"/>
  <c r="AF4013" i="20" s="1"/>
  <c r="AG4013" i="20" s="1"/>
  <c r="AD4013" i="20"/>
  <c r="AC4014" i="20"/>
  <c r="AF4014" i="20" s="1"/>
  <c r="AG4014" i="20" s="1"/>
  <c r="AD4014" i="20"/>
  <c r="AC4016" i="20"/>
  <c r="AF4016" i="20" s="1"/>
  <c r="AG4016" i="20" s="1"/>
  <c r="AD4016" i="20"/>
  <c r="AC4017" i="20"/>
  <c r="AF4017" i="20" s="1"/>
  <c r="AG4017" i="20" s="1"/>
  <c r="AD4017" i="20"/>
  <c r="AC4019" i="20"/>
  <c r="AF4019" i="20" s="1"/>
  <c r="AG4019" i="20" s="1"/>
  <c r="AD4019" i="20"/>
  <c r="AC4020" i="20"/>
  <c r="AF4020" i="20" s="1"/>
  <c r="AG4020" i="20" s="1"/>
  <c r="AD4020" i="20"/>
  <c r="AC4021" i="20"/>
  <c r="AF4021" i="20" s="1"/>
  <c r="AG4021" i="20" s="1"/>
  <c r="AD4021" i="20"/>
  <c r="AC4022" i="20"/>
  <c r="AF4022" i="20" s="1"/>
  <c r="AG4022" i="20" s="1"/>
  <c r="AD4022" i="20"/>
  <c r="AC4024" i="20"/>
  <c r="AF4024" i="20" s="1"/>
  <c r="AG4024" i="20" s="1"/>
  <c r="AD4024" i="20"/>
  <c r="AC4025" i="20"/>
  <c r="AD4025" i="20"/>
  <c r="AC4026" i="20"/>
  <c r="AF4026" i="20" s="1"/>
  <c r="AG4026" i="20" s="1"/>
  <c r="AD4026" i="20"/>
  <c r="AC4027" i="20"/>
  <c r="AF4027" i="20" s="1"/>
  <c r="AG4027" i="20" s="1"/>
  <c r="AD4027" i="20"/>
  <c r="AC4028" i="20"/>
  <c r="AD4028" i="20"/>
  <c r="AC4029" i="20"/>
  <c r="AF4029" i="20" s="1"/>
  <c r="AG4029" i="20" s="1"/>
  <c r="AD4029" i="20"/>
  <c r="AC4031" i="20"/>
  <c r="AF4031" i="20" s="1"/>
  <c r="AG4031" i="20" s="1"/>
  <c r="AD4031" i="20"/>
  <c r="AC4032" i="20"/>
  <c r="AF4032" i="20" s="1"/>
  <c r="AG4032" i="20" s="1"/>
  <c r="AD4032" i="20"/>
  <c r="AC4033" i="20"/>
  <c r="AF4033" i="20" s="1"/>
  <c r="AG4033" i="20" s="1"/>
  <c r="AD4033" i="20"/>
  <c r="AC4034" i="20"/>
  <c r="AF4034" i="20" s="1"/>
  <c r="AG4034" i="20" s="1"/>
  <c r="AD4034" i="20"/>
  <c r="AC4035" i="20"/>
  <c r="AF4035" i="20" s="1"/>
  <c r="AG4035" i="20" s="1"/>
  <c r="AD4035" i="20"/>
  <c r="AC4036" i="20"/>
  <c r="AF4036" i="20" s="1"/>
  <c r="AG4036" i="20" s="1"/>
  <c r="AD4036" i="20"/>
  <c r="AC4037" i="20"/>
  <c r="AD4037" i="20"/>
  <c r="AC4038" i="20"/>
  <c r="AF4038" i="20" s="1"/>
  <c r="AG4038" i="20" s="1"/>
  <c r="AD4038" i="20"/>
  <c r="AC4039" i="20"/>
  <c r="AF4039" i="20" s="1"/>
  <c r="AG4039" i="20" s="1"/>
  <c r="AD4039" i="20"/>
  <c r="AC4040" i="20"/>
  <c r="AF4040" i="20" s="1"/>
  <c r="AG4040" i="20" s="1"/>
  <c r="AD4040" i="20"/>
  <c r="AC4041" i="20"/>
  <c r="AD4041" i="20"/>
  <c r="AC4042" i="20"/>
  <c r="AF4042" i="20" s="1"/>
  <c r="AG4042" i="20" s="1"/>
  <c r="AD4042" i="20"/>
  <c r="AC4043" i="20"/>
  <c r="AF4043" i="20" s="1"/>
  <c r="AG4043" i="20" s="1"/>
  <c r="AD4043" i="20"/>
  <c r="AC4044" i="20"/>
  <c r="AD4044" i="20"/>
  <c r="AC4045" i="20"/>
  <c r="AF4045" i="20" s="1"/>
  <c r="AG4045" i="20" s="1"/>
  <c r="AD4045" i="20"/>
  <c r="AC4048" i="20"/>
  <c r="AD4048" i="20"/>
  <c r="AC4049" i="20"/>
  <c r="AD4049" i="20"/>
  <c r="AC4051" i="20"/>
  <c r="AF4051" i="20" s="1"/>
  <c r="AG4051" i="20" s="1"/>
  <c r="AD4051" i="20"/>
  <c r="AC4052" i="20"/>
  <c r="AF4052" i="20" s="1"/>
  <c r="AG4052" i="20" s="1"/>
  <c r="AD4052" i="20"/>
  <c r="AC4053" i="20"/>
  <c r="AD4053" i="20"/>
  <c r="AC4054" i="20"/>
  <c r="AF4054" i="20" s="1"/>
  <c r="AG4054" i="20" s="1"/>
  <c r="AD4054" i="20"/>
  <c r="AC4055" i="20"/>
  <c r="AF4055" i="20" s="1"/>
  <c r="AG4055" i="20" s="1"/>
  <c r="AD4055" i="20"/>
  <c r="AD4057" i="20"/>
  <c r="AC4058" i="20"/>
  <c r="AF4058" i="20" s="1"/>
  <c r="AG4058" i="20" s="1"/>
  <c r="AD4058" i="20"/>
  <c r="AC4060" i="20"/>
  <c r="AF4060" i="20" s="1"/>
  <c r="AG4060" i="20" s="1"/>
  <c r="AD4060" i="20"/>
  <c r="AC4061" i="20"/>
  <c r="AF4061" i="20" s="1"/>
  <c r="AG4061" i="20" s="1"/>
  <c r="AD4061" i="20"/>
  <c r="AC4062" i="20"/>
  <c r="AF4062" i="20" s="1"/>
  <c r="AG4062" i="20" s="1"/>
  <c r="AD4062" i="20"/>
  <c r="AC4063" i="20"/>
  <c r="AF4063" i="20" s="1"/>
  <c r="AG4063" i="20" s="1"/>
  <c r="AD4063" i="20"/>
  <c r="AC4064" i="20"/>
  <c r="AF4064" i="20" s="1"/>
  <c r="AG4064" i="20" s="1"/>
  <c r="AD4064" i="20"/>
  <c r="AC4067" i="20"/>
  <c r="AF4067" i="20" s="1"/>
  <c r="AG4067" i="20" s="1"/>
  <c r="AD4067" i="20"/>
  <c r="AC4069" i="20"/>
  <c r="AD4069" i="20"/>
  <c r="AC4070" i="20"/>
  <c r="AF4070" i="20" s="1"/>
  <c r="AG4070" i="20" s="1"/>
  <c r="AD4070" i="20"/>
  <c r="AC4071" i="20"/>
  <c r="AF4071" i="20" s="1"/>
  <c r="AG4071" i="20" s="1"/>
  <c r="AD4071" i="20"/>
  <c r="AC4073" i="20"/>
  <c r="AF4073" i="20" s="1"/>
  <c r="AG4073" i="20" s="1"/>
  <c r="AD4073" i="20"/>
  <c r="AC4074" i="20"/>
  <c r="AD4074" i="20"/>
  <c r="AC4075" i="20"/>
  <c r="AF4075" i="20" s="1"/>
  <c r="AG4075" i="20" s="1"/>
  <c r="AD4075" i="20"/>
  <c r="AC4076" i="20"/>
  <c r="AF4076" i="20" s="1"/>
  <c r="AG4076" i="20" s="1"/>
  <c r="AD4076" i="20"/>
  <c r="AC4078" i="20"/>
  <c r="AF4078" i="20" s="1"/>
  <c r="AG4078" i="20" s="1"/>
  <c r="AD4078" i="20"/>
  <c r="AC4079" i="20"/>
  <c r="AF4079" i="20" s="1"/>
  <c r="AG4079" i="20" s="1"/>
  <c r="AD4079" i="20"/>
  <c r="AC4080" i="20"/>
  <c r="AF4080" i="20" s="1"/>
  <c r="AG4080" i="20" s="1"/>
  <c r="AD4080" i="20"/>
  <c r="AC4082" i="20"/>
  <c r="AF4082" i="20" s="1"/>
  <c r="AG4082" i="20" s="1"/>
  <c r="AD4082" i="20"/>
  <c r="AC4083" i="20"/>
  <c r="AF4083" i="20" s="1"/>
  <c r="AG4083" i="20" s="1"/>
  <c r="AD4083" i="20"/>
  <c r="AC4086" i="20"/>
  <c r="AD4086" i="20"/>
  <c r="AC4089" i="20"/>
  <c r="AF4089" i="20" s="1"/>
  <c r="AG4089" i="20" s="1"/>
  <c r="AD4089" i="20"/>
  <c r="AC4090" i="20"/>
  <c r="AF4090" i="20" s="1"/>
  <c r="AG4090" i="20" s="1"/>
  <c r="AD4090" i="20"/>
  <c r="AC4091" i="20"/>
  <c r="AF4091" i="20" s="1"/>
  <c r="AG4091" i="20" s="1"/>
  <c r="AD4091" i="20"/>
  <c r="AC4092" i="20"/>
  <c r="AF4092" i="20" s="1"/>
  <c r="AG4092" i="20" s="1"/>
  <c r="AD4092" i="20"/>
  <c r="AC4093" i="20"/>
  <c r="AF4093" i="20" s="1"/>
  <c r="AG4093" i="20" s="1"/>
  <c r="AD4093" i="20"/>
  <c r="AC4094" i="20"/>
  <c r="AF4094" i="20" s="1"/>
  <c r="AG4094" i="20" s="1"/>
  <c r="AD4094" i="20"/>
  <c r="AC4095" i="20"/>
  <c r="AF4095" i="20" s="1"/>
  <c r="AG4095" i="20" s="1"/>
  <c r="AD4095" i="20"/>
  <c r="AC4096" i="20"/>
  <c r="AF4096" i="20" s="1"/>
  <c r="AG4096" i="20" s="1"/>
  <c r="AD4096" i="20"/>
  <c r="AC4097" i="20"/>
  <c r="AF4097" i="20" s="1"/>
  <c r="AG4097" i="20" s="1"/>
  <c r="AD4097" i="20"/>
  <c r="AC4098" i="20"/>
  <c r="AD4098" i="20"/>
  <c r="AC4102" i="20"/>
  <c r="AD4102" i="20"/>
  <c r="AC4105" i="20"/>
  <c r="AF4105" i="20" s="1"/>
  <c r="AG4105" i="20" s="1"/>
  <c r="AD4105" i="20"/>
  <c r="AC4106" i="20"/>
  <c r="AF4106" i="20" s="1"/>
  <c r="AG4106" i="20" s="1"/>
  <c r="AD4106" i="20"/>
  <c r="AC4110" i="20"/>
  <c r="AD4110" i="20"/>
  <c r="AC4111" i="20"/>
  <c r="AF4111" i="20" s="1"/>
  <c r="AG4111" i="20" s="1"/>
  <c r="AD4111" i="20"/>
  <c r="AC4112" i="20"/>
  <c r="AF4112" i="20" s="1"/>
  <c r="AG4112" i="20" s="1"/>
  <c r="AD4112" i="20"/>
  <c r="AC4114" i="20"/>
  <c r="AF4114" i="20" s="1"/>
  <c r="AG4114" i="20" s="1"/>
  <c r="AD4114" i="20"/>
  <c r="AC4116" i="20"/>
  <c r="AF4116" i="20" s="1"/>
  <c r="AG4116" i="20" s="1"/>
  <c r="AD4116" i="20"/>
  <c r="AC4119" i="20"/>
  <c r="AF4119" i="20" s="1"/>
  <c r="AG4119" i="20" s="1"/>
  <c r="AD4119" i="20"/>
  <c r="AC4120" i="20"/>
  <c r="AF4120" i="20" s="1"/>
  <c r="AG4120" i="20" s="1"/>
  <c r="AD4120" i="20"/>
  <c r="AC4121" i="20"/>
  <c r="AF4121" i="20" s="1"/>
  <c r="AG4121" i="20" s="1"/>
  <c r="AD4121" i="20"/>
  <c r="AC4124" i="20"/>
  <c r="AF4124" i="20" s="1"/>
  <c r="AG4124" i="20" s="1"/>
  <c r="AD4124" i="20"/>
  <c r="AC4126" i="20"/>
  <c r="AF4126" i="20" s="1"/>
  <c r="AG4126" i="20" s="1"/>
  <c r="AD4126" i="20"/>
  <c r="AC4127" i="20"/>
  <c r="AD4127" i="20"/>
  <c r="AC4128" i="20"/>
  <c r="AF4128" i="20" s="1"/>
  <c r="AG4128" i="20" s="1"/>
  <c r="AD4128" i="20"/>
  <c r="AC4133" i="20"/>
  <c r="AF4133" i="20" s="1"/>
  <c r="AG4133" i="20" s="1"/>
  <c r="AD4133" i="20"/>
  <c r="AC4134" i="20"/>
  <c r="AF4134" i="20" s="1"/>
  <c r="AG4134" i="20" s="1"/>
  <c r="AD4134" i="20"/>
  <c r="AC4137" i="20"/>
  <c r="AF4137" i="20" s="1"/>
  <c r="AG4137" i="20" s="1"/>
  <c r="AD4137" i="20"/>
  <c r="AC4138" i="20"/>
  <c r="AF4138" i="20" s="1"/>
  <c r="AG4138" i="20" s="1"/>
  <c r="AD4138" i="20"/>
  <c r="AD4139" i="20"/>
  <c r="AC4144" i="20"/>
  <c r="AF4144" i="20" s="1"/>
  <c r="AG4144" i="20" s="1"/>
  <c r="AD4144" i="20"/>
  <c r="AC4146" i="20"/>
  <c r="AF4146" i="20" s="1"/>
  <c r="AG4146" i="20" s="1"/>
  <c r="AD4146" i="20"/>
  <c r="AC4147" i="20"/>
  <c r="AF4147" i="20" s="1"/>
  <c r="AG4147" i="20" s="1"/>
  <c r="AD4147" i="20"/>
  <c r="AC4148" i="20"/>
  <c r="AF4148" i="20" s="1"/>
  <c r="AG4148" i="20" s="1"/>
  <c r="AD4148" i="20"/>
  <c r="AC4149" i="20"/>
  <c r="AF4149" i="20" s="1"/>
  <c r="AG4149" i="20" s="1"/>
  <c r="AD4149" i="20"/>
  <c r="AC4150" i="20"/>
  <c r="AF4150" i="20" s="1"/>
  <c r="AG4150" i="20" s="1"/>
  <c r="AD4150" i="20"/>
  <c r="AC4151" i="20"/>
  <c r="AD4151" i="20"/>
  <c r="AC4152" i="20"/>
  <c r="AF4152" i="20" s="1"/>
  <c r="AG4152" i="20" s="1"/>
  <c r="AD4152" i="20"/>
  <c r="AC4154" i="20"/>
  <c r="AF4154" i="20" s="1"/>
  <c r="AG4154" i="20" s="1"/>
  <c r="AD4154" i="20"/>
  <c r="AC4155" i="20"/>
  <c r="AF4155" i="20" s="1"/>
  <c r="AG4155" i="20" s="1"/>
  <c r="AD4155" i="20"/>
  <c r="AC4157" i="20"/>
  <c r="AF4157" i="20" s="1"/>
  <c r="AG4157" i="20" s="1"/>
  <c r="AD4157" i="20"/>
  <c r="AC4158" i="20"/>
  <c r="AF4158" i="20" s="1"/>
  <c r="AG4158" i="20" s="1"/>
  <c r="AD4158" i="20"/>
  <c r="AC4159" i="20"/>
  <c r="AD4159" i="20"/>
  <c r="AC4162" i="20"/>
  <c r="AF4162" i="20" s="1"/>
  <c r="AG4162" i="20" s="1"/>
  <c r="AD4162" i="20"/>
  <c r="AC4164" i="20"/>
  <c r="AF4164" i="20" s="1"/>
  <c r="AG4164" i="20" s="1"/>
  <c r="AD4164" i="20"/>
  <c r="AC4167" i="20"/>
  <c r="AD4167" i="20"/>
  <c r="AC4169" i="20"/>
  <c r="AF4169" i="20" s="1"/>
  <c r="AG4169" i="20" s="1"/>
  <c r="AC4173" i="20"/>
  <c r="AF4173" i="20" s="1"/>
  <c r="AG4173" i="20" s="1"/>
  <c r="AD4173" i="20"/>
  <c r="AC4174" i="20"/>
  <c r="AF4174" i="20" s="1"/>
  <c r="AG4174" i="20" s="1"/>
  <c r="AD4174" i="20"/>
  <c r="AC4176" i="20"/>
  <c r="AF4176" i="20" s="1"/>
  <c r="AG4176" i="20" s="1"/>
  <c r="AD4176" i="20"/>
  <c r="AC4177" i="20"/>
  <c r="AD4177" i="20"/>
  <c r="AC4183" i="20"/>
  <c r="AF4183" i="20" s="1"/>
  <c r="AG4183" i="20" s="1"/>
  <c r="AD4183" i="20"/>
  <c r="AC4184" i="20"/>
  <c r="AF4184" i="20" s="1"/>
  <c r="AG4184" i="20" s="1"/>
  <c r="AD4184" i="20"/>
  <c r="AC4186" i="20"/>
  <c r="AF4186" i="20" s="1"/>
  <c r="AG4186" i="20" s="1"/>
  <c r="AD4186" i="20"/>
  <c r="AC4190" i="20"/>
  <c r="AF4190" i="20" s="1"/>
  <c r="AG4190" i="20" s="1"/>
  <c r="AD4190" i="20"/>
  <c r="AC4195" i="20"/>
  <c r="AD4195" i="20"/>
  <c r="AC4196" i="20"/>
  <c r="AF4196" i="20" s="1"/>
  <c r="AG4196" i="20" s="1"/>
  <c r="AD4196" i="20"/>
  <c r="AC4197" i="20"/>
  <c r="AF4197" i="20" s="1"/>
  <c r="AG4197" i="20" s="1"/>
  <c r="AD4197" i="20"/>
  <c r="AC4199" i="20"/>
  <c r="AF4199" i="20" s="1"/>
  <c r="AG4199" i="20" s="1"/>
  <c r="AD4199" i="20"/>
  <c r="AC4200" i="20"/>
  <c r="AF4200" i="20" s="1"/>
  <c r="AG4200" i="20" s="1"/>
  <c r="AD4200" i="20"/>
  <c r="AC4201" i="20"/>
  <c r="AF4201" i="20" s="1"/>
  <c r="AG4201" i="20" s="1"/>
  <c r="AD4201" i="20"/>
  <c r="AC4202" i="20"/>
  <c r="AF4202" i="20" s="1"/>
  <c r="AG4202" i="20" s="1"/>
  <c r="AD4202" i="20"/>
  <c r="AC4203" i="20"/>
  <c r="AD4203" i="20"/>
  <c r="AC4204" i="20"/>
  <c r="AF4204" i="20" s="1"/>
  <c r="AG4204" i="20" s="1"/>
  <c r="AD4204" i="20"/>
  <c r="AC4206" i="20"/>
  <c r="AF4206" i="20" s="1"/>
  <c r="AG4206" i="20" s="1"/>
  <c r="AD4206" i="20"/>
  <c r="AC4209" i="20"/>
  <c r="AF4209" i="20" s="1"/>
  <c r="AG4209" i="20" s="1"/>
  <c r="AD4209" i="20"/>
  <c r="AC4210" i="20"/>
  <c r="AF4210" i="20" s="1"/>
  <c r="AG4210" i="20" s="1"/>
  <c r="AD4210" i="20"/>
  <c r="AC4214" i="20"/>
  <c r="AF4214" i="20" s="1"/>
  <c r="AG4214" i="20" s="1"/>
  <c r="AD4214" i="20"/>
  <c r="AC4216" i="20"/>
  <c r="AF4216" i="20" s="1"/>
  <c r="AG4216" i="20" s="1"/>
  <c r="AD4216" i="20"/>
  <c r="AC4218" i="20"/>
  <c r="AF4218" i="20" s="1"/>
  <c r="AG4218" i="20" s="1"/>
  <c r="AD4218" i="20"/>
  <c r="AC4220" i="20"/>
  <c r="AF4220" i="20" s="1"/>
  <c r="AG4220" i="20" s="1"/>
  <c r="AD4220" i="20"/>
  <c r="AC4231" i="20"/>
  <c r="AF4231" i="20" s="1"/>
  <c r="AG4231" i="20" s="1"/>
  <c r="AD4231" i="20"/>
  <c r="AC4232" i="20"/>
  <c r="AF4232" i="20" s="1"/>
  <c r="AG4232" i="20" s="1"/>
  <c r="AD4232" i="20"/>
  <c r="AC4235" i="20"/>
  <c r="AF4235" i="20" s="1"/>
  <c r="AG4235" i="20" s="1"/>
  <c r="AD4235" i="20"/>
  <c r="AC4237" i="20"/>
  <c r="AF4237" i="20" s="1"/>
  <c r="AG4237" i="20" s="1"/>
  <c r="AD4237" i="20"/>
  <c r="AC4243" i="20"/>
  <c r="AF4243" i="20" s="1"/>
  <c r="AG4243" i="20" s="1"/>
  <c r="AD4243" i="20"/>
  <c r="AC4249" i="20"/>
  <c r="AF4249" i="20" s="1"/>
  <c r="AG4249" i="20" s="1"/>
  <c r="AD4249" i="20"/>
  <c r="AC4254" i="20"/>
  <c r="AD4254" i="20"/>
  <c r="AC4255" i="20"/>
  <c r="AF4255" i="20" s="1"/>
  <c r="AG4255" i="20" s="1"/>
  <c r="AD4255" i="20"/>
  <c r="AC4260" i="20"/>
  <c r="AD4260" i="20"/>
  <c r="AC4261" i="20"/>
  <c r="AF4261" i="20" s="1"/>
  <c r="AG4261" i="20" s="1"/>
  <c r="AD4261" i="20"/>
  <c r="AC4264" i="20"/>
  <c r="AF4264" i="20" s="1"/>
  <c r="AG4264" i="20" s="1"/>
  <c r="AD4264" i="20"/>
  <c r="AC4265" i="20"/>
  <c r="AF4265" i="20" s="1"/>
  <c r="AG4265" i="20" s="1"/>
  <c r="AD4265" i="20"/>
  <c r="AC4277" i="20"/>
  <c r="AF4277" i="20" s="1"/>
  <c r="AG4277" i="20" s="1"/>
  <c r="AD4277" i="20"/>
  <c r="AC4278" i="20"/>
  <c r="AD4278" i="20"/>
  <c r="AC4282" i="20"/>
  <c r="AF4282" i="20" s="1"/>
  <c r="AG4282" i="20" s="1"/>
  <c r="AD4282" i="20"/>
  <c r="AC4283" i="20"/>
  <c r="AD4283" i="20"/>
  <c r="AC4284" i="20"/>
  <c r="AD4284" i="20"/>
  <c r="AD4288" i="20"/>
  <c r="AC4297" i="20"/>
  <c r="AF4297" i="20" s="1"/>
  <c r="AG4297" i="20" s="1"/>
  <c r="AD4297" i="20"/>
  <c r="AC4303" i="20"/>
  <c r="AD4303" i="20"/>
  <c r="AC4306" i="20"/>
  <c r="AF4306" i="20" s="1"/>
  <c r="AG4306" i="20" s="1"/>
  <c r="AD4306" i="20"/>
  <c r="AC4309" i="20"/>
  <c r="AF4309" i="20" s="1"/>
  <c r="AG4309" i="20" s="1"/>
  <c r="AD4309" i="20"/>
  <c r="AC4312" i="20"/>
  <c r="AD4312" i="20"/>
  <c r="AC4313" i="20"/>
  <c r="AD4313" i="20"/>
  <c r="AC4319" i="20"/>
  <c r="AF4319" i="20" s="1"/>
  <c r="AG4319" i="20" s="1"/>
  <c r="AD4319" i="20"/>
  <c r="AC4321" i="20"/>
  <c r="AD4321" i="20"/>
  <c r="AC4323" i="20"/>
  <c r="AF4323" i="20" s="1"/>
  <c r="AG4323" i="20" s="1"/>
  <c r="AD4323" i="20"/>
  <c r="AC4345" i="20"/>
  <c r="AD4345" i="20"/>
  <c r="AC4347" i="20"/>
  <c r="AF4347" i="20" s="1"/>
  <c r="AG4347" i="20" s="1"/>
  <c r="AD4347" i="20"/>
  <c r="AC4352" i="20"/>
  <c r="AD4352" i="20"/>
  <c r="AC4355" i="20"/>
  <c r="AD4355" i="20"/>
  <c r="AC4360" i="20"/>
  <c r="AF4360" i="20" s="1"/>
  <c r="AG4360" i="20" s="1"/>
  <c r="AD4360" i="20"/>
  <c r="AC4362" i="20"/>
  <c r="AD4362" i="20"/>
  <c r="AC4363" i="20"/>
  <c r="AF4363" i="20" s="1"/>
  <c r="AG4363" i="20" s="1"/>
  <c r="AD4363" i="20"/>
  <c r="AC4365" i="20"/>
  <c r="AD4365" i="20"/>
  <c r="AC4371" i="20"/>
  <c r="AD4371" i="20"/>
  <c r="AC4376" i="20"/>
  <c r="AF4376" i="20" s="1"/>
  <c r="AG4376" i="20" s="1"/>
  <c r="AD4376" i="20"/>
  <c r="AC4380" i="20"/>
  <c r="AF4380" i="20" s="1"/>
  <c r="AG4380" i="20" s="1"/>
  <c r="AD4380" i="20"/>
  <c r="AC4394" i="20"/>
  <c r="AF4394" i="20" s="1"/>
  <c r="AG4394" i="20" s="1"/>
  <c r="AD4394" i="20"/>
  <c r="AC4403" i="20"/>
  <c r="AF4403" i="20" s="1"/>
  <c r="AG4403" i="20" s="1"/>
  <c r="AD4403" i="20"/>
  <c r="AC4413" i="20"/>
  <c r="AF4413" i="20" s="1"/>
  <c r="AD4413" i="20"/>
  <c r="AC4420" i="20"/>
  <c r="AF4420" i="20" s="1"/>
  <c r="AG4420" i="20" s="1"/>
  <c r="AD4420" i="20"/>
  <c r="AC4426" i="20"/>
  <c r="AF4426" i="20" s="1"/>
  <c r="AG4426" i="20" s="1"/>
  <c r="AD4426" i="20"/>
  <c r="AC4427" i="20"/>
  <c r="AF4427" i="20" s="1"/>
  <c r="AD4427" i="20"/>
  <c r="AC4447" i="20"/>
  <c r="AF4447" i="20" s="1"/>
  <c r="AD4447" i="20"/>
  <c r="AC4448" i="20"/>
  <c r="AF4448" i="20" s="1"/>
  <c r="AG4448" i="20" s="1"/>
  <c r="AD4448" i="20"/>
  <c r="AC4489" i="20"/>
  <c r="AF4489" i="20" s="1"/>
  <c r="AD4489" i="20"/>
  <c r="AC4490" i="20"/>
  <c r="AF4490" i="20" s="1"/>
  <c r="AG4490" i="20" s="1"/>
  <c r="AD4490" i="20"/>
  <c r="AC4491" i="20"/>
  <c r="AF4491" i="20" s="1"/>
  <c r="AD4491" i="20"/>
  <c r="AC4492" i="20"/>
  <c r="AF4492" i="20" s="1"/>
  <c r="AG4492" i="20" s="1"/>
  <c r="AD4492" i="20"/>
  <c r="AC4493" i="20"/>
  <c r="AF4493" i="20" s="1"/>
  <c r="AD4493" i="20"/>
  <c r="AC4494" i="20"/>
  <c r="AF4494" i="20" s="1"/>
  <c r="AG4494" i="20" s="1"/>
  <c r="AD4494" i="20"/>
  <c r="AC4495" i="20"/>
  <c r="AF4495" i="20" s="1"/>
  <c r="AD4495" i="20"/>
  <c r="AC4496" i="20"/>
  <c r="AF4496" i="20" s="1"/>
  <c r="AG4496" i="20" s="1"/>
  <c r="AD4496" i="20"/>
  <c r="AC4497" i="20"/>
  <c r="AF4497" i="20" s="1"/>
  <c r="AD4497" i="20"/>
  <c r="AC4498" i="20"/>
  <c r="AF4498" i="20" s="1"/>
  <c r="AG4498" i="20" s="1"/>
  <c r="AD4498" i="20"/>
  <c r="AC4499" i="20"/>
  <c r="AD4499" i="20"/>
  <c r="AC4500" i="20"/>
  <c r="AF4500" i="20" s="1"/>
  <c r="AG4500" i="20" s="1"/>
  <c r="AD4500" i="20"/>
  <c r="AC4501" i="20"/>
  <c r="AF4501" i="20" s="1"/>
  <c r="AD4501" i="20"/>
  <c r="AC4502" i="20"/>
  <c r="AF4502" i="20" s="1"/>
  <c r="AG4502" i="20" s="1"/>
  <c r="AD4502" i="20"/>
  <c r="AC4503" i="20"/>
  <c r="AF4503" i="20" s="1"/>
  <c r="AD4503" i="20"/>
  <c r="AC4504" i="20"/>
  <c r="AF4504" i="20" s="1"/>
  <c r="AG4504" i="20" s="1"/>
  <c r="AD4504" i="20"/>
  <c r="AC4505" i="20"/>
  <c r="AF4505" i="20" s="1"/>
  <c r="AD4505" i="20"/>
  <c r="AC4506" i="20"/>
  <c r="AF4506" i="20" s="1"/>
  <c r="AG4506" i="20" s="1"/>
  <c r="AD4506" i="20"/>
  <c r="AC4507" i="20"/>
  <c r="AF4507" i="20" s="1"/>
  <c r="AD4507" i="20"/>
  <c r="AC4508" i="20"/>
  <c r="AF4508" i="20" s="1"/>
  <c r="AD4508" i="20"/>
  <c r="AC4509" i="20"/>
  <c r="AF4509" i="20" s="1"/>
  <c r="AG4509" i="20" s="1"/>
  <c r="AD4509" i="20"/>
  <c r="AC4510" i="20"/>
  <c r="AF4510" i="20" s="1"/>
  <c r="AG4510" i="20" s="1"/>
  <c r="AD4510" i="20"/>
  <c r="AC4511" i="20"/>
  <c r="AF4511" i="20" s="1"/>
  <c r="AD4511" i="20"/>
  <c r="AC4512" i="20"/>
  <c r="AF4512" i="20" s="1"/>
  <c r="AD4512" i="20"/>
  <c r="AC4513" i="20"/>
  <c r="AF4513" i="20" s="1"/>
  <c r="AG4513" i="20" s="1"/>
  <c r="AD4513" i="20"/>
  <c r="AC4514" i="20"/>
  <c r="AF4514" i="20" s="1"/>
  <c r="AG4514" i="20" s="1"/>
  <c r="AD4514" i="20"/>
  <c r="AC4515" i="20"/>
  <c r="AF4515" i="20" s="1"/>
  <c r="AD4515" i="20"/>
  <c r="AC4516" i="20"/>
  <c r="AD4516" i="20"/>
  <c r="AC4517" i="20"/>
  <c r="AF4517" i="20" s="1"/>
  <c r="AG4517" i="20" s="1"/>
  <c r="AD4517" i="20"/>
  <c r="AC4518" i="20"/>
  <c r="AF4518" i="20" s="1"/>
  <c r="AG4518" i="20" s="1"/>
  <c r="AD4518" i="20"/>
  <c r="AC4519" i="20"/>
  <c r="AF4519" i="20" s="1"/>
  <c r="AD4519" i="20"/>
  <c r="AC4520" i="20"/>
  <c r="AD4520" i="20"/>
  <c r="AC4521" i="20"/>
  <c r="AF4521" i="20" s="1"/>
  <c r="AG4521" i="20" s="1"/>
  <c r="AD4521" i="20"/>
  <c r="AC4522" i="20"/>
  <c r="AF4522" i="20" s="1"/>
  <c r="AG4522" i="20" s="1"/>
  <c r="AD4522" i="20"/>
  <c r="AC4523" i="20"/>
  <c r="AF4523" i="20" s="1"/>
  <c r="AD4523" i="20"/>
  <c r="AC4524" i="20"/>
  <c r="AD4524" i="20"/>
  <c r="AC4525" i="20"/>
  <c r="AF4525" i="20" s="1"/>
  <c r="AG4525" i="20" s="1"/>
  <c r="AD4525" i="20"/>
  <c r="AC4527" i="20"/>
  <c r="AF4527" i="20" s="1"/>
  <c r="AD4527" i="20"/>
  <c r="AC4528" i="20"/>
  <c r="AF4528" i="20" s="1"/>
  <c r="AD4528" i="20"/>
  <c r="AC4530" i="20"/>
  <c r="AF4530" i="20" s="1"/>
  <c r="AG4530" i="20" s="1"/>
  <c r="AD4530" i="20"/>
  <c r="AC4531" i="20"/>
  <c r="AF4531" i="20" s="1"/>
  <c r="AD4531" i="20"/>
  <c r="AC4532" i="20"/>
  <c r="AD4532" i="20"/>
  <c r="AC4533" i="20"/>
  <c r="AF4533" i="20" s="1"/>
  <c r="AG4533" i="20" s="1"/>
  <c r="AD4533" i="20"/>
  <c r="AC4534" i="20"/>
  <c r="AF4534" i="20" s="1"/>
  <c r="AG4534" i="20" s="1"/>
  <c r="AD4534" i="20"/>
  <c r="AC4535" i="20"/>
  <c r="AF4535" i="20" s="1"/>
  <c r="AD4535" i="20"/>
  <c r="AC4536" i="20"/>
  <c r="AD4536" i="20"/>
  <c r="AC4537" i="20"/>
  <c r="AF4537" i="20" s="1"/>
  <c r="AG4537" i="20" s="1"/>
  <c r="AD4537" i="20"/>
  <c r="AC4538" i="20"/>
  <c r="AF4538" i="20" s="1"/>
  <c r="AG4538" i="20" s="1"/>
  <c r="AD4538" i="20"/>
  <c r="AC4540" i="20"/>
  <c r="AD4540" i="20"/>
  <c r="AC4541" i="20"/>
  <c r="AF4541" i="20" s="1"/>
  <c r="AG4541" i="20" s="1"/>
  <c r="AD4541" i="20"/>
  <c r="AC4542" i="20"/>
  <c r="AF4542" i="20" s="1"/>
  <c r="AG4542" i="20" s="1"/>
  <c r="AD4542" i="20"/>
  <c r="AC4543" i="20"/>
  <c r="AF4543" i="20" s="1"/>
  <c r="AD4543" i="20"/>
  <c r="AC4544" i="20"/>
  <c r="AF4544" i="20" s="1"/>
  <c r="AD4544" i="20"/>
  <c r="AC4545" i="20"/>
  <c r="AF4545" i="20" s="1"/>
  <c r="AG4545" i="20" s="1"/>
  <c r="AD4545" i="20"/>
  <c r="AC4546" i="20"/>
  <c r="AF4546" i="20" s="1"/>
  <c r="AG4546" i="20" s="1"/>
  <c r="AD4546" i="20"/>
  <c r="AC4547" i="20"/>
  <c r="AF4547" i="20" s="1"/>
  <c r="AD4547" i="20"/>
  <c r="AC4548" i="20"/>
  <c r="AD4548" i="20"/>
  <c r="AC4549" i="20"/>
  <c r="AF4549" i="20" s="1"/>
  <c r="AG4549" i="20" s="1"/>
  <c r="AD4549" i="20"/>
  <c r="AC4550" i="20"/>
  <c r="AD4550" i="20"/>
  <c r="AC4551" i="20"/>
  <c r="AF4551" i="20" s="1"/>
  <c r="AD4551" i="20"/>
  <c r="AC4552" i="20"/>
  <c r="AD4552" i="20"/>
  <c r="AC4553" i="20"/>
  <c r="AF4553" i="20" s="1"/>
  <c r="AG4553" i="20" s="1"/>
  <c r="AD4553" i="20"/>
  <c r="AC4554" i="20"/>
  <c r="AF4554" i="20" s="1"/>
  <c r="AG4554" i="20" s="1"/>
  <c r="AD4554" i="20"/>
  <c r="AC4555" i="20"/>
  <c r="AF4555" i="20" s="1"/>
  <c r="AG4555" i="20" s="1"/>
  <c r="AD4555" i="20"/>
  <c r="AC4556" i="20"/>
  <c r="AF4556" i="20" s="1"/>
  <c r="AD4556" i="20"/>
  <c r="AC4557" i="20"/>
  <c r="AF4557" i="20" s="1"/>
  <c r="AG4557" i="20" s="1"/>
  <c r="AD4557" i="20"/>
  <c r="AC4558" i="20"/>
  <c r="AF4558" i="20" s="1"/>
  <c r="AG4558" i="20" s="1"/>
  <c r="AD4558" i="20"/>
  <c r="AC4559" i="20"/>
  <c r="AF4559" i="20" s="1"/>
  <c r="AD4559" i="20"/>
  <c r="AC4560" i="20"/>
  <c r="AF4560" i="20" s="1"/>
  <c r="AD4560" i="20"/>
  <c r="AC4561" i="20"/>
  <c r="AF4561" i="20" s="1"/>
  <c r="AG4561" i="20" s="1"/>
  <c r="AD4561" i="20"/>
  <c r="AC4562" i="20"/>
  <c r="AF4562" i="20" s="1"/>
  <c r="AG4562" i="20" s="1"/>
  <c r="AD4562" i="20"/>
  <c r="AC4563" i="20"/>
  <c r="AF4563" i="20" s="1"/>
  <c r="AD4563" i="20"/>
  <c r="AC4564" i="20"/>
  <c r="AD4564" i="20"/>
  <c r="AC4565" i="20"/>
  <c r="AF4565" i="20" s="1"/>
  <c r="AG4565" i="20" s="1"/>
  <c r="AD4565" i="20"/>
  <c r="AC4566" i="20"/>
  <c r="AF4566" i="20" s="1"/>
  <c r="AG4566" i="20" s="1"/>
  <c r="AD4566" i="20"/>
  <c r="AC4567" i="20"/>
  <c r="AF4567" i="20" s="1"/>
  <c r="AD4567" i="20"/>
  <c r="AC4568" i="20"/>
  <c r="AD4568" i="20"/>
  <c r="AC4570" i="20"/>
  <c r="AF4570" i="20" s="1"/>
  <c r="AG4570" i="20" s="1"/>
  <c r="AD4570" i="20"/>
  <c r="AC4571" i="20"/>
  <c r="AF4571" i="20" s="1"/>
  <c r="AD4571" i="20"/>
  <c r="AC4572" i="20"/>
  <c r="AF4572" i="20" s="1"/>
  <c r="AD4572" i="20"/>
  <c r="AC4573" i="20"/>
  <c r="AF4573" i="20" s="1"/>
  <c r="AG4573" i="20" s="1"/>
  <c r="AD4573" i="20"/>
  <c r="AC4574" i="20"/>
  <c r="AF4574" i="20" s="1"/>
  <c r="AG4574" i="20" s="1"/>
  <c r="AD4574" i="20"/>
  <c r="AC4575" i="20"/>
  <c r="AF4575" i="20" s="1"/>
  <c r="AD4575" i="20"/>
  <c r="AC4576" i="20"/>
  <c r="AF4576" i="20" s="1"/>
  <c r="AD4576" i="20"/>
  <c r="AC4577" i="20"/>
  <c r="AF4577" i="20" s="1"/>
  <c r="AG4577" i="20" s="1"/>
  <c r="AD4577" i="20"/>
  <c r="AC4578" i="20"/>
  <c r="AF4578" i="20" s="1"/>
  <c r="AG4578" i="20" s="1"/>
  <c r="AD4578" i="20"/>
  <c r="AC4579" i="20"/>
  <c r="AF4579" i="20" s="1"/>
  <c r="AD4579" i="20"/>
  <c r="AC4580" i="20"/>
  <c r="AD4580" i="20"/>
  <c r="AC4581" i="20"/>
  <c r="AF4581" i="20" s="1"/>
  <c r="AG4581" i="20" s="1"/>
  <c r="AD4581" i="20"/>
  <c r="AC4582" i="20"/>
  <c r="AF4582" i="20" s="1"/>
  <c r="AG4582" i="20" s="1"/>
  <c r="AD4582" i="20"/>
  <c r="AC4584" i="20"/>
  <c r="AD4584" i="20"/>
  <c r="AC4585" i="20"/>
  <c r="AF4585" i="20" s="1"/>
  <c r="AG4585" i="20" s="1"/>
  <c r="AD4585" i="20"/>
  <c r="AC4586" i="20"/>
  <c r="AF4586" i="20" s="1"/>
  <c r="AG4586" i="20" s="1"/>
  <c r="AD4586" i="20"/>
  <c r="AC4587" i="20"/>
  <c r="AF4587" i="20" s="1"/>
  <c r="AD4587" i="20"/>
  <c r="AC4588" i="20"/>
  <c r="AF4588" i="20" s="1"/>
  <c r="AD4588" i="20"/>
  <c r="AC4589" i="20"/>
  <c r="AF4589" i="20" s="1"/>
  <c r="AG4589" i="20" s="1"/>
  <c r="AD4589" i="20"/>
  <c r="AC4590" i="20"/>
  <c r="AF4590" i="20" s="1"/>
  <c r="AG4590" i="20" s="1"/>
  <c r="AD4590" i="20"/>
  <c r="AC4591" i="20"/>
  <c r="AF4591" i="20" s="1"/>
  <c r="AD4591" i="20"/>
  <c r="AC4592" i="20"/>
  <c r="AF4592" i="20" s="1"/>
  <c r="AG4592" i="20" s="1"/>
  <c r="AD4592" i="20"/>
  <c r="AC4593" i="20"/>
  <c r="AD4593" i="20"/>
  <c r="AC4594" i="20"/>
  <c r="AF4594" i="20" s="1"/>
  <c r="AG4594" i="20" s="1"/>
  <c r="AD4594" i="20"/>
  <c r="AC4595" i="20"/>
  <c r="AF4595" i="20" s="1"/>
  <c r="AD4595" i="20"/>
  <c r="AC4597" i="20"/>
  <c r="AF4597" i="20" s="1"/>
  <c r="AG4597" i="20" s="1"/>
  <c r="AD4597" i="20"/>
  <c r="AC4598" i="20"/>
  <c r="AF4598" i="20" s="1"/>
  <c r="AG4598" i="20" s="1"/>
  <c r="AD4598" i="20"/>
  <c r="AC4600" i="20"/>
  <c r="AD4600" i="20"/>
  <c r="AC4602" i="20"/>
  <c r="AD4602" i="20"/>
  <c r="AC4604" i="20"/>
  <c r="AD4604" i="20"/>
  <c r="AC4605" i="20"/>
  <c r="AF4605" i="20" s="1"/>
  <c r="AG4605" i="20" s="1"/>
  <c r="AD4605" i="20"/>
  <c r="AC4606" i="20"/>
  <c r="AD4606" i="20"/>
  <c r="AC4607" i="20"/>
  <c r="AD4607" i="20"/>
  <c r="AC4608" i="20"/>
  <c r="AF4608" i="20" s="1"/>
  <c r="AG4608" i="20" s="1"/>
  <c r="AD4608" i="20"/>
  <c r="AC4609" i="20"/>
  <c r="AF4609" i="20" s="1"/>
  <c r="AG4609" i="20" s="1"/>
  <c r="AD4609" i="20"/>
  <c r="AC4610" i="20"/>
  <c r="AF4610" i="20" s="1"/>
  <c r="AG4610" i="20" s="1"/>
  <c r="AD4610" i="20"/>
  <c r="AC4611" i="20"/>
  <c r="AF4611" i="20" s="1"/>
  <c r="AD4611" i="20"/>
  <c r="AC4613" i="20"/>
  <c r="AF4613" i="20" s="1"/>
  <c r="AG4613" i="20" s="1"/>
  <c r="AD4613" i="20"/>
  <c r="AC4616" i="20"/>
  <c r="AD4616" i="20"/>
  <c r="AC4617" i="20"/>
  <c r="AF4617" i="20" s="1"/>
  <c r="AG4617" i="20" s="1"/>
  <c r="AD4617" i="20"/>
  <c r="AC4618" i="20"/>
  <c r="AD4618" i="20"/>
  <c r="AC4620" i="20"/>
  <c r="AF4620" i="20" s="1"/>
  <c r="AG4620" i="20" s="1"/>
  <c r="AD4620" i="20"/>
  <c r="AC4621" i="20"/>
  <c r="AF4621" i="20" s="1"/>
  <c r="AG4621" i="20" s="1"/>
  <c r="AD4621" i="20"/>
  <c r="AC4622" i="20"/>
  <c r="AD4622" i="20"/>
  <c r="AC4623" i="20"/>
  <c r="AF4623" i="20" s="1"/>
  <c r="AD4623" i="20"/>
  <c r="AC4624" i="20"/>
  <c r="AF4624" i="20" s="1"/>
  <c r="AG4624" i="20" s="1"/>
  <c r="AD4624" i="20"/>
  <c r="AC4625" i="20"/>
  <c r="AD4625" i="20"/>
  <c r="AC4626" i="20"/>
  <c r="AF4626" i="20" s="1"/>
  <c r="AG4626" i="20" s="1"/>
  <c r="AD4626" i="20"/>
  <c r="AC4627" i="20"/>
  <c r="AF4627" i="20" s="1"/>
  <c r="AD4627" i="20"/>
  <c r="AC4628" i="20"/>
  <c r="AD4628" i="20"/>
  <c r="AC4631" i="20"/>
  <c r="AF4631" i="20" s="1"/>
  <c r="AD4631" i="20"/>
  <c r="AC4632" i="20"/>
  <c r="AD4632" i="20"/>
  <c r="AC4634" i="20"/>
  <c r="AF4634" i="20" s="1"/>
  <c r="AG4634" i="20" s="1"/>
  <c r="AD4634" i="20"/>
  <c r="AC4635" i="20"/>
  <c r="AD4635" i="20"/>
  <c r="AC4636" i="20"/>
  <c r="AF4636" i="20" s="1"/>
  <c r="AG4636" i="20" s="1"/>
  <c r="AD4636" i="20"/>
  <c r="AC4638" i="20"/>
  <c r="AD4638" i="20"/>
  <c r="AC4640" i="20"/>
  <c r="AF4640" i="20" s="1"/>
  <c r="AG4640" i="20" s="1"/>
  <c r="AD4640" i="20"/>
  <c r="AC4641" i="20"/>
  <c r="AD4641" i="20"/>
  <c r="AC4642" i="20"/>
  <c r="AF4642" i="20" s="1"/>
  <c r="AG4642" i="20" s="1"/>
  <c r="AD4642" i="20"/>
  <c r="AC4644" i="20"/>
  <c r="AD4644" i="20"/>
  <c r="AC4645" i="20"/>
  <c r="AF4645" i="20" s="1"/>
  <c r="AG4645" i="20" s="1"/>
  <c r="AD4645" i="20"/>
  <c r="AC4648" i="20"/>
  <c r="AD4648" i="20"/>
  <c r="AC4650" i="20"/>
  <c r="AF4650" i="20" s="1"/>
  <c r="AG4650" i="20" s="1"/>
  <c r="AD4650" i="20"/>
  <c r="AC4651" i="20"/>
  <c r="AF4651" i="20" s="1"/>
  <c r="AD4651" i="20"/>
  <c r="AC4652" i="20"/>
  <c r="AF4652" i="20" s="1"/>
  <c r="AG4652" i="20" s="1"/>
  <c r="AD4652" i="20"/>
  <c r="AC4653" i="20"/>
  <c r="AF4653" i="20" s="1"/>
  <c r="AG4653" i="20" s="1"/>
  <c r="AD4653" i="20"/>
  <c r="AC4655" i="20"/>
  <c r="AF4655" i="20" s="1"/>
  <c r="AD4655" i="20"/>
  <c r="AC4656" i="20"/>
  <c r="AF4656" i="20" s="1"/>
  <c r="AG4656" i="20" s="1"/>
  <c r="AD4656" i="20"/>
  <c r="AC4657" i="20"/>
  <c r="AD4657" i="20"/>
  <c r="AC4658" i="20"/>
  <c r="AF4658" i="20" s="1"/>
  <c r="AG4658" i="20" s="1"/>
  <c r="AD4658" i="20"/>
  <c r="AC4659" i="20"/>
  <c r="AF4659" i="20" s="1"/>
  <c r="AD4659" i="20"/>
  <c r="AC4662" i="20"/>
  <c r="AF4662" i="20" s="1"/>
  <c r="AG4662" i="20" s="1"/>
  <c r="AD4662" i="20"/>
  <c r="AC4663" i="20"/>
  <c r="AF4663" i="20" s="1"/>
  <c r="AD4663" i="20"/>
  <c r="AC4665" i="20"/>
  <c r="AF4665" i="20" s="1"/>
  <c r="AG4665" i="20" s="1"/>
  <c r="AD4665" i="20"/>
  <c r="AC4666" i="20"/>
  <c r="AF4666" i="20" s="1"/>
  <c r="AG4666" i="20" s="1"/>
  <c r="AD4666" i="20"/>
  <c r="AC4667" i="20"/>
  <c r="AD4667" i="20"/>
  <c r="AC4668" i="20"/>
  <c r="AD4668" i="20"/>
  <c r="AC4669" i="20"/>
  <c r="AD4669" i="20"/>
  <c r="AC4672" i="20"/>
  <c r="AF4672" i="20" s="1"/>
  <c r="AG4672" i="20" s="1"/>
  <c r="AD4672" i="20"/>
  <c r="AC4674" i="20"/>
  <c r="AF4674" i="20" s="1"/>
  <c r="AG4674" i="20" s="1"/>
  <c r="AD4674" i="20"/>
  <c r="AC4675" i="20"/>
  <c r="AF4675" i="20" s="1"/>
  <c r="AD4675" i="20"/>
  <c r="AC4676" i="20"/>
  <c r="AD4676" i="20"/>
  <c r="AC4677" i="20"/>
  <c r="AF4677" i="20" s="1"/>
  <c r="AG4677" i="20" s="1"/>
  <c r="AD4677" i="20"/>
  <c r="AC4678" i="20"/>
  <c r="AF4678" i="20" s="1"/>
  <c r="AG4678" i="20" s="1"/>
  <c r="AD4678" i="20"/>
  <c r="AC4679" i="20"/>
  <c r="AF4679" i="20" s="1"/>
  <c r="AD4679" i="20"/>
  <c r="AC4680" i="20"/>
  <c r="AD4680" i="20"/>
  <c r="AC4682" i="20"/>
  <c r="AF4682" i="20" s="1"/>
  <c r="AG4682" i="20" s="1"/>
  <c r="AD4682" i="20"/>
  <c r="AC4683" i="20"/>
  <c r="AF4683" i="20" s="1"/>
  <c r="AD4683" i="20"/>
  <c r="AC4684" i="20"/>
  <c r="AF4684" i="20" s="1"/>
  <c r="AD4684" i="20"/>
  <c r="AC4686" i="20"/>
  <c r="AD4686" i="20"/>
  <c r="AC4688" i="20"/>
  <c r="AF4688" i="20" s="1"/>
  <c r="AG4688" i="20" s="1"/>
  <c r="AD4688" i="20"/>
  <c r="AC4689" i="20"/>
  <c r="AF4689" i="20" s="1"/>
  <c r="AG4689" i="20" s="1"/>
  <c r="AD4689" i="20"/>
  <c r="AC4690" i="20"/>
  <c r="AF4690" i="20" s="1"/>
  <c r="AG4690" i="20" s="1"/>
  <c r="AD4690" i="20"/>
  <c r="AC4691" i="20"/>
  <c r="AF4691" i="20" s="1"/>
  <c r="AD4691" i="20"/>
  <c r="AC4693" i="20"/>
  <c r="AF4693" i="20" s="1"/>
  <c r="AG4693" i="20" s="1"/>
  <c r="AD4693" i="20"/>
  <c r="AC4694" i="20"/>
  <c r="AF4694" i="20" s="1"/>
  <c r="AG4694" i="20" s="1"/>
  <c r="AD4694" i="20"/>
  <c r="AC4695" i="20"/>
  <c r="AF4695" i="20" s="1"/>
  <c r="AD4695" i="20"/>
  <c r="AC4696" i="20"/>
  <c r="AD4696" i="20"/>
  <c r="AC4699" i="20"/>
  <c r="AD4699" i="20"/>
  <c r="AC4700" i="20"/>
  <c r="AF4700" i="20" s="1"/>
  <c r="AD4700" i="20"/>
  <c r="AC4701" i="20"/>
  <c r="AD4701" i="20"/>
  <c r="AC4702" i="20"/>
  <c r="AF4702" i="20" s="1"/>
  <c r="AG4702" i="20" s="1"/>
  <c r="AD4702" i="20"/>
  <c r="AC4706" i="20"/>
  <c r="AF4706" i="20" s="1"/>
  <c r="AG4706" i="20" s="1"/>
  <c r="AD4706" i="20"/>
  <c r="AC4707" i="20"/>
  <c r="AF4707" i="20" s="1"/>
  <c r="AD4707" i="20"/>
  <c r="AC4708" i="20"/>
  <c r="AD4708" i="20"/>
  <c r="AC4710" i="20"/>
  <c r="AF4710" i="20" s="1"/>
  <c r="AG4710" i="20" s="1"/>
  <c r="AD4710" i="20"/>
  <c r="AC4711" i="20"/>
  <c r="AF4711" i="20" s="1"/>
  <c r="AD4711" i="20"/>
  <c r="AC4712" i="20"/>
  <c r="AD4712" i="20"/>
  <c r="AC4713" i="20"/>
  <c r="AF4713" i="20" s="1"/>
  <c r="AD4713" i="20"/>
  <c r="AC4719" i="20"/>
  <c r="AF4719" i="20" s="1"/>
  <c r="AD4719" i="20"/>
  <c r="AC4722" i="20"/>
  <c r="AF4722" i="20" s="1"/>
  <c r="AG4722" i="20" s="1"/>
  <c r="AD4722" i="20"/>
  <c r="AC4723" i="20"/>
  <c r="AF4723" i="20" s="1"/>
  <c r="AD4723" i="20"/>
  <c r="AC4724" i="20"/>
  <c r="AD4724" i="20"/>
  <c r="AC4725" i="20"/>
  <c r="AF4725" i="20" s="1"/>
  <c r="AG4725" i="20" s="1"/>
  <c r="AD4725" i="20"/>
  <c r="AC4732" i="20"/>
  <c r="AD4732" i="20"/>
  <c r="AC4735" i="20"/>
  <c r="AF4735" i="20" s="1"/>
  <c r="AG4735" i="20" s="1"/>
  <c r="AD4735" i="20"/>
  <c r="AC4747" i="20"/>
  <c r="AF4747" i="20" s="1"/>
  <c r="AG4747" i="20" s="1"/>
  <c r="AD4747" i="20"/>
  <c r="AC4749" i="20"/>
  <c r="AF4749" i="20" s="1"/>
  <c r="AG4749" i="20" s="1"/>
  <c r="AD4749" i="20"/>
  <c r="AC4750" i="20"/>
  <c r="AF4750" i="20" s="1"/>
  <c r="AD4750" i="20"/>
  <c r="AC4751" i="20"/>
  <c r="AD4751" i="20"/>
  <c r="AC4752" i="20"/>
  <c r="AF4752" i="20" s="1"/>
  <c r="AG4752" i="20" s="1"/>
  <c r="AD4752" i="20"/>
  <c r="AC4753" i="20"/>
  <c r="AF4753" i="20" s="1"/>
  <c r="AG4753" i="20" s="1"/>
  <c r="AD4753" i="20"/>
  <c r="AC4754" i="20"/>
  <c r="AF4754" i="20" s="1"/>
  <c r="AD4754" i="20"/>
  <c r="AC4755" i="20"/>
  <c r="AD4755" i="20"/>
  <c r="AC4756" i="20"/>
  <c r="AF4756" i="20" s="1"/>
  <c r="AG4756" i="20" s="1"/>
  <c r="AD4756" i="20"/>
  <c r="AC4758" i="20"/>
  <c r="AF4758" i="20" s="1"/>
  <c r="AD4758" i="20"/>
  <c r="AC4759" i="20"/>
  <c r="AF4759" i="20" s="1"/>
  <c r="AD4759" i="20"/>
  <c r="AC4760" i="20"/>
  <c r="AF4760" i="20" s="1"/>
  <c r="AG4760" i="20" s="1"/>
  <c r="AD4760" i="20"/>
  <c r="AC4761" i="20"/>
  <c r="AF4761" i="20" s="1"/>
  <c r="AG4761" i="20" s="1"/>
  <c r="AD4761" i="20"/>
  <c r="AC4762" i="20"/>
  <c r="AF4762" i="20" s="1"/>
  <c r="AD4762" i="20"/>
  <c r="AC4763" i="20"/>
  <c r="AF4763" i="20" s="1"/>
  <c r="AG4763" i="20" s="1"/>
  <c r="AD4763" i="20"/>
  <c r="AC4764" i="20"/>
  <c r="AF4764" i="20" s="1"/>
  <c r="AG4764" i="20" s="1"/>
  <c r="AD4764" i="20"/>
  <c r="AC4765" i="20"/>
  <c r="AF4765" i="20" s="1"/>
  <c r="AG4765" i="20" s="1"/>
  <c r="AD4765" i="20"/>
  <c r="AC4766" i="20"/>
  <c r="AF4766" i="20" s="1"/>
  <c r="AG4766" i="20" s="1"/>
  <c r="AD4766" i="20"/>
  <c r="AC4767" i="20"/>
  <c r="AF4767" i="20" s="1"/>
  <c r="AG4767" i="20" s="1"/>
  <c r="AD4767" i="20"/>
  <c r="AC4769" i="20"/>
  <c r="AD4769" i="20"/>
  <c r="AC4770" i="20"/>
  <c r="AF4770" i="20" s="1"/>
  <c r="AG4770" i="20" s="1"/>
  <c r="AD4770" i="20"/>
  <c r="AC4772" i="20"/>
  <c r="AF4772" i="20" s="1"/>
  <c r="AG4772" i="20" s="1"/>
  <c r="AD4772" i="20"/>
  <c r="AC4773" i="20"/>
  <c r="AF4773" i="20" s="1"/>
  <c r="AG4773" i="20" s="1"/>
  <c r="AD4773" i="20"/>
  <c r="AC4774" i="20"/>
  <c r="AF4774" i="20" s="1"/>
  <c r="AG4774" i="20" s="1"/>
  <c r="AD4774" i="20"/>
  <c r="AC4775" i="20"/>
  <c r="AF4775" i="20" s="1"/>
  <c r="AD4775" i="20"/>
  <c r="AC4776" i="20"/>
  <c r="AD4776" i="20"/>
  <c r="AC4777" i="20"/>
  <c r="AD4777" i="20"/>
  <c r="AC4778" i="20"/>
  <c r="AF4778" i="20" s="1"/>
  <c r="AG4778" i="20" s="1"/>
  <c r="AD4778" i="20"/>
  <c r="AC4780" i="20"/>
  <c r="AF4780" i="20" s="1"/>
  <c r="AG4780" i="20" s="1"/>
  <c r="AD4780" i="20"/>
  <c r="AC4781" i="20"/>
  <c r="AD4781" i="20"/>
  <c r="AC4782" i="20"/>
  <c r="AF4782" i="20" s="1"/>
  <c r="AG4782" i="20" s="1"/>
  <c r="AD4782" i="20"/>
  <c r="AC4783" i="20"/>
  <c r="AF4783" i="20" s="1"/>
  <c r="AD4783" i="20"/>
  <c r="AC4784" i="20"/>
  <c r="AD4784" i="20"/>
  <c r="AC4786" i="20"/>
  <c r="AF4786" i="20" s="1"/>
  <c r="AG4786" i="20" s="1"/>
  <c r="AD4786" i="20"/>
  <c r="AC4787" i="20"/>
  <c r="AF4787" i="20" s="1"/>
  <c r="AG4787" i="20" s="1"/>
  <c r="AD4787" i="20"/>
  <c r="AC4788" i="20"/>
  <c r="AF4788" i="20" s="1"/>
  <c r="AG4788" i="20" s="1"/>
  <c r="AD4788" i="20"/>
  <c r="AC4789" i="20"/>
  <c r="AD4789" i="20"/>
  <c r="AC4790" i="20"/>
  <c r="AF4790" i="20" s="1"/>
  <c r="AG4790" i="20" s="1"/>
  <c r="AD4790" i="20"/>
  <c r="AC4793" i="20"/>
  <c r="AD4793" i="20"/>
  <c r="AC4794" i="20"/>
  <c r="AF4794" i="20" s="1"/>
  <c r="AG4794" i="20" s="1"/>
  <c r="AD4794" i="20"/>
  <c r="AC4795" i="20"/>
  <c r="AF4795" i="20" s="1"/>
  <c r="AD4795" i="20"/>
  <c r="AC4796" i="20"/>
  <c r="AF4796" i="20" s="1"/>
  <c r="AG4796" i="20" s="1"/>
  <c r="AD4796" i="20"/>
  <c r="AC4797" i="20"/>
  <c r="AF4797" i="20" s="1"/>
  <c r="AG4797" i="20" s="1"/>
  <c r="AD4797" i="20"/>
  <c r="AC4798" i="20"/>
  <c r="AF4798" i="20" s="1"/>
  <c r="AG4798" i="20" s="1"/>
  <c r="AD4798" i="20"/>
  <c r="AC4799" i="20"/>
  <c r="AF4799" i="20" s="1"/>
  <c r="AD4799" i="20"/>
  <c r="AC4800" i="20"/>
  <c r="AD4800" i="20"/>
  <c r="AC4801" i="20"/>
  <c r="AF4801" i="20" s="1"/>
  <c r="AG4801" i="20" s="1"/>
  <c r="AD4801" i="20"/>
  <c r="AC4803" i="20"/>
  <c r="AF4803" i="20" s="1"/>
  <c r="AG4803" i="20" s="1"/>
  <c r="AD4803" i="20"/>
  <c r="AC4805" i="20"/>
  <c r="AD4805" i="20"/>
  <c r="AC4806" i="20"/>
  <c r="AF4806" i="20" s="1"/>
  <c r="AG4806" i="20" s="1"/>
  <c r="AD4806" i="20"/>
  <c r="AC4807" i="20"/>
  <c r="AF4807" i="20" s="1"/>
  <c r="AG4807" i="20" s="1"/>
  <c r="AD4807" i="20"/>
  <c r="AC4808" i="20"/>
  <c r="AF4808" i="20" s="1"/>
  <c r="AG4808" i="20" s="1"/>
  <c r="AD4808" i="20"/>
  <c r="AC4809" i="20"/>
  <c r="AD4809" i="20"/>
  <c r="AC4811" i="20"/>
  <c r="AF4811" i="20" s="1"/>
  <c r="AG4811" i="20" s="1"/>
  <c r="AD4811" i="20"/>
  <c r="AC4812" i="20"/>
  <c r="AF4812" i="20" s="1"/>
  <c r="AD4812" i="20"/>
  <c r="AC4813" i="20"/>
  <c r="AF4813" i="20" s="1"/>
  <c r="AG4813" i="20" s="1"/>
  <c r="AD4813" i="20"/>
  <c r="AC4814" i="20"/>
  <c r="AF4814" i="20" s="1"/>
  <c r="AG4814" i="20" s="1"/>
  <c r="AD4814" i="20"/>
  <c r="AC4817" i="20"/>
  <c r="AF4817" i="20" s="1"/>
  <c r="AG4817" i="20" s="1"/>
  <c r="AD4817" i="20"/>
  <c r="AC4818" i="20"/>
  <c r="AF4818" i="20" s="1"/>
  <c r="AG4818" i="20" s="1"/>
  <c r="AD4818" i="20"/>
  <c r="AC4819" i="20"/>
  <c r="AF4819" i="20" s="1"/>
  <c r="AG4819" i="20" s="1"/>
  <c r="AD4819" i="20"/>
  <c r="AC4820" i="20"/>
  <c r="AD4820" i="20"/>
  <c r="AC4821" i="20"/>
  <c r="AF4821" i="20" s="1"/>
  <c r="AG4821" i="20" s="1"/>
  <c r="AD4821" i="20"/>
  <c r="AC4822" i="20"/>
  <c r="AF4822" i="20" s="1"/>
  <c r="AG4822" i="20" s="1"/>
  <c r="AD4822" i="20"/>
  <c r="AC4823" i="20"/>
  <c r="AF4823" i="20" s="1"/>
  <c r="AG4823" i="20" s="1"/>
  <c r="AD4823" i="20"/>
  <c r="AC4824" i="20"/>
  <c r="AF4824" i="20" s="1"/>
  <c r="AG4824" i="20" s="1"/>
  <c r="AD4824" i="20"/>
  <c r="AC4825" i="20"/>
  <c r="AF4825" i="20" s="1"/>
  <c r="AG4825" i="20" s="1"/>
  <c r="AD4825" i="20"/>
  <c r="AC4828" i="20"/>
  <c r="AF4828" i="20" s="1"/>
  <c r="AD4828" i="20"/>
  <c r="AC4829" i="20"/>
  <c r="AF4829" i="20" s="1"/>
  <c r="AG4829" i="20" s="1"/>
  <c r="AD4829" i="20"/>
  <c r="AC4832" i="20"/>
  <c r="AF4832" i="20" s="1"/>
  <c r="AG4832" i="20" s="1"/>
  <c r="AD4832" i="20"/>
  <c r="AC4833" i="20"/>
  <c r="AD4833" i="20"/>
  <c r="AC4834" i="20"/>
  <c r="AD4834" i="20"/>
  <c r="AC4835" i="20"/>
  <c r="AF4835" i="20" s="1"/>
  <c r="AG4835" i="20" s="1"/>
  <c r="AD4835" i="20"/>
  <c r="AC4836" i="20"/>
  <c r="AF4836" i="20" s="1"/>
  <c r="AG4836" i="20" s="1"/>
  <c r="AD4836" i="20"/>
  <c r="AC4837" i="20"/>
  <c r="AF4837" i="20" s="1"/>
  <c r="AD4837" i="20"/>
  <c r="AC4838" i="20"/>
  <c r="AF4838" i="20" s="1"/>
  <c r="AG4838" i="20" s="1"/>
  <c r="AD4838" i="20"/>
  <c r="AC4839" i="20"/>
  <c r="AF4839" i="20" s="1"/>
  <c r="AG4839" i="20" s="1"/>
  <c r="AD4839" i="20"/>
  <c r="AC4840" i="20"/>
  <c r="AF4840" i="20" s="1"/>
  <c r="AG4840" i="20" s="1"/>
  <c r="AD4840" i="20"/>
  <c r="AC4841" i="20"/>
  <c r="AF4841" i="20" s="1"/>
  <c r="AG4841" i="20" s="1"/>
  <c r="AD4841" i="20"/>
  <c r="AC4842" i="20"/>
  <c r="AF4842" i="20" s="1"/>
  <c r="AG4842" i="20" s="1"/>
  <c r="AD4842" i="20"/>
  <c r="AC4843" i="20"/>
  <c r="AF4843" i="20" s="1"/>
  <c r="AG4843" i="20" s="1"/>
  <c r="AD4843" i="20"/>
  <c r="AC4844" i="20"/>
  <c r="AF4844" i="20" s="1"/>
  <c r="AG4844" i="20" s="1"/>
  <c r="AD4844" i="20"/>
  <c r="AC4845" i="20"/>
  <c r="AD4845" i="20"/>
  <c r="AC4846" i="20"/>
  <c r="AD4846" i="20"/>
  <c r="AC4847" i="20"/>
  <c r="AF4847" i="20" s="1"/>
  <c r="AG4847" i="20" s="1"/>
  <c r="AD4847" i="20"/>
  <c r="AC4848" i="20"/>
  <c r="AF4848" i="20" s="1"/>
  <c r="AG4848" i="20" s="1"/>
  <c r="AD4848" i="20"/>
  <c r="AC4849" i="20"/>
  <c r="AF4849" i="20" s="1"/>
  <c r="AD4849" i="20"/>
  <c r="AC4850" i="20"/>
  <c r="AF4850" i="20" s="1"/>
  <c r="AG4850" i="20" s="1"/>
  <c r="AD4850" i="20"/>
  <c r="AC4851" i="20"/>
  <c r="AF4851" i="20" s="1"/>
  <c r="AG4851" i="20" s="1"/>
  <c r="AD4851" i="20"/>
  <c r="AC4852" i="20"/>
  <c r="AF4852" i="20" s="1"/>
  <c r="AG4852" i="20" s="1"/>
  <c r="AD4852" i="20"/>
  <c r="AC4853" i="20"/>
  <c r="AF4853" i="20" s="1"/>
  <c r="AD4853" i="20"/>
  <c r="AC4854" i="20"/>
  <c r="AD4854" i="20"/>
  <c r="AC4855" i="20"/>
  <c r="AF4855" i="20" s="1"/>
  <c r="AG4855" i="20" s="1"/>
  <c r="AD4855" i="20"/>
  <c r="AC4856" i="20"/>
  <c r="AF4856" i="20" s="1"/>
  <c r="AG4856" i="20" s="1"/>
  <c r="AD4856" i="20"/>
  <c r="AC4857" i="20"/>
  <c r="AF4857" i="20" s="1"/>
  <c r="AD4857" i="20"/>
  <c r="AC4858" i="20"/>
  <c r="AD4858" i="20"/>
  <c r="AC4859" i="20"/>
  <c r="AF4859" i="20" s="1"/>
  <c r="AG4859" i="20" s="1"/>
  <c r="AD4859" i="20"/>
  <c r="AC4860" i="20"/>
  <c r="AD4860" i="20"/>
  <c r="AC4861" i="20"/>
  <c r="AD4861" i="20"/>
  <c r="AC4862" i="20"/>
  <c r="AF4862" i="20" s="1"/>
  <c r="AG4862" i="20" s="1"/>
  <c r="AD4862" i="20"/>
  <c r="N4420" i="20"/>
  <c r="O4420" i="20"/>
  <c r="N4425" i="20"/>
  <c r="AC4350" i="20"/>
  <c r="AD4188" i="20"/>
  <c r="AC3888" i="20"/>
  <c r="AD4198" i="20" l="1"/>
  <c r="AE4198" i="20" s="1"/>
  <c r="AC1140" i="20"/>
  <c r="AC3766" i="20"/>
  <c r="AF3766" i="20" s="1"/>
  <c r="AG3766" i="20" s="1"/>
  <c r="AC4402" i="20"/>
  <c r="AF4402" i="20" s="1"/>
  <c r="AG4402" i="20" s="1"/>
  <c r="AD1940" i="20"/>
  <c r="AE1940" i="20" s="1"/>
  <c r="AD4727" i="20"/>
  <c r="AE4727" i="20" s="1"/>
  <c r="AD3440" i="20"/>
  <c r="AE3440" i="20" s="1"/>
  <c r="AD4192" i="20"/>
  <c r="AE4192" i="20" s="1"/>
  <c r="AE1883" i="20"/>
  <c r="AD4302" i="20"/>
  <c r="AE4302" i="20" s="1"/>
  <c r="AD4295" i="20"/>
  <c r="AE4295" i="20" s="1"/>
  <c r="AD2124" i="20"/>
  <c r="AE2124" i="20" s="1"/>
  <c r="AE440" i="20"/>
  <c r="AD3444" i="20"/>
  <c r="AE3444" i="20" s="1"/>
  <c r="AE2864" i="20"/>
  <c r="AD4633" i="20"/>
  <c r="AE4633" i="20" s="1"/>
  <c r="AE2425" i="20"/>
  <c r="AE2417" i="20"/>
  <c r="AE2349" i="20"/>
  <c r="AE3561" i="20"/>
  <c r="AC4301" i="20"/>
  <c r="AF4301" i="20" s="1"/>
  <c r="AG4301" i="20" s="1"/>
  <c r="AC1026" i="20"/>
  <c r="AF1026" i="20" s="1"/>
  <c r="AG1026" i="20" s="1"/>
  <c r="AC3475" i="20"/>
  <c r="AF3475" i="20" s="1"/>
  <c r="AG3475" i="20" s="1"/>
  <c r="AD3810" i="20"/>
  <c r="AE3810" i="20" s="1"/>
  <c r="AD1912" i="20"/>
  <c r="AE1912" i="20" s="1"/>
  <c r="AE3644" i="20"/>
  <c r="AE1358" i="20"/>
  <c r="AE3323" i="20"/>
  <c r="AE3298" i="20"/>
  <c r="AE1737" i="20"/>
  <c r="AE1482" i="20"/>
  <c r="AE1473" i="20"/>
  <c r="AD4378" i="20"/>
  <c r="AE4378" i="20" s="1"/>
  <c r="AE597" i="20"/>
  <c r="AD4422" i="20"/>
  <c r="AE4422" i="20" s="1"/>
  <c r="AC3900" i="20"/>
  <c r="AF3900" i="20" s="1"/>
  <c r="AG3900" i="20" s="1"/>
  <c r="AC4194" i="20"/>
  <c r="AF4194" i="20" s="1"/>
  <c r="AG4194" i="20" s="1"/>
  <c r="AE1478" i="20"/>
  <c r="AE336" i="20"/>
  <c r="AE3641" i="20"/>
  <c r="AE2519" i="20"/>
  <c r="AE2353" i="20"/>
  <c r="AE3982" i="20"/>
  <c r="AE3074" i="20"/>
  <c r="AE2686" i="20"/>
  <c r="AE3737" i="20"/>
  <c r="AE4678" i="20"/>
  <c r="AC2861" i="20"/>
  <c r="AE2861" i="20" s="1"/>
  <c r="AC4730" i="20"/>
  <c r="AF4730" i="20" s="1"/>
  <c r="AG4730" i="20" s="1"/>
  <c r="AE1461" i="20"/>
  <c r="AE729" i="20"/>
  <c r="AE3628" i="20"/>
  <c r="AE329" i="20"/>
  <c r="AE3081" i="20"/>
  <c r="AE2401" i="20"/>
  <c r="AE745" i="20"/>
  <c r="AE59" i="20"/>
  <c r="AD963" i="20"/>
  <c r="AE963" i="20" s="1"/>
  <c r="AD3566" i="20"/>
  <c r="AE3566" i="20" s="1"/>
  <c r="AE3557" i="20"/>
  <c r="AD1772" i="20"/>
  <c r="AE1772" i="20" s="1"/>
  <c r="AD1749" i="20"/>
  <c r="AE1749" i="20" s="1"/>
  <c r="AD4263" i="20"/>
  <c r="AE4263" i="20" s="1"/>
  <c r="AE1390" i="20"/>
  <c r="AD1053" i="20"/>
  <c r="AE1053" i="20" s="1"/>
  <c r="AE2822" i="20"/>
  <c r="AE4133" i="20"/>
  <c r="AE2627" i="20"/>
  <c r="AD3900" i="20"/>
  <c r="AE26" i="20"/>
  <c r="AD2952" i="20"/>
  <c r="AE2952" i="20" s="1"/>
  <c r="AE2858" i="20"/>
  <c r="AE708" i="20"/>
  <c r="AE3442" i="20"/>
  <c r="AE3261" i="20"/>
  <c r="AE3253" i="20"/>
  <c r="AE2278" i="20"/>
  <c r="AE2269" i="20"/>
  <c r="AE2210" i="20"/>
  <c r="AE2165" i="20"/>
  <c r="AE2161" i="20"/>
  <c r="AE2137" i="20"/>
  <c r="AE2106" i="20"/>
  <c r="AE2041" i="20"/>
  <c r="AE2037" i="20"/>
  <c r="AE2005" i="20"/>
  <c r="AE1350" i="20"/>
  <c r="AE1346" i="20"/>
  <c r="AE1209" i="20"/>
  <c r="AE1117" i="20"/>
  <c r="AE1068" i="20"/>
  <c r="AE1004" i="20"/>
  <c r="AE985" i="20"/>
  <c r="AE869" i="20"/>
  <c r="AD1905" i="20"/>
  <c r="AE1905" i="20" s="1"/>
  <c r="AE645" i="20"/>
  <c r="AE4712" i="20"/>
  <c r="AE4607" i="20"/>
  <c r="AE4079" i="20"/>
  <c r="AE4062" i="20"/>
  <c r="AD3586" i="20"/>
  <c r="AE3586" i="20" s="1"/>
  <c r="AE3310" i="20"/>
  <c r="AE3145" i="20"/>
  <c r="AE2254" i="20"/>
  <c r="AE2201" i="20"/>
  <c r="AE2042" i="20"/>
  <c r="AE1701" i="20"/>
  <c r="AE1442" i="20"/>
  <c r="AE1425" i="20"/>
  <c r="AE1414" i="20"/>
  <c r="AE1257" i="20"/>
  <c r="AE1233" i="20"/>
  <c r="AE880" i="20"/>
  <c r="AE35" i="20"/>
  <c r="AD957" i="20"/>
  <c r="AE957" i="20" s="1"/>
  <c r="AE3603" i="20"/>
  <c r="AE4558" i="20"/>
  <c r="AE4513" i="20"/>
  <c r="AE4505" i="20"/>
  <c r="AE4489" i="20"/>
  <c r="AE4200" i="20"/>
  <c r="AE4001" i="20"/>
  <c r="AD3993" i="20"/>
  <c r="AE3993" i="20" s="1"/>
  <c r="AE3936" i="20"/>
  <c r="AE3729" i="20"/>
  <c r="AE3681" i="20"/>
  <c r="AE3471" i="20"/>
  <c r="AE3362" i="20"/>
  <c r="AE3322" i="20"/>
  <c r="AE3264" i="20"/>
  <c r="AE2763" i="20"/>
  <c r="AE2361" i="20"/>
  <c r="AE1822" i="20"/>
  <c r="AE1814" i="20"/>
  <c r="AE1806" i="20"/>
  <c r="AE1577" i="20"/>
  <c r="AE1533" i="20"/>
  <c r="AE1498" i="20"/>
  <c r="AE707" i="20"/>
  <c r="AE678" i="20"/>
  <c r="AF645" i="20"/>
  <c r="AG645" i="20" s="1"/>
  <c r="AE115" i="20"/>
  <c r="AE590" i="20"/>
  <c r="AE586" i="20"/>
  <c r="AE469" i="20"/>
  <c r="AE453" i="20"/>
  <c r="AE401" i="20"/>
  <c r="AE103" i="20"/>
  <c r="AE91" i="20"/>
  <c r="AE4789" i="20"/>
  <c r="AE4313" i="20"/>
  <c r="AE3616" i="20"/>
  <c r="AE2483" i="20"/>
  <c r="AE2152" i="20"/>
  <c r="AD1976" i="20"/>
  <c r="AE1976" i="20" s="1"/>
  <c r="AD668" i="20"/>
  <c r="AE668" i="20" s="1"/>
  <c r="AE4788" i="20"/>
  <c r="AE4641" i="20"/>
  <c r="AE4550" i="20"/>
  <c r="AD4364" i="20"/>
  <c r="AE4364" i="20" s="1"/>
  <c r="AE3811" i="20"/>
  <c r="AE3703" i="20"/>
  <c r="AE3516" i="20"/>
  <c r="AD3478" i="20"/>
  <c r="AE3478" i="20" s="1"/>
  <c r="AF3362" i="20"/>
  <c r="AG3362" i="20" s="1"/>
  <c r="AE3290" i="20"/>
  <c r="AE3272" i="20"/>
  <c r="AD3187" i="20"/>
  <c r="AE3187" i="20" s="1"/>
  <c r="AE2762" i="20"/>
  <c r="AE2016" i="20"/>
  <c r="AG1791" i="20"/>
  <c r="AE1493" i="20"/>
  <c r="AE944" i="20"/>
  <c r="AE905" i="20"/>
  <c r="AE832" i="20"/>
  <c r="AE760" i="20"/>
  <c r="AE634" i="20"/>
  <c r="AE443" i="20"/>
  <c r="AE152" i="20"/>
  <c r="O4424" i="20"/>
  <c r="AE4861" i="20"/>
  <c r="AE4686" i="20"/>
  <c r="AE2984" i="20"/>
  <c r="AE2794" i="20"/>
  <c r="AE2468" i="20"/>
  <c r="AE2460" i="20"/>
  <c r="AE4814" i="20"/>
  <c r="AE4758" i="20"/>
  <c r="AF4686" i="20"/>
  <c r="AG4686" i="20" s="1"/>
  <c r="AE4666" i="20"/>
  <c r="AE4638" i="20"/>
  <c r="AE4555" i="20"/>
  <c r="AE4541" i="20"/>
  <c r="AE4538" i="20"/>
  <c r="AE4362" i="20"/>
  <c r="AE4284" i="20"/>
  <c r="AE4149" i="20"/>
  <c r="AE3680" i="20"/>
  <c r="AE3656" i="20"/>
  <c r="AE3625" i="20"/>
  <c r="AE3548" i="20"/>
  <c r="AE3346" i="20"/>
  <c r="AE3291" i="20"/>
  <c r="AE3137" i="20"/>
  <c r="AE2964" i="20"/>
  <c r="AE2920" i="20"/>
  <c r="AE2911" i="20"/>
  <c r="AE2718" i="20"/>
  <c r="AG2712" i="20"/>
  <c r="AE2596" i="20"/>
  <c r="AE2305" i="20"/>
  <c r="AE2297" i="20"/>
  <c r="AE1998" i="20"/>
  <c r="AE1622" i="20"/>
  <c r="AE1521" i="20"/>
  <c r="AE1330" i="20"/>
  <c r="AE1321" i="20"/>
  <c r="AE820" i="20"/>
  <c r="AE435" i="20"/>
  <c r="AE268" i="20"/>
  <c r="AE60" i="20"/>
  <c r="AE653" i="20"/>
  <c r="AE4577" i="20"/>
  <c r="AC4081" i="20"/>
  <c r="AF4081" i="20" s="1"/>
  <c r="AG4081" i="20" s="1"/>
  <c r="AE3877" i="20"/>
  <c r="AE3636" i="20"/>
  <c r="AE3426" i="20"/>
  <c r="AE2976" i="20"/>
  <c r="AE2702" i="20"/>
  <c r="AE1966" i="20"/>
  <c r="AE1783" i="20"/>
  <c r="AE548" i="20"/>
  <c r="AE432" i="20"/>
  <c r="AE319" i="20"/>
  <c r="AE159" i="20"/>
  <c r="AE3637" i="20"/>
  <c r="AE3508" i="20"/>
  <c r="AE3242" i="20"/>
  <c r="AE2188" i="20"/>
  <c r="AE805" i="20"/>
  <c r="AE4559" i="20"/>
  <c r="AE4009" i="20"/>
  <c r="AE3932" i="20"/>
  <c r="AE3848" i="20"/>
  <c r="AE3816" i="20"/>
  <c r="AE3762" i="20"/>
  <c r="AE3652" i="20"/>
  <c r="AE3572" i="20"/>
  <c r="AE3343" i="20"/>
  <c r="AE3295" i="20"/>
  <c r="AE3050" i="20"/>
  <c r="AE3040" i="20"/>
  <c r="AE3008" i="20"/>
  <c r="AE2420" i="20"/>
  <c r="AE2236" i="20"/>
  <c r="AE2094" i="20"/>
  <c r="AG2067" i="20"/>
  <c r="AE1965" i="20"/>
  <c r="AE1569" i="20"/>
  <c r="AE1317" i="20"/>
  <c r="AG1202" i="20"/>
  <c r="AE176" i="20"/>
  <c r="AE36" i="20"/>
  <c r="AE3260" i="20"/>
  <c r="AE2701" i="20"/>
  <c r="AE2450" i="20"/>
  <c r="AE1457" i="20"/>
  <c r="AE373" i="20"/>
  <c r="AG1864" i="20"/>
  <c r="AE1069" i="20"/>
  <c r="AE107" i="20"/>
  <c r="AE4159" i="20"/>
  <c r="AE4706" i="20"/>
  <c r="AE4590" i="20"/>
  <c r="AE4574" i="20"/>
  <c r="AD4113" i="20"/>
  <c r="AE4113" i="20" s="1"/>
  <c r="AE4044" i="20"/>
  <c r="AE3190" i="20"/>
  <c r="AE3065" i="20"/>
  <c r="AE2733" i="20"/>
  <c r="AE609" i="20"/>
  <c r="AE593" i="20"/>
  <c r="AE445" i="20"/>
  <c r="AE223" i="20"/>
  <c r="AD3524" i="20"/>
  <c r="AE3524" i="20" s="1"/>
  <c r="AE3504" i="20"/>
  <c r="AE3459" i="20"/>
  <c r="AE953" i="20"/>
  <c r="AE51" i="20"/>
  <c r="AE4598" i="20"/>
  <c r="AE4264" i="20"/>
  <c r="AE3596" i="20"/>
  <c r="AE3532" i="20"/>
  <c r="AE3512" i="20"/>
  <c r="AE3064" i="20"/>
  <c r="AE2945" i="20"/>
  <c r="AE1844" i="20"/>
  <c r="AE3445" i="20"/>
  <c r="AE3880" i="20"/>
  <c r="AE2997" i="20"/>
  <c r="AE2892" i="20"/>
  <c r="AE4772" i="20"/>
  <c r="AE4682" i="20"/>
  <c r="AD4406" i="20"/>
  <c r="AE4406" i="20" s="1"/>
  <c r="AD4369" i="20"/>
  <c r="AE4369" i="20" s="1"/>
  <c r="AD4351" i="20"/>
  <c r="AE4351" i="20" s="1"/>
  <c r="AE3941" i="20"/>
  <c r="AE3779" i="20"/>
  <c r="AD3473" i="20"/>
  <c r="AE3473" i="20" s="1"/>
  <c r="AE3447" i="20"/>
  <c r="AE3214" i="20"/>
  <c r="AE2652" i="20"/>
  <c r="AE808" i="20"/>
  <c r="AE1721" i="20"/>
  <c r="AE1702" i="20"/>
  <c r="AE1221" i="20"/>
  <c r="AE1040" i="20"/>
  <c r="AE4820" i="20"/>
  <c r="AE4618" i="20"/>
  <c r="AG4587" i="20"/>
  <c r="AE4571" i="20"/>
  <c r="AE4347" i="20"/>
  <c r="AE4232" i="20"/>
  <c r="AE4137" i="20"/>
  <c r="AE3736" i="20"/>
  <c r="AE3688" i="20"/>
  <c r="AE3648" i="20"/>
  <c r="AE3256" i="20"/>
  <c r="AE2996" i="20"/>
  <c r="AE2933" i="20"/>
  <c r="AE2891" i="20"/>
  <c r="AE2875" i="20"/>
  <c r="AG2754" i="20"/>
  <c r="AE2591" i="20"/>
  <c r="AE2580" i="20"/>
  <c r="AE2181" i="20"/>
  <c r="AE2079" i="20"/>
  <c r="AE2070" i="20"/>
  <c r="AE1894" i="20"/>
  <c r="AE1750" i="20"/>
  <c r="AE765" i="20"/>
  <c r="AE686" i="20"/>
  <c r="AE127" i="20"/>
  <c r="AE3351" i="20"/>
  <c r="AE2651" i="20"/>
  <c r="AE2643" i="20"/>
  <c r="AE2433" i="20"/>
  <c r="AE2006" i="20"/>
  <c r="AG1783" i="20"/>
  <c r="AE1722" i="20"/>
  <c r="AE1385" i="20"/>
  <c r="AE1156" i="20"/>
  <c r="AE1021" i="20"/>
  <c r="AE776" i="20"/>
  <c r="AE717" i="20"/>
  <c r="AG684" i="20"/>
  <c r="AE585" i="20"/>
  <c r="AE300" i="20"/>
  <c r="AE2778" i="20"/>
  <c r="AE55" i="20"/>
  <c r="AF2891" i="20"/>
  <c r="AG2891" i="20" s="1"/>
  <c r="AE2849" i="20"/>
  <c r="AF2483" i="20"/>
  <c r="AG2483" i="20" s="1"/>
  <c r="AE2467" i="20"/>
  <c r="AE1052" i="20"/>
  <c r="AE3374" i="20"/>
  <c r="AE3226" i="20"/>
  <c r="AE4842" i="20"/>
  <c r="AE4834" i="20"/>
  <c r="AE4776" i="20"/>
  <c r="AE3719" i="20"/>
  <c r="AE3564" i="20"/>
  <c r="AE3161" i="20"/>
  <c r="AE3142" i="20"/>
  <c r="AE3133" i="20"/>
  <c r="AE3029" i="20"/>
  <c r="AE3009" i="20"/>
  <c r="AE2941" i="20"/>
  <c r="AE2884" i="20"/>
  <c r="AE2841" i="20"/>
  <c r="AF2733" i="20"/>
  <c r="AG2733" i="20" s="1"/>
  <c r="AE2345" i="20"/>
  <c r="AE565" i="20"/>
  <c r="AE396" i="20"/>
  <c r="AE3955" i="20"/>
  <c r="AE3895" i="20"/>
  <c r="AE3885" i="20"/>
  <c r="AE3778" i="20"/>
  <c r="AE3677" i="20"/>
  <c r="AE3467" i="20"/>
  <c r="AE3423" i="20"/>
  <c r="AE3407" i="20"/>
  <c r="AE3383" i="20"/>
  <c r="AE3330" i="20"/>
  <c r="AE1112" i="20"/>
  <c r="AE549" i="20"/>
  <c r="AE333" i="20"/>
  <c r="AE207" i="20"/>
  <c r="AE3758" i="20"/>
  <c r="AF3736" i="20"/>
  <c r="AG3736" i="20" s="1"/>
  <c r="AE3492" i="20"/>
  <c r="AE3338" i="20"/>
  <c r="AF1844" i="20"/>
  <c r="AG1844" i="20" s="1"/>
  <c r="AE1833" i="20"/>
  <c r="AE1197" i="20"/>
  <c r="AE972" i="20"/>
  <c r="AE689" i="20"/>
  <c r="AE650" i="20"/>
  <c r="AE491" i="20"/>
  <c r="AE355" i="20"/>
  <c r="AE324" i="20"/>
  <c r="AE264" i="20"/>
  <c r="AE4668" i="20"/>
  <c r="AE4164" i="20"/>
  <c r="AE4124" i="20"/>
  <c r="AE4076" i="20"/>
  <c r="AE4054" i="20"/>
  <c r="AE3788" i="20"/>
  <c r="AE3556" i="20"/>
  <c r="AE3415" i="20"/>
  <c r="AE3355" i="20"/>
  <c r="AE3028" i="20"/>
  <c r="AF107" i="20"/>
  <c r="AG107" i="20" s="1"/>
  <c r="AF4641" i="20"/>
  <c r="AG4641" i="20" s="1"/>
  <c r="AE3580" i="20"/>
  <c r="AE2359" i="20"/>
  <c r="AE1258" i="20"/>
  <c r="AE1242" i="20"/>
  <c r="AE1210" i="20"/>
  <c r="AE1144" i="20"/>
  <c r="AE773" i="20"/>
  <c r="AE589" i="20"/>
  <c r="AE296" i="20"/>
  <c r="AE123" i="20"/>
  <c r="AE21" i="20"/>
  <c r="AE4805" i="20"/>
  <c r="AE4796" i="20"/>
  <c r="AE4839" i="20"/>
  <c r="AE4793" i="20"/>
  <c r="AE4773" i="20"/>
  <c r="AE4575" i="20"/>
  <c r="AE4525" i="20"/>
  <c r="AE4345" i="20"/>
  <c r="AE4095" i="20"/>
  <c r="AE4005" i="20"/>
  <c r="AE3716" i="20"/>
  <c r="AE3689" i="20"/>
  <c r="AE3529" i="20"/>
  <c r="AE3439" i="20"/>
  <c r="AE3223" i="20"/>
  <c r="AE3207" i="20"/>
  <c r="AE3113" i="20"/>
  <c r="AE2957" i="20"/>
  <c r="AE2838" i="20"/>
  <c r="AG2722" i="20"/>
  <c r="AE2715" i="20"/>
  <c r="AE2647" i="20"/>
  <c r="AE2217" i="20"/>
  <c r="AE1882" i="20"/>
  <c r="AE1682" i="20"/>
  <c r="AE1657" i="20"/>
  <c r="AE1313" i="20"/>
  <c r="AE1273" i="20"/>
  <c r="AE1041" i="20"/>
  <c r="AE829" i="20"/>
  <c r="AE797" i="20"/>
  <c r="AE633" i="20"/>
  <c r="AE601" i="20"/>
  <c r="AE353" i="20"/>
  <c r="AE231" i="20"/>
  <c r="AE28" i="20"/>
  <c r="AE4854" i="20"/>
  <c r="AE4110" i="20"/>
  <c r="AE3624" i="20"/>
  <c r="AE3230" i="20"/>
  <c r="AE2388" i="20"/>
  <c r="AE2248" i="20"/>
  <c r="AE1725" i="20"/>
  <c r="AE594" i="20"/>
  <c r="AE4781" i="20"/>
  <c r="AE4074" i="20"/>
  <c r="AE3631" i="20"/>
  <c r="AE3588" i="20"/>
  <c r="AE3387" i="20"/>
  <c r="AE3378" i="20"/>
  <c r="AE3129" i="20"/>
  <c r="AE3096" i="20"/>
  <c r="AE2488" i="20"/>
  <c r="AE812" i="20"/>
  <c r="AE780" i="20"/>
  <c r="AE721" i="20"/>
  <c r="AE587" i="20"/>
  <c r="AE570" i="20"/>
  <c r="AE27" i="20"/>
  <c r="AE2443" i="20"/>
  <c r="AE2394" i="20"/>
  <c r="AE2222" i="20"/>
  <c r="AE2025" i="20"/>
  <c r="AE1992" i="20"/>
  <c r="AE1860" i="20"/>
  <c r="AE1345" i="20"/>
  <c r="AE1329" i="20"/>
  <c r="AE1272" i="20"/>
  <c r="AE737" i="20"/>
  <c r="AE219" i="20"/>
  <c r="AE4203" i="20"/>
  <c r="AF3637" i="20"/>
  <c r="AG3637" i="20" s="1"/>
  <c r="AE3462" i="20"/>
  <c r="AF3426" i="20"/>
  <c r="AG3426" i="20" s="1"/>
  <c r="AE3326" i="20"/>
  <c r="AF3214" i="20"/>
  <c r="AG3214" i="20" s="1"/>
  <c r="AF3190" i="20"/>
  <c r="AG3190" i="20" s="1"/>
  <c r="AE3045" i="20"/>
  <c r="AE2238" i="20"/>
  <c r="AE1878" i="20"/>
  <c r="AE1689" i="20"/>
  <c r="AE1168" i="20"/>
  <c r="AE1073" i="20"/>
  <c r="AE993" i="20"/>
  <c r="AE638" i="20"/>
  <c r="AE236" i="20"/>
  <c r="AE4777" i="20"/>
  <c r="AE4071" i="20"/>
  <c r="AE3721" i="20"/>
  <c r="AE3497" i="20"/>
  <c r="AE3319" i="20"/>
  <c r="AE3163" i="20"/>
  <c r="AE2859" i="20"/>
  <c r="AE2843" i="20"/>
  <c r="AE2426" i="20"/>
  <c r="AE2229" i="20"/>
  <c r="AE1697" i="20"/>
  <c r="AE598" i="20"/>
  <c r="AE4797" i="20"/>
  <c r="AE4761" i="20"/>
  <c r="AE4689" i="20"/>
  <c r="AE4376" i="20"/>
  <c r="AE4297" i="20"/>
  <c r="AE3956" i="20"/>
  <c r="AE3897" i="20"/>
  <c r="AE3821" i="20"/>
  <c r="AF3758" i="20"/>
  <c r="AG3758" i="20" s="1"/>
  <c r="AE3693" i="20"/>
  <c r="AE3418" i="20"/>
  <c r="AE3367" i="20"/>
  <c r="AE3024" i="20"/>
  <c r="AF2778" i="20"/>
  <c r="AG2778" i="20" s="1"/>
  <c r="AE2385" i="20"/>
  <c r="AE2377" i="20"/>
  <c r="AE2313" i="20"/>
  <c r="AE2245" i="20"/>
  <c r="AE637" i="20"/>
  <c r="AE4430" i="20"/>
  <c r="AF4430" i="20"/>
  <c r="AG4430" i="20" s="1"/>
  <c r="AE2588" i="20"/>
  <c r="AE2540" i="20"/>
  <c r="AE2408" i="20"/>
  <c r="AE2376" i="20"/>
  <c r="AE2062" i="20"/>
  <c r="AE1871" i="20"/>
  <c r="AE1861" i="20"/>
  <c r="AE1601" i="20"/>
  <c r="AE1546" i="20"/>
  <c r="AE1445" i="20"/>
  <c r="AE1215" i="20"/>
  <c r="AE1185" i="20"/>
  <c r="AE1169" i="20"/>
  <c r="AE1064" i="20"/>
  <c r="AE996" i="20"/>
  <c r="AE904" i="20"/>
  <c r="AE896" i="20"/>
  <c r="AE828" i="20"/>
  <c r="AE700" i="20"/>
  <c r="AE642" i="20"/>
  <c r="AE635" i="20"/>
  <c r="AE572" i="20"/>
  <c r="AE564" i="20"/>
  <c r="AE543" i="20"/>
  <c r="AE417" i="20"/>
  <c r="AE345" i="20"/>
  <c r="AE171" i="20"/>
  <c r="AF123" i="20"/>
  <c r="AG123" i="20" s="1"/>
  <c r="AE108" i="20"/>
  <c r="AE71" i="20"/>
  <c r="AE4152" i="20"/>
  <c r="AE4114" i="20"/>
  <c r="AE3836" i="20"/>
  <c r="AE3761" i="20"/>
  <c r="AE3612" i="20"/>
  <c r="AE3604" i="20"/>
  <c r="AE3549" i="20"/>
  <c r="AE3525" i="20"/>
  <c r="AE3450" i="20"/>
  <c r="AE3419" i="20"/>
  <c r="AE3215" i="20"/>
  <c r="AE3191" i="20"/>
  <c r="AE3109" i="20"/>
  <c r="AE2857" i="20"/>
  <c r="AG2730" i="20"/>
  <c r="AG2702" i="20"/>
  <c r="AE2265" i="20"/>
  <c r="AE2257" i="20"/>
  <c r="AE2054" i="20"/>
  <c r="AE2046" i="20"/>
  <c r="AE1690" i="20"/>
  <c r="AE1573" i="20"/>
  <c r="AE1522" i="20"/>
  <c r="AE1453" i="20"/>
  <c r="AE1377" i="20"/>
  <c r="AE1056" i="20"/>
  <c r="AE1033" i="20"/>
  <c r="AE989" i="20"/>
  <c r="AE621" i="20"/>
  <c r="AE352" i="20"/>
  <c r="AE337" i="20"/>
  <c r="AE63" i="20"/>
  <c r="AE4855" i="20"/>
  <c r="AE4847" i="20"/>
  <c r="AE4634" i="20"/>
  <c r="AE4616" i="20"/>
  <c r="AE4587" i="20"/>
  <c r="AG4571" i="20"/>
  <c r="AE4514" i="20"/>
  <c r="AE3963" i="20"/>
  <c r="AE3917" i="20"/>
  <c r="AE3635" i="20"/>
  <c r="AE3370" i="20"/>
  <c r="AE3354" i="20"/>
  <c r="AE3278" i="20"/>
  <c r="AE3157" i="20"/>
  <c r="AE3116" i="20"/>
  <c r="AE3093" i="20"/>
  <c r="AE2826" i="20"/>
  <c r="AE2694" i="20"/>
  <c r="AG2686" i="20"/>
  <c r="AE2437" i="20"/>
  <c r="AE2430" i="20"/>
  <c r="AE2360" i="20"/>
  <c r="AE2352" i="20"/>
  <c r="AE2337" i="20"/>
  <c r="AE2249" i="20"/>
  <c r="AE2173" i="20"/>
  <c r="AE2122" i="20"/>
  <c r="AE2107" i="20"/>
  <c r="AE2045" i="20"/>
  <c r="AE2029" i="20"/>
  <c r="AE2022" i="20"/>
  <c r="AE1936" i="20"/>
  <c r="AG1831" i="20"/>
  <c r="AE1793" i="20"/>
  <c r="AG1750" i="20"/>
  <c r="AE1104" i="20"/>
  <c r="AE1016" i="20"/>
  <c r="AE861" i="20"/>
  <c r="AE841" i="20"/>
  <c r="AE654" i="20"/>
  <c r="AE641" i="20"/>
  <c r="AE525" i="20"/>
  <c r="AE517" i="20"/>
  <c r="AE493" i="20"/>
  <c r="AE477" i="20"/>
  <c r="AE424" i="20"/>
  <c r="AE187" i="20"/>
  <c r="AE179" i="20"/>
  <c r="AE4862" i="20"/>
  <c r="AE4593" i="20"/>
  <c r="AF4159" i="20"/>
  <c r="AG4159" i="20" s="1"/>
  <c r="AE4024" i="20"/>
  <c r="AF3226" i="20"/>
  <c r="AG3226" i="20" s="1"/>
  <c r="AF3145" i="20"/>
  <c r="AG3145" i="20" s="1"/>
  <c r="AE2833" i="20"/>
  <c r="AE2817" i="20"/>
  <c r="AE2809" i="20"/>
  <c r="AF2794" i="20"/>
  <c r="AG2794" i="20" s="1"/>
  <c r="AE2296" i="20"/>
  <c r="AE2194" i="20"/>
  <c r="AE1729" i="20"/>
  <c r="AE1665" i="20"/>
  <c r="AE1458" i="20"/>
  <c r="AE1434" i="20"/>
  <c r="AE1426" i="20"/>
  <c r="AE1235" i="20"/>
  <c r="AE1212" i="20"/>
  <c r="AE1077" i="20"/>
  <c r="AE901" i="20"/>
  <c r="AE840" i="20"/>
  <c r="AF548" i="20"/>
  <c r="AG548" i="20" s="1"/>
  <c r="AE532" i="20"/>
  <c r="AE485" i="20"/>
  <c r="AE407" i="20"/>
  <c r="AE255" i="20"/>
  <c r="AE247" i="20"/>
  <c r="AF223" i="20"/>
  <c r="AG223" i="20" s="1"/>
  <c r="AE216" i="20"/>
  <c r="AE208" i="20"/>
  <c r="AE4846" i="20"/>
  <c r="AE4800" i="20"/>
  <c r="AF4793" i="20"/>
  <c r="AG4793" i="20" s="1"/>
  <c r="AE4048" i="20"/>
  <c r="AE4013" i="20"/>
  <c r="AE3749" i="20"/>
  <c r="AE3386" i="20"/>
  <c r="AE3307" i="20"/>
  <c r="AE3277" i="20"/>
  <c r="AF3256" i="20"/>
  <c r="AG3256" i="20" s="1"/>
  <c r="AE3178" i="20"/>
  <c r="AF3129" i="20"/>
  <c r="AG3129" i="20" s="1"/>
  <c r="AE3062" i="20"/>
  <c r="AE2992" i="20"/>
  <c r="AE2925" i="20"/>
  <c r="AE2908" i="20"/>
  <c r="AE2900" i="20"/>
  <c r="AG2728" i="20"/>
  <c r="AE2186" i="20"/>
  <c r="AG2059" i="20"/>
  <c r="AE1781" i="20"/>
  <c r="AE1770" i="20"/>
  <c r="AE1441" i="20"/>
  <c r="AE1286" i="20"/>
  <c r="AG1234" i="20"/>
  <c r="AE1084" i="20"/>
  <c r="AE809" i="20"/>
  <c r="AE756" i="20"/>
  <c r="AE625" i="20"/>
  <c r="AE263" i="20"/>
  <c r="AF231" i="20"/>
  <c r="AG231" i="20" s="1"/>
  <c r="AE4809" i="20"/>
  <c r="AE4561" i="20"/>
  <c r="AE3906" i="20"/>
  <c r="AE3633" i="20"/>
  <c r="AF3616" i="20"/>
  <c r="AG3616" i="20" s="1"/>
  <c r="AE3609" i="20"/>
  <c r="AE3375" i="20"/>
  <c r="AE3314" i="20"/>
  <c r="AE3269" i="20"/>
  <c r="AE3239" i="20"/>
  <c r="AE3162" i="20"/>
  <c r="AE2917" i="20"/>
  <c r="AE2879" i="20"/>
  <c r="AE2728" i="20"/>
  <c r="AE2660" i="20"/>
  <c r="AE2632" i="20"/>
  <c r="AE2537" i="20"/>
  <c r="AE2421" i="20"/>
  <c r="AE2326" i="20"/>
  <c r="AE2271" i="20"/>
  <c r="AE2066" i="20"/>
  <c r="AE2050" i="20"/>
  <c r="AE1790" i="20"/>
  <c r="AE1686" i="20"/>
  <c r="AE1646" i="20"/>
  <c r="AE1505" i="20"/>
  <c r="AF1457" i="20"/>
  <c r="AG1457" i="20" s="1"/>
  <c r="AE1326" i="20"/>
  <c r="AE1256" i="20"/>
  <c r="AE1149" i="20"/>
  <c r="AE940" i="20"/>
  <c r="AE908" i="20"/>
  <c r="AE848" i="20"/>
  <c r="AE475" i="20"/>
  <c r="AE436" i="20"/>
  <c r="AE135" i="20"/>
  <c r="AF4638" i="20"/>
  <c r="AG4638" i="20" s="1"/>
  <c r="AG4591" i="20"/>
  <c r="AF3895" i="20"/>
  <c r="AG3895" i="20" s="1"/>
  <c r="AF3045" i="20"/>
  <c r="AG3045" i="20" s="1"/>
  <c r="AE2342" i="20"/>
  <c r="AG1218" i="20"/>
  <c r="AE1060" i="20"/>
  <c r="AE4749" i="20"/>
  <c r="AE4621" i="20"/>
  <c r="AE4591" i="20"/>
  <c r="AE4511" i="20"/>
  <c r="AE4075" i="20"/>
  <c r="AE3940" i="20"/>
  <c r="AE3685" i="20"/>
  <c r="AE3679" i="20"/>
  <c r="AE3577" i="20"/>
  <c r="AE3342" i="20"/>
  <c r="AE3327" i="20"/>
  <c r="AE3306" i="20"/>
  <c r="AE3202" i="20"/>
  <c r="AE3154" i="20"/>
  <c r="AE2924" i="20"/>
  <c r="AE2799" i="20"/>
  <c r="AG2706" i="20"/>
  <c r="AE2509" i="20"/>
  <c r="AE2501" i="20"/>
  <c r="AE2402" i="20"/>
  <c r="AE2308" i="20"/>
  <c r="AE2239" i="20"/>
  <c r="AE2185" i="20"/>
  <c r="AE2105" i="20"/>
  <c r="AE1915" i="20"/>
  <c r="AE1758" i="20"/>
  <c r="AE1694" i="20"/>
  <c r="AE1654" i="20"/>
  <c r="AE1365" i="20"/>
  <c r="AE1341" i="20"/>
  <c r="AE1292" i="20"/>
  <c r="AE1277" i="20"/>
  <c r="AE969" i="20"/>
  <c r="AE856" i="20"/>
  <c r="AE553" i="20"/>
  <c r="AE372" i="20"/>
  <c r="AE199" i="20"/>
  <c r="AE4657" i="20"/>
  <c r="AE4094" i="20"/>
  <c r="AE4028" i="20"/>
  <c r="AE3765" i="20"/>
  <c r="AG3753" i="20"/>
  <c r="AE3653" i="20"/>
  <c r="AE3607" i="20"/>
  <c r="AE3429" i="20"/>
  <c r="AE3121" i="20"/>
  <c r="AE3104" i="20"/>
  <c r="AE3097" i="20"/>
  <c r="AE2719" i="20"/>
  <c r="AE2712" i="20"/>
  <c r="AE2640" i="20"/>
  <c r="AE2631" i="20"/>
  <c r="AE2565" i="20"/>
  <c r="AE2118" i="20"/>
  <c r="AG2079" i="20"/>
  <c r="AE2017" i="20"/>
  <c r="AE2002" i="20"/>
  <c r="AE1875" i="20"/>
  <c r="AG1855" i="20"/>
  <c r="AE1847" i="20"/>
  <c r="AE1662" i="20"/>
  <c r="AE1518" i="20"/>
  <c r="AE1354" i="20"/>
  <c r="AE960" i="20"/>
  <c r="AE837" i="20"/>
  <c r="AE696" i="20"/>
  <c r="AE651" i="20"/>
  <c r="AE630" i="20"/>
  <c r="AE552" i="20"/>
  <c r="AE528" i="20"/>
  <c r="AE513" i="20"/>
  <c r="AE4806" i="20"/>
  <c r="AE3913" i="20"/>
  <c r="AE3828" i="20"/>
  <c r="AF3677" i="20"/>
  <c r="AG3677" i="20" s="1"/>
  <c r="AG3591" i="20"/>
  <c r="AF3445" i="20"/>
  <c r="AG3445" i="20" s="1"/>
  <c r="AE3281" i="20"/>
  <c r="AF3096" i="20"/>
  <c r="AG3096" i="20" s="1"/>
  <c r="AE3032" i="20"/>
  <c r="AF565" i="20"/>
  <c r="AG565" i="20" s="1"/>
  <c r="AE4116" i="20"/>
  <c r="AE3893" i="20"/>
  <c r="AF3811" i="20"/>
  <c r="AG3811" i="20" s="1"/>
  <c r="AF3290" i="20"/>
  <c r="AG3290" i="20" s="1"/>
  <c r="AF3242" i="20"/>
  <c r="AG3242" i="20" s="1"/>
  <c r="AF3065" i="20"/>
  <c r="AG3065" i="20" s="1"/>
  <c r="AE2726" i="20"/>
  <c r="AG2696" i="20"/>
  <c r="AE2600" i="20"/>
  <c r="AF2016" i="20"/>
  <c r="AG2016" i="20" s="1"/>
  <c r="AE1826" i="20"/>
  <c r="AE1187" i="20"/>
  <c r="AE845" i="20"/>
  <c r="AE836" i="20"/>
  <c r="AE728" i="20"/>
  <c r="AF721" i="20"/>
  <c r="AG721" i="20" s="1"/>
  <c r="AE673" i="20"/>
  <c r="AE622" i="20"/>
  <c r="AE544" i="20"/>
  <c r="AF219" i="20"/>
  <c r="AG219" i="20" s="1"/>
  <c r="AE204" i="20"/>
  <c r="AE132" i="20"/>
  <c r="AF103" i="20"/>
  <c r="AG103" i="20" s="1"/>
  <c r="AF4834" i="20"/>
  <c r="AG4834" i="20" s="1"/>
  <c r="AF4805" i="20"/>
  <c r="AG4805" i="20" s="1"/>
  <c r="AE4780" i="20"/>
  <c r="AE4719" i="20"/>
  <c r="AF3955" i="20"/>
  <c r="AG3955" i="20" s="1"/>
  <c r="AF3636" i="20"/>
  <c r="AG3636" i="20" s="1"/>
  <c r="AF3508" i="20"/>
  <c r="AG3508" i="20" s="1"/>
  <c r="AE3477" i="20"/>
  <c r="AF3272" i="20"/>
  <c r="AG3272" i="20" s="1"/>
  <c r="AE2842" i="20"/>
  <c r="AE2369" i="20"/>
  <c r="AE2298" i="20"/>
  <c r="AE2266" i="20"/>
  <c r="AE2237" i="20"/>
  <c r="AE2213" i="20"/>
  <c r="AE2205" i="20"/>
  <c r="AE2197" i="20"/>
  <c r="AE2109" i="20"/>
  <c r="AE2008" i="20"/>
  <c r="AE1863" i="20"/>
  <c r="AE1854" i="20"/>
  <c r="AE1766" i="20"/>
  <c r="AE1617" i="20"/>
  <c r="AE1509" i="20"/>
  <c r="AE1486" i="20"/>
  <c r="AE1422" i="20"/>
  <c r="AE1378" i="20"/>
  <c r="AE1297" i="20"/>
  <c r="AE1245" i="20"/>
  <c r="AE1194" i="20"/>
  <c r="AE1164" i="20"/>
  <c r="AE1049" i="20"/>
  <c r="AE1008" i="20"/>
  <c r="AE821" i="20"/>
  <c r="AE753" i="20"/>
  <c r="AE736" i="20"/>
  <c r="AF572" i="20"/>
  <c r="AG572" i="20" s="1"/>
  <c r="AE536" i="20"/>
  <c r="AE377" i="20"/>
  <c r="AE235" i="20"/>
  <c r="AE72" i="20"/>
  <c r="AE4144" i="20"/>
  <c r="AE4026" i="20"/>
  <c r="AE4017" i="20"/>
  <c r="AE3781" i="20"/>
  <c r="AF3612" i="20"/>
  <c r="AG3612" i="20" s="1"/>
  <c r="AE3589" i="20"/>
  <c r="AE3533" i="20"/>
  <c r="AE3303" i="20"/>
  <c r="AE3235" i="20"/>
  <c r="AE3199" i="20"/>
  <c r="AE3151" i="20"/>
  <c r="AE3126" i="20"/>
  <c r="AE3110" i="20"/>
  <c r="AE2928" i="20"/>
  <c r="AE916" i="20"/>
  <c r="AC4188" i="20"/>
  <c r="AF4188" i="20" s="1"/>
  <c r="AG4188" i="20" s="1"/>
  <c r="AF4049" i="20"/>
  <c r="AG4049" i="20" s="1"/>
  <c r="AE4049" i="20"/>
  <c r="AE3915" i="20"/>
  <c r="AF3915" i="20"/>
  <c r="AG3915" i="20" s="1"/>
  <c r="AE3732" i="20"/>
  <c r="AF3732" i="20"/>
  <c r="AG3732" i="20" s="1"/>
  <c r="AE3669" i="20"/>
  <c r="AF3669" i="20"/>
  <c r="AG3669" i="20" s="1"/>
  <c r="AF3623" i="20"/>
  <c r="AG3623" i="20" s="1"/>
  <c r="AE3410" i="20"/>
  <c r="AF3410" i="20"/>
  <c r="AG3410" i="20" s="1"/>
  <c r="AE3019" i="20"/>
  <c r="AF3019" i="20"/>
  <c r="AG3019" i="20" s="1"/>
  <c r="AE3007" i="20"/>
  <c r="AF3007" i="20"/>
  <c r="AG3007" i="20" s="1"/>
  <c r="AE3003" i="20"/>
  <c r="AF3003" i="20"/>
  <c r="AG3003" i="20" s="1"/>
  <c r="AE2987" i="20"/>
  <c r="AF2987" i="20"/>
  <c r="AG2987" i="20" s="1"/>
  <c r="AE2960" i="20"/>
  <c r="AF2960" i="20"/>
  <c r="AG2960" i="20" s="1"/>
  <c r="AE2940" i="20"/>
  <c r="AF2940" i="20"/>
  <c r="AG2940" i="20" s="1"/>
  <c r="AF2742" i="20"/>
  <c r="AG2742" i="20" s="1"/>
  <c r="AE2742" i="20"/>
  <c r="AF2738" i="20"/>
  <c r="AG2738" i="20" s="1"/>
  <c r="AF2190" i="20"/>
  <c r="AG2190" i="20" s="1"/>
  <c r="AE2190" i="20"/>
  <c r="AF2166" i="20"/>
  <c r="AG2166" i="20" s="1"/>
  <c r="AE2166" i="20"/>
  <c r="AE2111" i="20"/>
  <c r="AF2111" i="20"/>
  <c r="AG2111" i="20" s="1"/>
  <c r="AF2043" i="20"/>
  <c r="AG2043" i="20" s="1"/>
  <c r="AF1923" i="20"/>
  <c r="AG1923" i="20" s="1"/>
  <c r="AE1923" i="20"/>
  <c r="AE1333" i="20"/>
  <c r="AF1333" i="20"/>
  <c r="AG1333" i="20" s="1"/>
  <c r="AE1309" i="20"/>
  <c r="AF1309" i="20"/>
  <c r="AG1309" i="20" s="1"/>
  <c r="AF1238" i="20"/>
  <c r="AG1238" i="20" s="1"/>
  <c r="AE1238" i="20"/>
  <c r="AE1189" i="20"/>
  <c r="AF1189" i="20"/>
  <c r="AG1189" i="20" s="1"/>
  <c r="AF1017" i="20"/>
  <c r="AG1017" i="20" s="1"/>
  <c r="AE1017" i="20"/>
  <c r="AE1000" i="20"/>
  <c r="AF1000" i="20"/>
  <c r="AG1000" i="20" s="1"/>
  <c r="AF981" i="20"/>
  <c r="AG981" i="20" s="1"/>
  <c r="AE981" i="20"/>
  <c r="AE793" i="20"/>
  <c r="AF793" i="20"/>
  <c r="AG793" i="20" s="1"/>
  <c r="AE789" i="20"/>
  <c r="AF789" i="20"/>
  <c r="AG789" i="20" s="1"/>
  <c r="AE670" i="20"/>
  <c r="AF670" i="20"/>
  <c r="AG670" i="20" s="1"/>
  <c r="AE540" i="20"/>
  <c r="AF540" i="20"/>
  <c r="AG540" i="20" s="1"/>
  <c r="AF523" i="20"/>
  <c r="AG523" i="20" s="1"/>
  <c r="AE523" i="20"/>
  <c r="AE515" i="20"/>
  <c r="AF515" i="20"/>
  <c r="AG515" i="20" s="1"/>
  <c r="AE499" i="20"/>
  <c r="AF499" i="20"/>
  <c r="AG499" i="20" s="1"/>
  <c r="AE488" i="20"/>
  <c r="AF488" i="20"/>
  <c r="AG488" i="20" s="1"/>
  <c r="AF280" i="20"/>
  <c r="AG280" i="20" s="1"/>
  <c r="AE280" i="20"/>
  <c r="AE155" i="20"/>
  <c r="AF155" i="20"/>
  <c r="AG155" i="20" s="1"/>
  <c r="AE4833" i="20"/>
  <c r="AF4809" i="20"/>
  <c r="AG4809" i="20" s="1"/>
  <c r="AE4784" i="20"/>
  <c r="AE4769" i="20"/>
  <c r="AG4758" i="20"/>
  <c r="AE4735" i="20"/>
  <c r="AG4684" i="20"/>
  <c r="AE4625" i="20"/>
  <c r="AG4623" i="20"/>
  <c r="AE4622" i="20"/>
  <c r="AE4620" i="20"/>
  <c r="AF4593" i="20"/>
  <c r="AG4593" i="20" s="1"/>
  <c r="AE4545" i="20"/>
  <c r="AG4523" i="20"/>
  <c r="AE4509" i="20"/>
  <c r="AG4491" i="20"/>
  <c r="AF4362" i="20"/>
  <c r="AG4362" i="20" s="1"/>
  <c r="AF4313" i="20"/>
  <c r="AG4313" i="20" s="1"/>
  <c r="AE4288" i="20"/>
  <c r="AF4203" i="20"/>
  <c r="AG4203" i="20" s="1"/>
  <c r="AF4053" i="20"/>
  <c r="AG4053" i="20" s="1"/>
  <c r="AE4053" i="20"/>
  <c r="AE4004" i="20"/>
  <c r="AF4004" i="20"/>
  <c r="AG4004" i="20" s="1"/>
  <c r="AF3796" i="20"/>
  <c r="AG3796" i="20" s="1"/>
  <c r="AE3796" i="20"/>
  <c r="AE3777" i="20"/>
  <c r="AF3777" i="20"/>
  <c r="AG3777" i="20" s="1"/>
  <c r="AE3770" i="20"/>
  <c r="AF3770" i="20"/>
  <c r="AG3770" i="20" s="1"/>
  <c r="AE3724" i="20"/>
  <c r="AF3724" i="20"/>
  <c r="AG3724" i="20" s="1"/>
  <c r="AE3708" i="20"/>
  <c r="AF3708" i="20"/>
  <c r="AG3708" i="20" s="1"/>
  <c r="AE3701" i="20"/>
  <c r="AF3701" i="20"/>
  <c r="AG3701" i="20" s="1"/>
  <c r="AF3576" i="20"/>
  <c r="AG3576" i="20" s="1"/>
  <c r="AE3576" i="20"/>
  <c r="AF3469" i="20"/>
  <c r="AG3469" i="20" s="1"/>
  <c r="AE3402" i="20"/>
  <c r="AF3402" i="20"/>
  <c r="AG3402" i="20" s="1"/>
  <c r="AE3201" i="20"/>
  <c r="AF3201" i="20"/>
  <c r="AG3201" i="20" s="1"/>
  <c r="AE3173" i="20"/>
  <c r="AF3173" i="20"/>
  <c r="AG3173" i="20" s="1"/>
  <c r="AE3158" i="20"/>
  <c r="AF3158" i="20"/>
  <c r="AG3158" i="20" s="1"/>
  <c r="AE3117" i="20"/>
  <c r="AF3117" i="20"/>
  <c r="AG3117" i="20" s="1"/>
  <c r="AF2758" i="20"/>
  <c r="AG2758" i="20" s="1"/>
  <c r="AE2758" i="20"/>
  <c r="AE2753" i="20"/>
  <c r="AF2753" i="20"/>
  <c r="AG2753" i="20" s="1"/>
  <c r="AE2749" i="20"/>
  <c r="AF2749" i="20"/>
  <c r="AG2749" i="20" s="1"/>
  <c r="AF2592" i="20"/>
  <c r="AG2592" i="20" s="1"/>
  <c r="AE2592" i="20"/>
  <c r="AF2502" i="20"/>
  <c r="AG2502" i="20" s="1"/>
  <c r="AE2502" i="20"/>
  <c r="AF2398" i="20"/>
  <c r="AG2398" i="20" s="1"/>
  <c r="AE2398" i="20"/>
  <c r="AF2318" i="20"/>
  <c r="AG2318" i="20" s="1"/>
  <c r="AE2318" i="20"/>
  <c r="AE4858" i="20"/>
  <c r="AF4854" i="20"/>
  <c r="AG4854" i="20" s="1"/>
  <c r="AF4846" i="20"/>
  <c r="AG4846" i="20" s="1"/>
  <c r="AE4838" i="20"/>
  <c r="AE4829" i="20"/>
  <c r="AE4825" i="20"/>
  <c r="AE4813" i="20"/>
  <c r="AF4781" i="20"/>
  <c r="AG4781" i="20" s="1"/>
  <c r="AF4777" i="20"/>
  <c r="AG4777" i="20" s="1"/>
  <c r="AF4776" i="20"/>
  <c r="AG4776" i="20" s="1"/>
  <c r="AE4702" i="20"/>
  <c r="AE4683" i="20"/>
  <c r="AE4650" i="20"/>
  <c r="AE4626" i="20"/>
  <c r="AF4618" i="20"/>
  <c r="AG4618" i="20" s="1"/>
  <c r="AE4610" i="20"/>
  <c r="AE4609" i="20"/>
  <c r="AE4589" i="20"/>
  <c r="AG4588" i="20"/>
  <c r="AE4573" i="20"/>
  <c r="AG4572" i="20"/>
  <c r="AE4566" i="20"/>
  <c r="AE4557" i="20"/>
  <c r="AG4556" i="20"/>
  <c r="AE4554" i="20"/>
  <c r="AF4550" i="20"/>
  <c r="AG4550" i="20" s="1"/>
  <c r="AF4540" i="20"/>
  <c r="AG4540" i="20" s="1"/>
  <c r="AE4534" i="20"/>
  <c r="AE4530" i="20"/>
  <c r="AE4527" i="20"/>
  <c r="AF4524" i="20"/>
  <c r="AG4524" i="20" s="1"/>
  <c r="AE4523" i="20"/>
  <c r="AE4510" i="20"/>
  <c r="AG4507" i="20"/>
  <c r="AE4494" i="20"/>
  <c r="AF4345" i="20"/>
  <c r="AG4345" i="20" s="1"/>
  <c r="AF4284" i="20"/>
  <c r="AG4284" i="20" s="1"/>
  <c r="AE4231" i="20"/>
  <c r="AE4209" i="20"/>
  <c r="AE4204" i="20"/>
  <c r="AE4196" i="20"/>
  <c r="AF3780" i="20"/>
  <c r="AG3780" i="20" s="1"/>
  <c r="AE3672" i="20"/>
  <c r="AF3672" i="20"/>
  <c r="AG3672" i="20" s="1"/>
  <c r="AE3664" i="20"/>
  <c r="AF3664" i="20"/>
  <c r="AG3664" i="20" s="1"/>
  <c r="AE3540" i="20"/>
  <c r="AF3540" i="20"/>
  <c r="AG3540" i="20" s="1"/>
  <c r="AE3394" i="20"/>
  <c r="AE3084" i="20"/>
  <c r="AF3084" i="20"/>
  <c r="AG3084" i="20" s="1"/>
  <c r="AF2648" i="20"/>
  <c r="AG2648" i="20" s="1"/>
  <c r="AE2648" i="20"/>
  <c r="AF2644" i="20"/>
  <c r="AG2644" i="20" s="1"/>
  <c r="AE2644" i="20"/>
  <c r="AE4859" i="20"/>
  <c r="AE4843" i="20"/>
  <c r="AE4818" i="20"/>
  <c r="AE4817" i="20"/>
  <c r="AE4765" i="20"/>
  <c r="AE4753" i="20"/>
  <c r="AG4719" i="20"/>
  <c r="AE4662" i="20"/>
  <c r="AE4655" i="20"/>
  <c r="AE4651" i="20"/>
  <c r="AE4594" i="20"/>
  <c r="AE4543" i="20"/>
  <c r="AE4507" i="20"/>
  <c r="AE4502" i="20"/>
  <c r="AE4380" i="20"/>
  <c r="AE4363" i="20"/>
  <c r="AE4319" i="20"/>
  <c r="AE4265" i="20"/>
  <c r="AE4183" i="20"/>
  <c r="AE3774" i="20"/>
  <c r="AF3774" i="20"/>
  <c r="AG3774" i="20" s="1"/>
  <c r="AF3769" i="20"/>
  <c r="AG3769" i="20" s="1"/>
  <c r="AF3728" i="20"/>
  <c r="AG3728" i="20" s="1"/>
  <c r="AE3728" i="20"/>
  <c r="AE3186" i="20"/>
  <c r="AF3186" i="20"/>
  <c r="AG3186" i="20" s="1"/>
  <c r="AE3170" i="20"/>
  <c r="AF3170" i="20"/>
  <c r="AG3170" i="20" s="1"/>
  <c r="AE147" i="20"/>
  <c r="AF147" i="20"/>
  <c r="AG147" i="20" s="1"/>
  <c r="AE139" i="20"/>
  <c r="AF139" i="20"/>
  <c r="AG139" i="20" s="1"/>
  <c r="AF124" i="20"/>
  <c r="AG124" i="20" s="1"/>
  <c r="AE124" i="20"/>
  <c r="AE95" i="20"/>
  <c r="AF95" i="20"/>
  <c r="AG95" i="20" s="1"/>
  <c r="AF80" i="20"/>
  <c r="AG80" i="20" s="1"/>
  <c r="AE80" i="20"/>
  <c r="AF76" i="20"/>
  <c r="AG76" i="20" s="1"/>
  <c r="AE76" i="20"/>
  <c r="AF68" i="20"/>
  <c r="AG68" i="20" s="1"/>
  <c r="AE68" i="20"/>
  <c r="AE12" i="20"/>
  <c r="AF12" i="20"/>
  <c r="AG12" i="20" s="1"/>
  <c r="AE4120" i="20"/>
  <c r="AF4110" i="20"/>
  <c r="AG4110" i="20" s="1"/>
  <c r="AF4044" i="20"/>
  <c r="AG4044" i="20" s="1"/>
  <c r="AE4033" i="20"/>
  <c r="AE4029" i="20"/>
  <c r="AE4020" i="20"/>
  <c r="AE3920" i="20"/>
  <c r="AE3899" i="20"/>
  <c r="AE3887" i="20"/>
  <c r="AE3868" i="20"/>
  <c r="AE3864" i="20"/>
  <c r="AE3844" i="20"/>
  <c r="AE3815" i="20"/>
  <c r="AE3801" i="20"/>
  <c r="AE3799" i="20"/>
  <c r="AE3792" i="20"/>
  <c r="AE3753" i="20"/>
  <c r="AE3751" i="20"/>
  <c r="AF3719" i="20"/>
  <c r="AG3719" i="20" s="1"/>
  <c r="AE3715" i="20"/>
  <c r="AE3713" i="20"/>
  <c r="AE3627" i="20"/>
  <c r="AE3474" i="20"/>
  <c r="AE3468" i="20"/>
  <c r="AF3462" i="20"/>
  <c r="AG3462" i="20" s="1"/>
  <c r="AE3456" i="20"/>
  <c r="AE3451" i="20"/>
  <c r="AF3429" i="20"/>
  <c r="AG3429" i="20" s="1"/>
  <c r="AE3217" i="20"/>
  <c r="AE3213" i="20"/>
  <c r="AE3193" i="20"/>
  <c r="AE3174" i="20"/>
  <c r="AE3144" i="20"/>
  <c r="AE3128" i="20"/>
  <c r="AE3112" i="20"/>
  <c r="AE3100" i="20"/>
  <c r="AE3080" i="20"/>
  <c r="AE2801" i="20"/>
  <c r="AF2801" i="20"/>
  <c r="AG2801" i="20" s="1"/>
  <c r="AE2793" i="20"/>
  <c r="AF2714" i="20"/>
  <c r="AG2714" i="20" s="1"/>
  <c r="AE2685" i="20"/>
  <c r="AF2685" i="20"/>
  <c r="AG2685" i="20" s="1"/>
  <c r="AF2668" i="20"/>
  <c r="AG2668" i="20" s="1"/>
  <c r="AE2668" i="20"/>
  <c r="AF2454" i="20"/>
  <c r="AG2454" i="20" s="1"/>
  <c r="AE2454" i="20"/>
  <c r="AF2406" i="20"/>
  <c r="AG2406" i="20" s="1"/>
  <c r="AE2406" i="20"/>
  <c r="AF2390" i="20"/>
  <c r="AG2390" i="20" s="1"/>
  <c r="AE2390" i="20"/>
  <c r="AF2374" i="20"/>
  <c r="AG2374" i="20" s="1"/>
  <c r="AE2374" i="20"/>
  <c r="AE2335" i="20"/>
  <c r="AF2230" i="20"/>
  <c r="AG2230" i="20" s="1"/>
  <c r="AE2230" i="20"/>
  <c r="AE2211" i="20"/>
  <c r="AF2211" i="20"/>
  <c r="AG2211" i="20" s="1"/>
  <c r="AE2179" i="20"/>
  <c r="AF2179" i="20"/>
  <c r="AG2179" i="20" s="1"/>
  <c r="AE2155" i="20"/>
  <c r="AF2155" i="20"/>
  <c r="AG2155" i="20" s="1"/>
  <c r="AF2134" i="20"/>
  <c r="AG2134" i="20" s="1"/>
  <c r="AE2134" i="20"/>
  <c r="AF2087" i="20"/>
  <c r="AG2087" i="20" s="1"/>
  <c r="AE2024" i="20"/>
  <c r="AF2024" i="20"/>
  <c r="AG2024" i="20" s="1"/>
  <c r="AF1880" i="20"/>
  <c r="AG1880" i="20" s="1"/>
  <c r="AE1632" i="20"/>
  <c r="AF1632" i="20"/>
  <c r="AG1632" i="20" s="1"/>
  <c r="AF1629" i="20"/>
  <c r="AG1629" i="20" s="1"/>
  <c r="AE1629" i="20"/>
  <c r="AE1525" i="20"/>
  <c r="AF1525" i="20"/>
  <c r="AG1525" i="20" s="1"/>
  <c r="AE1492" i="20"/>
  <c r="AF1492" i="20"/>
  <c r="AG1492" i="20" s="1"/>
  <c r="AE4058" i="20"/>
  <c r="AE3891" i="20"/>
  <c r="AE3860" i="20"/>
  <c r="AE3745" i="20"/>
  <c r="AF3656" i="20"/>
  <c r="AG3656" i="20" s="1"/>
  <c r="AE3645" i="20"/>
  <c r="AE3629" i="20"/>
  <c r="AE3619" i="20"/>
  <c r="AE3552" i="20"/>
  <c r="AE3545" i="20"/>
  <c r="AE3513" i="20"/>
  <c r="AE3434" i="20"/>
  <c r="AF3394" i="20"/>
  <c r="AG3394" i="20" s="1"/>
  <c r="AE3371" i="20"/>
  <c r="AE3233" i="20"/>
  <c r="AE3231" i="20"/>
  <c r="AE3229" i="20"/>
  <c r="AE3218" i="20"/>
  <c r="AE3209" i="20"/>
  <c r="AE3179" i="20"/>
  <c r="AE3175" i="20"/>
  <c r="AE3132" i="20"/>
  <c r="AE3122" i="20"/>
  <c r="AE3089" i="20"/>
  <c r="AE3082" i="20"/>
  <c r="AE3077" i="20"/>
  <c r="AE3070" i="20"/>
  <c r="AF3061" i="20"/>
  <c r="AG3061" i="20" s="1"/>
  <c r="AE3061" i="20"/>
  <c r="AF3049" i="20"/>
  <c r="AG3049" i="20" s="1"/>
  <c r="AE3049" i="20"/>
  <c r="AE3035" i="20"/>
  <c r="AF3035" i="20"/>
  <c r="AG3035" i="20" s="1"/>
  <c r="AE2980" i="20"/>
  <c r="AF2980" i="20"/>
  <c r="AG2980" i="20" s="1"/>
  <c r="AE2777" i="20"/>
  <c r="AF2752" i="20"/>
  <c r="AG2752" i="20" s="1"/>
  <c r="AE2752" i="20"/>
  <c r="AE2717" i="20"/>
  <c r="AF2717" i="20"/>
  <c r="AG2717" i="20" s="1"/>
  <c r="AF2698" i="20"/>
  <c r="AG2698" i="20" s="1"/>
  <c r="AF2678" i="20"/>
  <c r="AG2678" i="20" s="1"/>
  <c r="AE2678" i="20"/>
  <c r="AF2674" i="20"/>
  <c r="AG2674" i="20" s="1"/>
  <c r="AE2659" i="20"/>
  <c r="AF2659" i="20"/>
  <c r="AG2659" i="20" s="1"/>
  <c r="AE2568" i="20"/>
  <c r="AF2523" i="20"/>
  <c r="AG2523" i="20" s="1"/>
  <c r="AE2523" i="20"/>
  <c r="AE2466" i="20"/>
  <c r="AE2442" i="20"/>
  <c r="AE2409" i="20"/>
  <c r="AE2344" i="20"/>
  <c r="AF2322" i="20"/>
  <c r="AG2322" i="20" s="1"/>
  <c r="AE2322" i="20"/>
  <c r="AF2290" i="20"/>
  <c r="AG2290" i="20" s="1"/>
  <c r="AE2290" i="20"/>
  <c r="AF2182" i="20"/>
  <c r="AG2182" i="20" s="1"/>
  <c r="AE2182" i="20"/>
  <c r="AF2126" i="20"/>
  <c r="AG2126" i="20" s="1"/>
  <c r="AE2126" i="20"/>
  <c r="AF2055" i="20"/>
  <c r="AG2055" i="20" s="1"/>
  <c r="AE1557" i="20"/>
  <c r="AF1557" i="20"/>
  <c r="AG1557" i="20" s="1"/>
  <c r="AE4119" i="20"/>
  <c r="AE4091" i="20"/>
  <c r="AE4061" i="20"/>
  <c r="AE4034" i="20"/>
  <c r="AE3985" i="20"/>
  <c r="AE3972" i="20"/>
  <c r="AE3971" i="20"/>
  <c r="AE3960" i="20"/>
  <c r="AE3948" i="20"/>
  <c r="AE3907" i="20"/>
  <c r="AE3901" i="20"/>
  <c r="AE3856" i="20"/>
  <c r="AE3845" i="20"/>
  <c r="AE3825" i="20"/>
  <c r="AE3813" i="20"/>
  <c r="AE3809" i="20"/>
  <c r="AF3799" i="20"/>
  <c r="AG3799" i="20" s="1"/>
  <c r="AE3785" i="20"/>
  <c r="AE3750" i="20"/>
  <c r="AE3717" i="20"/>
  <c r="AE3673" i="20"/>
  <c r="AE3632" i="20"/>
  <c r="AF3627" i="20"/>
  <c r="AG3627" i="20" s="1"/>
  <c r="AE3601" i="20"/>
  <c r="AE3573" i="20"/>
  <c r="AE3541" i="20"/>
  <c r="AE3536" i="20"/>
  <c r="AE3481" i="20"/>
  <c r="AE3399" i="20"/>
  <c r="AE3391" i="20"/>
  <c r="AE3311" i="20"/>
  <c r="AE3294" i="20"/>
  <c r="AE3234" i="20"/>
  <c r="AE3219" i="20"/>
  <c r="AF3213" i="20"/>
  <c r="AG3213" i="20" s="1"/>
  <c r="AE3206" i="20"/>
  <c r="AF3193" i="20"/>
  <c r="AG3193" i="20" s="1"/>
  <c r="AE3159" i="20"/>
  <c r="AF3144" i="20"/>
  <c r="AG3144" i="20" s="1"/>
  <c r="AF3128" i="20"/>
  <c r="AG3128" i="20" s="1"/>
  <c r="AE3114" i="20"/>
  <c r="AF3112" i="20"/>
  <c r="AG3112" i="20" s="1"/>
  <c r="AE3105" i="20"/>
  <c r="AF3100" i="20"/>
  <c r="AG3100" i="20" s="1"/>
  <c r="AE3094" i="20"/>
  <c r="AE3090" i="20"/>
  <c r="AF3080" i="20"/>
  <c r="AG3080" i="20" s="1"/>
  <c r="AE3078" i="20"/>
  <c r="AE3052" i="20"/>
  <c r="AF3052" i="20"/>
  <c r="AG3052" i="20" s="1"/>
  <c r="AE3016" i="20"/>
  <c r="AE3001" i="20"/>
  <c r="AE2981" i="20"/>
  <c r="AE2907" i="20"/>
  <c r="AF2907" i="20"/>
  <c r="AG2907" i="20" s="1"/>
  <c r="AE2815" i="20"/>
  <c r="AF2744" i="20"/>
  <c r="AG2744" i="20" s="1"/>
  <c r="AE2744" i="20"/>
  <c r="AE2611" i="20"/>
  <c r="AF2611" i="20"/>
  <c r="AG2611" i="20" s="1"/>
  <c r="AF2536" i="20"/>
  <c r="AG2536" i="20" s="1"/>
  <c r="AE2536" i="20"/>
  <c r="AF2470" i="20"/>
  <c r="AG2470" i="20" s="1"/>
  <c r="AE2470" i="20"/>
  <c r="AE2449" i="20"/>
  <c r="AF2446" i="20"/>
  <c r="AG2446" i="20" s="1"/>
  <c r="AE2446" i="20"/>
  <c r="AF2418" i="20"/>
  <c r="AG2418" i="20" s="1"/>
  <c r="AE2418" i="20"/>
  <c r="AE2411" i="20"/>
  <c r="AF2411" i="20"/>
  <c r="AG2411" i="20" s="1"/>
  <c r="AF2330" i="20"/>
  <c r="AG2330" i="20" s="1"/>
  <c r="AE2330" i="20"/>
  <c r="AE2302" i="20"/>
  <c r="AF2198" i="20"/>
  <c r="AG2198" i="20" s="1"/>
  <c r="AE2198" i="20"/>
  <c r="AF2174" i="20"/>
  <c r="AG2174" i="20" s="1"/>
  <c r="AE2174" i="20"/>
  <c r="AE2163" i="20"/>
  <c r="AF2163" i="20"/>
  <c r="AG2163" i="20" s="1"/>
  <c r="AF2138" i="20"/>
  <c r="AG2138" i="20" s="1"/>
  <c r="AE2138" i="20"/>
  <c r="AE1597" i="20"/>
  <c r="AF1597" i="20"/>
  <c r="AG1597" i="20" s="1"/>
  <c r="AE1588" i="20"/>
  <c r="AF1588" i="20"/>
  <c r="AG1588" i="20" s="1"/>
  <c r="AE2244" i="20"/>
  <c r="AE2212" i="20"/>
  <c r="AE2200" i="20"/>
  <c r="AE2164" i="20"/>
  <c r="AE2156" i="20"/>
  <c r="AE2148" i="20"/>
  <c r="AE2143" i="20"/>
  <c r="AE2135" i="20"/>
  <c r="AE2120" i="20"/>
  <c r="AE2104" i="20"/>
  <c r="AE2090" i="20"/>
  <c r="AE2086" i="20"/>
  <c r="AE2036" i="20"/>
  <c r="AE2020" i="20"/>
  <c r="AE2010" i="20"/>
  <c r="AE1785" i="20"/>
  <c r="AF1785" i="20"/>
  <c r="AG1785" i="20" s="1"/>
  <c r="AE1761" i="20"/>
  <c r="AE1741" i="20"/>
  <c r="AF1741" i="20"/>
  <c r="AG1741" i="20" s="1"/>
  <c r="AF1693" i="20"/>
  <c r="AG1693" i="20" s="1"/>
  <c r="AE1693" i="20"/>
  <c r="AE1637" i="20"/>
  <c r="AE1604" i="20"/>
  <c r="AF1604" i="20"/>
  <c r="AG1604" i="20" s="1"/>
  <c r="AE1558" i="20"/>
  <c r="AE1542" i="20"/>
  <c r="AE1454" i="20"/>
  <c r="AF1429" i="20"/>
  <c r="AG1429" i="20" s="1"/>
  <c r="AE1429" i="20"/>
  <c r="AE1393" i="20"/>
  <c r="AF1393" i="20"/>
  <c r="AG1393" i="20" s="1"/>
  <c r="AE1373" i="20"/>
  <c r="AF1373" i="20"/>
  <c r="AG1373" i="20" s="1"/>
  <c r="AE1288" i="20"/>
  <c r="AF1288" i="20"/>
  <c r="AG1288" i="20" s="1"/>
  <c r="AF1281" i="20"/>
  <c r="AG1281" i="20" s="1"/>
  <c r="AE1281" i="20"/>
  <c r="AE1249" i="20"/>
  <c r="AE1180" i="20"/>
  <c r="AE1148" i="20"/>
  <c r="AE1133" i="20"/>
  <c r="AF1133" i="20"/>
  <c r="AG1133" i="20" s="1"/>
  <c r="AF1053" i="20"/>
  <c r="AG1053" i="20" s="1"/>
  <c r="AE1029" i="20"/>
  <c r="AF1029" i="20"/>
  <c r="AG1029" i="20" s="1"/>
  <c r="AE925" i="20"/>
  <c r="AF925" i="20"/>
  <c r="AG925" i="20" s="1"/>
  <c r="AE824" i="20"/>
  <c r="AF824" i="20"/>
  <c r="AG824" i="20" s="1"/>
  <c r="AF800" i="20"/>
  <c r="AG800" i="20" s="1"/>
  <c r="AE800" i="20"/>
  <c r="AE749" i="20"/>
  <c r="AF749" i="20"/>
  <c r="AG749" i="20" s="1"/>
  <c r="AE665" i="20"/>
  <c r="AF665" i="20"/>
  <c r="AG665" i="20" s="1"/>
  <c r="AE3068" i="20"/>
  <c r="AE3066" i="20"/>
  <c r="AE3057" i="20"/>
  <c r="AE2991" i="20"/>
  <c r="AE2983" i="20"/>
  <c r="AE2972" i="20"/>
  <c r="AE2895" i="20"/>
  <c r="AE2825" i="20"/>
  <c r="AE2811" i="20"/>
  <c r="AE2795" i="20"/>
  <c r="AE2745" i="20"/>
  <c r="AE2721" i="20"/>
  <c r="AE2689" i="20"/>
  <c r="AE2669" i="20"/>
  <c r="AE2635" i="20"/>
  <c r="AE2522" i="20"/>
  <c r="AE2476" i="20"/>
  <c r="AE2452" i="20"/>
  <c r="AE2435" i="20"/>
  <c r="AE2428" i="20"/>
  <c r="AE2399" i="20"/>
  <c r="AE2396" i="20"/>
  <c r="AE2372" i="20"/>
  <c r="AE2364" i="20"/>
  <c r="AE2356" i="20"/>
  <c r="AE2347" i="20"/>
  <c r="AE2340" i="20"/>
  <c r="AE2323" i="20"/>
  <c r="AE2300" i="20"/>
  <c r="AE2288" i="20"/>
  <c r="AE2283" i="20"/>
  <c r="AE2276" i="20"/>
  <c r="AE2227" i="20"/>
  <c r="AE2219" i="20"/>
  <c r="AE2215" i="20"/>
  <c r="AE2203" i="20"/>
  <c r="AE2192" i="20"/>
  <c r="AE2176" i="20"/>
  <c r="AE2151" i="20"/>
  <c r="AE2123" i="20"/>
  <c r="AE2113" i="20"/>
  <c r="AE1955" i="20"/>
  <c r="AE1850" i="20"/>
  <c r="AE1589" i="20"/>
  <c r="AF1589" i="20"/>
  <c r="AG1589" i="20" s="1"/>
  <c r="AE1561" i="20"/>
  <c r="AF1561" i="20"/>
  <c r="AG1561" i="20" s="1"/>
  <c r="AF1553" i="20"/>
  <c r="AG1553" i="20" s="1"/>
  <c r="AE1553" i="20"/>
  <c r="AF1489" i="20"/>
  <c r="AG1489" i="20" s="1"/>
  <c r="AE1489" i="20"/>
  <c r="AE1485" i="20"/>
  <c r="AF1485" i="20"/>
  <c r="AG1485" i="20" s="1"/>
  <c r="AE1364" i="20"/>
  <c r="AF1364" i="20"/>
  <c r="AG1364" i="20" s="1"/>
  <c r="AE1301" i="20"/>
  <c r="AF1270" i="20"/>
  <c r="AG1270" i="20" s="1"/>
  <c r="AE1205" i="20"/>
  <c r="AF1205" i="20"/>
  <c r="AG1205" i="20" s="1"/>
  <c r="AF1190" i="20"/>
  <c r="AG1190" i="20" s="1"/>
  <c r="AE1190" i="20"/>
  <c r="AE1088" i="20"/>
  <c r="AF1088" i="20"/>
  <c r="AG1088" i="20" s="1"/>
  <c r="AE1005" i="20"/>
  <c r="AF1005" i="20"/>
  <c r="AG1005" i="20" s="1"/>
  <c r="AE997" i="20"/>
  <c r="AF997" i="20"/>
  <c r="AG997" i="20" s="1"/>
  <c r="AE912" i="20"/>
  <c r="AF912" i="20"/>
  <c r="AG912" i="20" s="1"/>
  <c r="AE889" i="20"/>
  <c r="AF889" i="20"/>
  <c r="AG889" i="20" s="1"/>
  <c r="AE868" i="20"/>
  <c r="AF868" i="20"/>
  <c r="AG868" i="20" s="1"/>
  <c r="AE792" i="20"/>
  <c r="AF792" i="20"/>
  <c r="AG792" i="20" s="1"/>
  <c r="AE732" i="20"/>
  <c r="AF732" i="20"/>
  <c r="AG732" i="20" s="1"/>
  <c r="AF677" i="20"/>
  <c r="AG677" i="20" s="1"/>
  <c r="AE677" i="20"/>
  <c r="AE669" i="20"/>
  <c r="AF669" i="20"/>
  <c r="AG669" i="20" s="1"/>
  <c r="AE3054" i="20"/>
  <c r="AE3046" i="20"/>
  <c r="AE3025" i="20"/>
  <c r="AE3012" i="20"/>
  <c r="AE3000" i="20"/>
  <c r="AE2973" i="20"/>
  <c r="AE2967" i="20"/>
  <c r="AE2965" i="20"/>
  <c r="AE2949" i="20"/>
  <c r="AE2929" i="20"/>
  <c r="AE2921" i="20"/>
  <c r="AE2896" i="20"/>
  <c r="AE2888" i="20"/>
  <c r="AE2880" i="20"/>
  <c r="AE2872" i="20"/>
  <c r="AE2847" i="20"/>
  <c r="AE2831" i="20"/>
  <c r="AE2827" i="20"/>
  <c r="AE2806" i="20"/>
  <c r="AE2790" i="20"/>
  <c r="AE2783" i="20"/>
  <c r="AE2774" i="20"/>
  <c r="AE2767" i="20"/>
  <c r="AE2734" i="20"/>
  <c r="AE2731" i="20"/>
  <c r="AE2619" i="20"/>
  <c r="AE2559" i="20"/>
  <c r="AE2551" i="20"/>
  <c r="AE2545" i="20"/>
  <c r="AE2532" i="20"/>
  <c r="AE2497" i="20"/>
  <c r="AE2493" i="20"/>
  <c r="AE2485" i="20"/>
  <c r="AE2477" i="20"/>
  <c r="AE2457" i="20"/>
  <c r="AE2453" i="20"/>
  <c r="AE2429" i="20"/>
  <c r="AE2392" i="20"/>
  <c r="AE2373" i="20"/>
  <c r="AE2357" i="20"/>
  <c r="AE2348" i="20"/>
  <c r="AE2341" i="20"/>
  <c r="AE2314" i="20"/>
  <c r="AE2306" i="20"/>
  <c r="AE2301" i="20"/>
  <c r="AE2289" i="20"/>
  <c r="AE2273" i="20"/>
  <c r="AE2268" i="20"/>
  <c r="AE2246" i="20"/>
  <c r="AE2241" i="20"/>
  <c r="AE2234" i="20"/>
  <c r="AE2226" i="20"/>
  <c r="AE2225" i="20"/>
  <c r="AE2214" i="20"/>
  <c r="AE2202" i="20"/>
  <c r="AE2184" i="20"/>
  <c r="AE2177" i="20"/>
  <c r="AE2150" i="20"/>
  <c r="AG2099" i="20"/>
  <c r="AE2098" i="20"/>
  <c r="AE2093" i="20"/>
  <c r="AE2077" i="20"/>
  <c r="AG2075" i="20"/>
  <c r="AE2063" i="20"/>
  <c r="AE2061" i="20"/>
  <c r="AE2018" i="20"/>
  <c r="AE2013" i="20"/>
  <c r="AE1994" i="20"/>
  <c r="AE1914" i="20"/>
  <c r="AE1911" i="20"/>
  <c r="AE1901" i="20"/>
  <c r="AE1890" i="20"/>
  <c r="AE1880" i="20"/>
  <c r="AG1872" i="20"/>
  <c r="AE1846" i="20"/>
  <c r="AE1817" i="20"/>
  <c r="AE1752" i="20"/>
  <c r="AF1752" i="20"/>
  <c r="AG1752" i="20" s="1"/>
  <c r="AF1697" i="20"/>
  <c r="AG1697" i="20" s="1"/>
  <c r="AE1685" i="20"/>
  <c r="AF1685" i="20"/>
  <c r="AG1685" i="20" s="1"/>
  <c r="AE1677" i="20"/>
  <c r="AF1677" i="20"/>
  <c r="AG1677" i="20" s="1"/>
  <c r="AE1626" i="20"/>
  <c r="AE1610" i="20"/>
  <c r="AE1590" i="20"/>
  <c r="AE1562" i="20"/>
  <c r="AE1513" i="20"/>
  <c r="AF1513" i="20"/>
  <c r="AG1513" i="20" s="1"/>
  <c r="AF1461" i="20"/>
  <c r="AG1461" i="20" s="1"/>
  <c r="AF1276" i="20"/>
  <c r="AG1276" i="20" s="1"/>
  <c r="AE1276" i="20"/>
  <c r="AF1254" i="20"/>
  <c r="AG1254" i="20" s="1"/>
  <c r="AE1254" i="20"/>
  <c r="AE1153" i="20"/>
  <c r="AE1136" i="20"/>
  <c r="AF1136" i="20"/>
  <c r="AG1136" i="20" s="1"/>
  <c r="AE1128" i="20"/>
  <c r="AF1128" i="20"/>
  <c r="AG1128" i="20" s="1"/>
  <c r="AE1096" i="20"/>
  <c r="AF1096" i="20"/>
  <c r="AG1096" i="20" s="1"/>
  <c r="AE1045" i="20"/>
  <c r="AF1036" i="20"/>
  <c r="AG1036" i="20" s="1"/>
  <c r="AE1036" i="20"/>
  <c r="AE941" i="20"/>
  <c r="AF941" i="20"/>
  <c r="AG941" i="20" s="1"/>
  <c r="AE921" i="20"/>
  <c r="AF921" i="20"/>
  <c r="AG921" i="20" s="1"/>
  <c r="AE897" i="20"/>
  <c r="AF897" i="20"/>
  <c r="AG897" i="20" s="1"/>
  <c r="AE825" i="20"/>
  <c r="AF825" i="20"/>
  <c r="AG825" i="20" s="1"/>
  <c r="AF761" i="20"/>
  <c r="AG761" i="20" s="1"/>
  <c r="AE761" i="20"/>
  <c r="AF741" i="20"/>
  <c r="AG741" i="20" s="1"/>
  <c r="AE741" i="20"/>
  <c r="AE1320" i="20"/>
  <c r="AE1252" i="20"/>
  <c r="AE1247" i="20"/>
  <c r="AE1151" i="20"/>
  <c r="AE1076" i="20"/>
  <c r="AE937" i="20"/>
  <c r="AE928" i="20"/>
  <c r="AE913" i="20"/>
  <c r="AE900" i="20"/>
  <c r="AE884" i="20"/>
  <c r="AE817" i="20"/>
  <c r="AE801" i="20"/>
  <c r="AE796" i="20"/>
  <c r="AF796" i="20"/>
  <c r="AG796" i="20" s="1"/>
  <c r="AE772" i="20"/>
  <c r="AE764" i="20"/>
  <c r="AE647" i="20"/>
  <c r="AE614" i="20"/>
  <c r="AE606" i="20"/>
  <c r="AF606" i="20"/>
  <c r="AG606" i="20" s="1"/>
  <c r="AE603" i="20"/>
  <c r="AF561" i="20"/>
  <c r="AG561" i="20" s="1"/>
  <c r="AE561" i="20"/>
  <c r="AE557" i="20"/>
  <c r="AF557" i="20"/>
  <c r="AG557" i="20" s="1"/>
  <c r="AE531" i="20"/>
  <c r="AF531" i="20"/>
  <c r="AG531" i="20" s="1"/>
  <c r="AE467" i="20"/>
  <c r="AF467" i="20"/>
  <c r="AG467" i="20" s="1"/>
  <c r="AE465" i="20"/>
  <c r="AE448" i="20"/>
  <c r="AF448" i="20"/>
  <c r="AG448" i="20" s="1"/>
  <c r="AE388" i="20"/>
  <c r="AF388" i="20"/>
  <c r="AG388" i="20" s="1"/>
  <c r="AE380" i="20"/>
  <c r="AF380" i="20"/>
  <c r="AG380" i="20" s="1"/>
  <c r="AF349" i="20"/>
  <c r="AG349" i="20" s="1"/>
  <c r="AE211" i="20"/>
  <c r="AF211" i="20"/>
  <c r="AG211" i="20" s="1"/>
  <c r="AF188" i="20"/>
  <c r="AG188" i="20" s="1"/>
  <c r="AE188" i="20"/>
  <c r="AE1740" i="20"/>
  <c r="AE1732" i="20"/>
  <c r="AE1724" i="20"/>
  <c r="AE1709" i="20"/>
  <c r="AE1696" i="20"/>
  <c r="AE1581" i="20"/>
  <c r="AE1545" i="20"/>
  <c r="AE1532" i="20"/>
  <c r="AE1420" i="20"/>
  <c r="AF1365" i="20"/>
  <c r="AG1365" i="20" s="1"/>
  <c r="AE1336" i="20"/>
  <c r="AF1317" i="20"/>
  <c r="AG1317" i="20" s="1"/>
  <c r="AF1301" i="20"/>
  <c r="AG1301" i="20" s="1"/>
  <c r="AF1249" i="20"/>
  <c r="AG1249" i="20" s="1"/>
  <c r="AE1231" i="20"/>
  <c r="AE1188" i="20"/>
  <c r="AF1180" i="20"/>
  <c r="AG1180" i="20" s="1"/>
  <c r="AF1153" i="20"/>
  <c r="AG1153" i="20" s="1"/>
  <c r="AF1148" i="20"/>
  <c r="AG1148" i="20" s="1"/>
  <c r="AE1120" i="20"/>
  <c r="AE1085" i="20"/>
  <c r="AE1080" i="20"/>
  <c r="AF1045" i="20"/>
  <c r="AG1045" i="20" s="1"/>
  <c r="AE933" i="20"/>
  <c r="AE924" i="20"/>
  <c r="AE885" i="20"/>
  <c r="AE865" i="20"/>
  <c r="AF865" i="20"/>
  <c r="AG865" i="20" s="1"/>
  <c r="AF861" i="20"/>
  <c r="AG861" i="20" s="1"/>
  <c r="AF856" i="20"/>
  <c r="AG856" i="20" s="1"/>
  <c r="AF848" i="20"/>
  <c r="AG848" i="20" s="1"/>
  <c r="AF845" i="20"/>
  <c r="AG845" i="20" s="1"/>
  <c r="AF841" i="20"/>
  <c r="AG841" i="20" s="1"/>
  <c r="AF840" i="20"/>
  <c r="AG840" i="20" s="1"/>
  <c r="AF837" i="20"/>
  <c r="AG837" i="20" s="1"/>
  <c r="AF836" i="20"/>
  <c r="AG836" i="20" s="1"/>
  <c r="AE785" i="20"/>
  <c r="AE617" i="20"/>
  <c r="AE576" i="20"/>
  <c r="AF576" i="20"/>
  <c r="AG576" i="20" s="1"/>
  <c r="AE404" i="20"/>
  <c r="AF404" i="20"/>
  <c r="AG404" i="20" s="1"/>
  <c r="AF364" i="20"/>
  <c r="AG364" i="20" s="1"/>
  <c r="AE364" i="20"/>
  <c r="AF360" i="20"/>
  <c r="AG360" i="20" s="1"/>
  <c r="AE360" i="20"/>
  <c r="AE279" i="20"/>
  <c r="AF279" i="20"/>
  <c r="AG279" i="20" s="1"/>
  <c r="AE271" i="20"/>
  <c r="AF271" i="20"/>
  <c r="AG271" i="20" s="1"/>
  <c r="AF267" i="20"/>
  <c r="AG267" i="20" s="1"/>
  <c r="AE267" i="20"/>
  <c r="AF260" i="20"/>
  <c r="AG260" i="20" s="1"/>
  <c r="AE260" i="20"/>
  <c r="AF240" i="20"/>
  <c r="AG240" i="20" s="1"/>
  <c r="AE240" i="20"/>
  <c r="AF232" i="20"/>
  <c r="AG232" i="20" s="1"/>
  <c r="AE232" i="20"/>
  <c r="AE203" i="20"/>
  <c r="AE1893" i="20"/>
  <c r="AE1877" i="20"/>
  <c r="AE1864" i="20"/>
  <c r="AE1820" i="20"/>
  <c r="AE1804" i="20"/>
  <c r="AE1795" i="20"/>
  <c r="AE1788" i="20"/>
  <c r="AE1774" i="20"/>
  <c r="AE1728" i="20"/>
  <c r="AE1718" i="20"/>
  <c r="AE1710" i="20"/>
  <c r="AE1698" i="20"/>
  <c r="AE1664" i="20"/>
  <c r="AE1648" i="20"/>
  <c r="AE1613" i="20"/>
  <c r="AE1609" i="20"/>
  <c r="AE1602" i="20"/>
  <c r="AE1586" i="20"/>
  <c r="AE1582" i="20"/>
  <c r="AE1548" i="20"/>
  <c r="AE1534" i="20"/>
  <c r="AE1526" i="20"/>
  <c r="AE1524" i="20"/>
  <c r="AE1506" i="20"/>
  <c r="AE1469" i="20"/>
  <c r="AE1462" i="20"/>
  <c r="AE1460" i="20"/>
  <c r="AE1449" i="20"/>
  <c r="AE1437" i="20"/>
  <c r="AE1428" i="20"/>
  <c r="AE1405" i="20"/>
  <c r="AE1398" i="20"/>
  <c r="AE1394" i="20"/>
  <c r="AE1389" i="20"/>
  <c r="AE1381" i="20"/>
  <c r="AE1356" i="20"/>
  <c r="AE1353" i="20"/>
  <c r="AE1342" i="20"/>
  <c r="AE1306" i="20"/>
  <c r="AE1285" i="20"/>
  <c r="AG1282" i="20"/>
  <c r="AE1265" i="20"/>
  <c r="AE1261" i="20"/>
  <c r="AF1252" i="20"/>
  <c r="AG1252" i="20" s="1"/>
  <c r="AE1244" i="20"/>
  <c r="AE1237" i="20"/>
  <c r="AE1228" i="20"/>
  <c r="AE1224" i="20"/>
  <c r="AE1219" i="20"/>
  <c r="AE1208" i="20"/>
  <c r="AE1196" i="20"/>
  <c r="AE1193" i="20"/>
  <c r="AE1176" i="20"/>
  <c r="AE1157" i="20"/>
  <c r="AE1152" i="20"/>
  <c r="AE1125" i="20"/>
  <c r="AE1109" i="20"/>
  <c r="AE1093" i="20"/>
  <c r="AF1076" i="20"/>
  <c r="AG1076" i="20" s="1"/>
  <c r="AE1061" i="20"/>
  <c r="AE1057" i="20"/>
  <c r="AE1048" i="20"/>
  <c r="AE1037" i="20"/>
  <c r="AE984" i="20"/>
  <c r="AE973" i="20"/>
  <c r="AE965" i="20"/>
  <c r="AE945" i="20"/>
  <c r="AF936" i="20"/>
  <c r="AG936" i="20" s="1"/>
  <c r="AE936" i="20"/>
  <c r="AF928" i="20"/>
  <c r="AG928" i="20" s="1"/>
  <c r="AE909" i="20"/>
  <c r="AF900" i="20"/>
  <c r="AG900" i="20" s="1"/>
  <c r="AE888" i="20"/>
  <c r="AF884" i="20"/>
  <c r="AG884" i="20" s="1"/>
  <c r="AE877" i="20"/>
  <c r="AE876" i="20"/>
  <c r="AF876" i="20"/>
  <c r="AG876" i="20" s="1"/>
  <c r="AE852" i="20"/>
  <c r="AE813" i="20"/>
  <c r="AF801" i="20"/>
  <c r="AG801" i="20" s="1"/>
  <c r="AE784" i="20"/>
  <c r="AE744" i="20"/>
  <c r="AE725" i="20"/>
  <c r="AE724" i="20"/>
  <c r="AE703" i="20"/>
  <c r="AE681" i="20"/>
  <c r="AF646" i="20"/>
  <c r="AG646" i="20" s="1"/>
  <c r="AE646" i="20"/>
  <c r="AE639" i="20"/>
  <c r="AE629" i="20"/>
  <c r="AE618" i="20"/>
  <c r="AF614" i="20"/>
  <c r="AG614" i="20" s="1"/>
  <c r="AE423" i="20"/>
  <c r="AF423" i="20"/>
  <c r="AG423" i="20" s="1"/>
  <c r="AF420" i="20"/>
  <c r="AG420" i="20" s="1"/>
  <c r="AE420" i="20"/>
  <c r="AE412" i="20"/>
  <c r="AF412" i="20"/>
  <c r="AG412" i="20" s="1"/>
  <c r="AE391" i="20"/>
  <c r="AF391" i="20"/>
  <c r="AG391" i="20" s="1"/>
  <c r="AE348" i="20"/>
  <c r="AF348" i="20"/>
  <c r="AG348" i="20" s="1"/>
  <c r="AE291" i="20"/>
  <c r="AE251" i="20"/>
  <c r="AF251" i="20"/>
  <c r="AG251" i="20" s="1"/>
  <c r="AE43" i="20"/>
  <c r="AF43" i="20"/>
  <c r="AG43" i="20" s="1"/>
  <c r="AE39" i="20"/>
  <c r="AF39" i="20"/>
  <c r="AG39" i="20" s="1"/>
  <c r="AE34" i="20"/>
  <c r="AF34" i="20"/>
  <c r="AG34" i="20" s="1"/>
  <c r="AE541" i="20"/>
  <c r="AE524" i="20"/>
  <c r="AF524" i="20"/>
  <c r="AG524" i="20" s="1"/>
  <c r="AE512" i="20"/>
  <c r="AF512" i="20"/>
  <c r="AG512" i="20" s="1"/>
  <c r="AE504" i="20"/>
  <c r="AF504" i="20"/>
  <c r="AG504" i="20" s="1"/>
  <c r="AE483" i="20"/>
  <c r="AF483" i="20"/>
  <c r="AG483" i="20" s="1"/>
  <c r="AF480" i="20"/>
  <c r="AG480" i="20" s="1"/>
  <c r="AE480" i="20"/>
  <c r="AE399" i="20"/>
  <c r="AF399" i="20"/>
  <c r="AG399" i="20" s="1"/>
  <c r="AE375" i="20"/>
  <c r="AF375" i="20"/>
  <c r="AG375" i="20" s="1"/>
  <c r="AE340" i="20"/>
  <c r="AF340" i="20"/>
  <c r="AG340" i="20" s="1"/>
  <c r="AE331" i="20"/>
  <c r="AF307" i="20"/>
  <c r="AG307" i="20" s="1"/>
  <c r="AE307" i="20"/>
  <c r="AE299" i="20"/>
  <c r="AF299" i="20"/>
  <c r="AG299" i="20" s="1"/>
  <c r="AF268" i="20"/>
  <c r="AG268" i="20" s="1"/>
  <c r="AE191" i="20"/>
  <c r="AF191" i="20"/>
  <c r="AG191" i="20" s="1"/>
  <c r="AF144" i="20"/>
  <c r="AG144" i="20" s="1"/>
  <c r="AE144" i="20"/>
  <c r="AF140" i="20"/>
  <c r="AG140" i="20" s="1"/>
  <c r="AE140" i="20"/>
  <c r="AF136" i="20"/>
  <c r="AG136" i="20" s="1"/>
  <c r="AE136" i="20"/>
  <c r="AF112" i="20"/>
  <c r="AG112" i="20" s="1"/>
  <c r="AE112" i="20"/>
  <c r="AF87" i="20"/>
  <c r="AG87" i="20" s="1"/>
  <c r="AE87" i="20"/>
  <c r="AE83" i="20"/>
  <c r="AF83" i="20"/>
  <c r="AG83" i="20" s="1"/>
  <c r="AF75" i="20"/>
  <c r="AG75" i="20" s="1"/>
  <c r="AE75" i="20"/>
  <c r="AE42" i="20"/>
  <c r="AF42" i="20"/>
  <c r="AG42" i="20" s="1"/>
  <c r="AE968" i="20"/>
  <c r="AE956" i="20"/>
  <c r="AE932" i="20"/>
  <c r="AE920" i="20"/>
  <c r="AE892" i="20"/>
  <c r="AE881" i="20"/>
  <c r="AE873" i="20"/>
  <c r="AE864" i="20"/>
  <c r="AE833" i="20"/>
  <c r="AE816" i="20"/>
  <c r="AE788" i="20"/>
  <c r="AE748" i="20"/>
  <c r="AE704" i="20"/>
  <c r="AE699" i="20"/>
  <c r="AE685" i="20"/>
  <c r="AE684" i="20"/>
  <c r="AE664" i="20"/>
  <c r="AE662" i="20"/>
  <c r="AE657" i="20"/>
  <c r="AE626" i="20"/>
  <c r="AE619" i="20"/>
  <c r="AE613" i="20"/>
  <c r="AE610" i="20"/>
  <c r="AE607" i="20"/>
  <c r="AE581" i="20"/>
  <c r="AE560" i="20"/>
  <c r="AF560" i="20"/>
  <c r="AG560" i="20" s="1"/>
  <c r="AE558" i="20"/>
  <c r="AF556" i="20"/>
  <c r="AG556" i="20" s="1"/>
  <c r="AE556" i="20"/>
  <c r="AE527" i="20"/>
  <c r="AE464" i="20"/>
  <c r="AF464" i="20"/>
  <c r="AG464" i="20" s="1"/>
  <c r="AE456" i="20"/>
  <c r="AF456" i="20"/>
  <c r="AG456" i="20" s="1"/>
  <c r="AE449" i="20"/>
  <c r="AE447" i="20"/>
  <c r="AF447" i="20"/>
  <c r="AG447" i="20" s="1"/>
  <c r="AF428" i="20"/>
  <c r="AG428" i="20" s="1"/>
  <c r="AE428" i="20"/>
  <c r="AE415" i="20"/>
  <c r="AF415" i="20"/>
  <c r="AG415" i="20" s="1"/>
  <c r="AE393" i="20"/>
  <c r="AE369" i="20"/>
  <c r="AE367" i="20"/>
  <c r="AE308" i="20"/>
  <c r="AE283" i="20"/>
  <c r="AF283" i="20"/>
  <c r="AG283" i="20" s="1"/>
  <c r="AF252" i="20"/>
  <c r="AG252" i="20" s="1"/>
  <c r="AE252" i="20"/>
  <c r="AF200" i="20"/>
  <c r="AG200" i="20" s="1"/>
  <c r="AE200" i="20"/>
  <c r="AE168" i="20"/>
  <c r="AF119" i="20"/>
  <c r="AG119" i="20" s="1"/>
  <c r="AE119" i="20"/>
  <c r="AE88" i="20"/>
  <c r="AE31" i="20"/>
  <c r="AE568" i="20"/>
  <c r="AE562" i="20"/>
  <c r="AE535" i="20"/>
  <c r="AE509" i="20"/>
  <c r="AE507" i="20"/>
  <c r="AE496" i="20"/>
  <c r="AE472" i="20"/>
  <c r="AE461" i="20"/>
  <c r="AE459" i="20"/>
  <c r="AE441" i="20"/>
  <c r="AE431" i="20"/>
  <c r="AE429" i="20"/>
  <c r="AE409" i="20"/>
  <c r="AE385" i="20"/>
  <c r="AE383" i="20"/>
  <c r="AE381" i="20"/>
  <c r="AE344" i="20"/>
  <c r="AE311" i="20"/>
  <c r="AE243" i="20"/>
  <c r="AE143" i="20"/>
  <c r="AE20" i="20"/>
  <c r="AE15" i="20"/>
  <c r="AE11" i="20"/>
  <c r="AE602" i="20"/>
  <c r="AE573" i="20"/>
  <c r="AE529" i="20"/>
  <c r="AE501" i="20"/>
  <c r="AE473" i="20"/>
  <c r="AE433" i="20"/>
  <c r="AE359" i="20"/>
  <c r="AE357" i="20"/>
  <c r="AE356" i="20"/>
  <c r="AE320" i="20"/>
  <c r="AE312" i="20"/>
  <c r="AE303" i="20"/>
  <c r="AE275" i="20"/>
  <c r="AE104" i="20"/>
  <c r="AE40" i="20"/>
  <c r="AE16" i="20"/>
  <c r="AE13" i="20"/>
  <c r="AF4734" i="20"/>
  <c r="AG4734" i="20" s="1"/>
  <c r="AC1960" i="20"/>
  <c r="AF1960" i="20" s="1"/>
  <c r="AG1960" i="20" s="1"/>
  <c r="AD1960" i="20"/>
  <c r="AC3118" i="20"/>
  <c r="AF3118" i="20" s="1"/>
  <c r="AG3118" i="20" s="1"/>
  <c r="AD3118" i="20"/>
  <c r="AF4635" i="20"/>
  <c r="AG4635" i="20" s="1"/>
  <c r="AC314" i="20"/>
  <c r="AF314" i="20" s="1"/>
  <c r="AG314" i="20" s="1"/>
  <c r="AD314" i="20"/>
  <c r="AF4350" i="20"/>
  <c r="AG4350" i="20" s="1"/>
  <c r="AE4710" i="20"/>
  <c r="AF4606" i="20"/>
  <c r="AG4606" i="20" s="1"/>
  <c r="AE4606" i="20"/>
  <c r="AE4586" i="20"/>
  <c r="AE4578" i="20"/>
  <c r="AE4506" i="20"/>
  <c r="AF4355" i="20"/>
  <c r="AG4355" i="20" s="1"/>
  <c r="AE4355" i="20"/>
  <c r="AE4235" i="20"/>
  <c r="AE4086" i="20"/>
  <c r="AF4086" i="20"/>
  <c r="AG4086" i="20" s="1"/>
  <c r="AE3803" i="20"/>
  <c r="AF3803" i="20"/>
  <c r="AG3803" i="20" s="1"/>
  <c r="AE4684" i="20"/>
  <c r="AE4605" i="20"/>
  <c r="AE4060" i="20"/>
  <c r="AF3318" i="20"/>
  <c r="AG3318" i="20" s="1"/>
  <c r="AE3318" i="20"/>
  <c r="AG4512" i="20"/>
  <c r="AD1842" i="20"/>
  <c r="AC1842" i="20"/>
  <c r="AD4734" i="20"/>
  <c r="AE4734" i="20" s="1"/>
  <c r="AF4669" i="20"/>
  <c r="AG4669" i="20" s="1"/>
  <c r="AE4669" i="20"/>
  <c r="AE4518" i="20"/>
  <c r="AE4042" i="20"/>
  <c r="AE3996" i="20"/>
  <c r="AF3996" i="20"/>
  <c r="AG3996" i="20" s="1"/>
  <c r="AE3959" i="20"/>
  <c r="AF3959" i="20"/>
  <c r="AG3959" i="20" s="1"/>
  <c r="AE3843" i="20"/>
  <c r="AF3843" i="20"/>
  <c r="AG3843" i="20" s="1"/>
  <c r="AF2262" i="20"/>
  <c r="AG2262" i="20" s="1"/>
  <c r="AE2262" i="20"/>
  <c r="AE2235" i="20"/>
  <c r="AF2235" i="20"/>
  <c r="AG2235" i="20" s="1"/>
  <c r="AF2206" i="20"/>
  <c r="AG2206" i="20" s="1"/>
  <c r="AE2206" i="20"/>
  <c r="AC3775" i="20"/>
  <c r="AD3775" i="20"/>
  <c r="AE4151" i="20"/>
  <c r="AF4151" i="20"/>
  <c r="AG4151" i="20" s="1"/>
  <c r="AE3361" i="20"/>
  <c r="AF3361" i="20"/>
  <c r="AG3361" i="20" s="1"/>
  <c r="AC3755" i="20"/>
  <c r="AF3755" i="20" s="1"/>
  <c r="AG3755" i="20" s="1"/>
  <c r="AD3755" i="20"/>
  <c r="AE4696" i="20"/>
  <c r="AF4668" i="20"/>
  <c r="AG4668" i="20" s="1"/>
  <c r="AE4604" i="20"/>
  <c r="AF4604" i="20"/>
  <c r="AG4604" i="20" s="1"/>
  <c r="AE4570" i="20"/>
  <c r="AG4544" i="20"/>
  <c r="AE4497" i="20"/>
  <c r="AF4260" i="20"/>
  <c r="AG4260" i="20" s="1"/>
  <c r="AE4260" i="20"/>
  <c r="AE4102" i="20"/>
  <c r="AF4102" i="20"/>
  <c r="AG4102" i="20" s="1"/>
  <c r="AF4074" i="20"/>
  <c r="AG4074" i="20" s="1"/>
  <c r="AF3884" i="20"/>
  <c r="AG3884" i="20" s="1"/>
  <c r="AE3884" i="20"/>
  <c r="AF3876" i="20"/>
  <c r="AG3876" i="20" s="1"/>
  <c r="AE3876" i="20"/>
  <c r="AE1392" i="20"/>
  <c r="AF1392" i="20"/>
  <c r="AG1392" i="20" s="1"/>
  <c r="AC640" i="20"/>
  <c r="AF640" i="20" s="1"/>
  <c r="AG640" i="20" s="1"/>
  <c r="AD640" i="20"/>
  <c r="AE4837" i="20"/>
  <c r="AE4824" i="20"/>
  <c r="AC1974" i="20"/>
  <c r="AD1974" i="20"/>
  <c r="AF4858" i="20"/>
  <c r="AG4858" i="20" s="1"/>
  <c r="AE4764" i="20"/>
  <c r="AE4760" i="20"/>
  <c r="AE4755" i="20"/>
  <c r="AF4701" i="20"/>
  <c r="AG4701" i="20" s="1"/>
  <c r="AE4701" i="20"/>
  <c r="AE4694" i="20"/>
  <c r="AE4648" i="20"/>
  <c r="AF4622" i="20"/>
  <c r="AG4622" i="20" s="1"/>
  <c r="AG4576" i="20"/>
  <c r="AE4562" i="20"/>
  <c r="AD4350" i="20"/>
  <c r="AE4350" i="20" s="1"/>
  <c r="AF4041" i="20"/>
  <c r="AG4041" i="20" s="1"/>
  <c r="AE4041" i="20"/>
  <c r="AF3733" i="20"/>
  <c r="AG3733" i="20" s="1"/>
  <c r="AE3733" i="20"/>
  <c r="AE3725" i="20"/>
  <c r="AF3725" i="20"/>
  <c r="AG3725" i="20" s="1"/>
  <c r="AC451" i="20"/>
  <c r="AD451" i="20"/>
  <c r="AF4769" i="20"/>
  <c r="AG4769" i="20" s="1"/>
  <c r="AG4759" i="20"/>
  <c r="AG4700" i="20"/>
  <c r="AE4635" i="20"/>
  <c r="AF4371" i="20"/>
  <c r="AG4371" i="20" s="1"/>
  <c r="AE4371" i="20"/>
  <c r="AE4098" i="20"/>
  <c r="AF4098" i="20"/>
  <c r="AG4098" i="20" s="1"/>
  <c r="AF4048" i="20"/>
  <c r="AG4048" i="20" s="1"/>
  <c r="AE3739" i="20"/>
  <c r="AF3739" i="20"/>
  <c r="AG3739" i="20" s="1"/>
  <c r="AE3613" i="20"/>
  <c r="AF3613" i="20"/>
  <c r="AG3613" i="20" s="1"/>
  <c r="AF3528" i="20"/>
  <c r="AG3528" i="20" s="1"/>
  <c r="AE3528" i="20"/>
  <c r="AF3382" i="20"/>
  <c r="AG3382" i="20" s="1"/>
  <c r="AE3382" i="20"/>
  <c r="AC2355" i="20"/>
  <c r="AF2355" i="20" s="1"/>
  <c r="AG2355" i="20" s="1"/>
  <c r="AD2355" i="20"/>
  <c r="AD4300" i="20"/>
  <c r="AC4300" i="20"/>
  <c r="AG4849" i="20"/>
  <c r="AC2505" i="20"/>
  <c r="AF2505" i="20" s="1"/>
  <c r="AG2505" i="20" s="1"/>
  <c r="AD2505" i="20"/>
  <c r="AC2661" i="20"/>
  <c r="AF2661" i="20" s="1"/>
  <c r="AG2661" i="20" s="1"/>
  <c r="AD2661" i="20"/>
  <c r="AE4853" i="20"/>
  <c r="AE4835" i="20"/>
  <c r="AE4822" i="20"/>
  <c r="AE4653" i="20"/>
  <c r="AE4582" i="20"/>
  <c r="AE4542" i="20"/>
  <c r="AE4522" i="20"/>
  <c r="AE4360" i="20"/>
  <c r="AE4139" i="20"/>
  <c r="AF4127" i="20"/>
  <c r="AG4127" i="20" s="1"/>
  <c r="AE4127" i="20"/>
  <c r="AE4080" i="20"/>
  <c r="AG4528" i="20"/>
  <c r="AC3282" i="20"/>
  <c r="AF3282" i="20" s="1"/>
  <c r="AG3282" i="20" s="1"/>
  <c r="AD3282" i="20"/>
  <c r="AE4680" i="20"/>
  <c r="AF4667" i="20"/>
  <c r="AG4667" i="20" s="1"/>
  <c r="AE4667" i="20"/>
  <c r="AE4195" i="20"/>
  <c r="AF4195" i="20"/>
  <c r="AG4195" i="20" s="1"/>
  <c r="AE3687" i="20"/>
  <c r="AF3687" i="20"/>
  <c r="AG3687" i="20" s="1"/>
  <c r="AE3036" i="20"/>
  <c r="AF3036" i="20"/>
  <c r="AG3036" i="20" s="1"/>
  <c r="AE4167" i="20"/>
  <c r="AF4167" i="20"/>
  <c r="AG4167" i="20" s="1"/>
  <c r="AE3754" i="20"/>
  <c r="AF3754" i="20"/>
  <c r="AG3754" i="20" s="1"/>
  <c r="AE4632" i="20"/>
  <c r="AF3981" i="20"/>
  <c r="AG3981" i="20" s="1"/>
  <c r="AE3981" i="20"/>
  <c r="AC3700" i="20"/>
  <c r="AD3700" i="20"/>
  <c r="AE4828" i="20"/>
  <c r="AF4732" i="20"/>
  <c r="AG4732" i="20" s="1"/>
  <c r="AE4732" i="20"/>
  <c r="AC3988" i="20"/>
  <c r="AD3988" i="20"/>
  <c r="AE4857" i="20"/>
  <c r="AE4851" i="20"/>
  <c r="AE4821" i="20"/>
  <c r="AF4789" i="20"/>
  <c r="AG4789" i="20" s="1"/>
  <c r="AF4784" i="20"/>
  <c r="AG4784" i="20" s="1"/>
  <c r="AG4762" i="20"/>
  <c r="AE4722" i="20"/>
  <c r="AF4625" i="20"/>
  <c r="AG4625" i="20" s="1"/>
  <c r="AE4600" i="20"/>
  <c r="AE4403" i="20"/>
  <c r="AF4025" i="20"/>
  <c r="AG4025" i="20" s="1"/>
  <c r="AE4025" i="20"/>
  <c r="AE4008" i="20"/>
  <c r="AF4008" i="20"/>
  <c r="AG4008" i="20" s="1"/>
  <c r="AF3944" i="20"/>
  <c r="AG3944" i="20" s="1"/>
  <c r="AE3944" i="20"/>
  <c r="AD3888" i="20"/>
  <c r="AE3888" i="20" s="1"/>
  <c r="AF3463" i="20"/>
  <c r="AG3463" i="20" s="1"/>
  <c r="AE3463" i="20"/>
  <c r="AE3441" i="20"/>
  <c r="AF3441" i="20"/>
  <c r="AG3441" i="20" s="1"/>
  <c r="AD2321" i="20"/>
  <c r="AC2321" i="20"/>
  <c r="AF2321" i="20" s="1"/>
  <c r="AG2321" i="20" s="1"/>
  <c r="AF4037" i="20"/>
  <c r="AG4037" i="20" s="1"/>
  <c r="AE4037" i="20"/>
  <c r="AF4499" i="20"/>
  <c r="AG4499" i="20" s="1"/>
  <c r="AE4499" i="20"/>
  <c r="AF4800" i="20"/>
  <c r="AG4800" i="20" s="1"/>
  <c r="AF4699" i="20"/>
  <c r="AG4699" i="20" s="1"/>
  <c r="AE4699" i="20"/>
  <c r="AF4657" i="20"/>
  <c r="AG4657" i="20" s="1"/>
  <c r="AF4607" i="20"/>
  <c r="AG4607" i="20" s="1"/>
  <c r="AG4560" i="20"/>
  <c r="AF4602" i="20"/>
  <c r="AG4602" i="20" s="1"/>
  <c r="AE4602" i="20"/>
  <c r="AE4841" i="20"/>
  <c r="AE4700" i="20"/>
  <c r="AC917" i="20"/>
  <c r="AD917" i="20"/>
  <c r="AF4820" i="20"/>
  <c r="AG4820" i="20" s="1"/>
  <c r="AE4762" i="20"/>
  <c r="AF3888" i="20"/>
  <c r="AG3888" i="20" s="1"/>
  <c r="AC4332" i="20"/>
  <c r="AF4332" i="20" s="1"/>
  <c r="AG4332" i="20" s="1"/>
  <c r="AD4332" i="20"/>
  <c r="AF4861" i="20"/>
  <c r="AG4861" i="20" s="1"/>
  <c r="AE4850" i="20"/>
  <c r="AE4845" i="20"/>
  <c r="AF4845" i="20"/>
  <c r="AG4845" i="20" s="1"/>
  <c r="AF4833" i="20"/>
  <c r="AG4833" i="20" s="1"/>
  <c r="AE4652" i="20"/>
  <c r="AE4546" i="20"/>
  <c r="AE4306" i="20"/>
  <c r="AE4177" i="20"/>
  <c r="AF4177" i="20"/>
  <c r="AG4177" i="20" s="1"/>
  <c r="AE3927" i="20"/>
  <c r="AF3927" i="20"/>
  <c r="AG3927" i="20" s="1"/>
  <c r="AE3863" i="20"/>
  <c r="AF3560" i="20"/>
  <c r="AG3560" i="20" s="1"/>
  <c r="AE3560" i="20"/>
  <c r="AE4674" i="20"/>
  <c r="AE4642" i="20"/>
  <c r="AE4201" i="20"/>
  <c r="AE4157" i="20"/>
  <c r="AE4092" i="20"/>
  <c r="AE4002" i="20"/>
  <c r="AE3961" i="20"/>
  <c r="AE3871" i="20"/>
  <c r="AF3871" i="20"/>
  <c r="AG3871" i="20" s="1"/>
  <c r="AE3849" i="20"/>
  <c r="AE3499" i="20"/>
  <c r="AF3499" i="20"/>
  <c r="AG3499" i="20" s="1"/>
  <c r="AE3485" i="20"/>
  <c r="AF3414" i="20"/>
  <c r="AG3414" i="20" s="1"/>
  <c r="AE3414" i="20"/>
  <c r="AE3257" i="20"/>
  <c r="AE3149" i="20"/>
  <c r="AF3149" i="20"/>
  <c r="AG3149" i="20" s="1"/>
  <c r="AE3011" i="20"/>
  <c r="AF3011" i="20"/>
  <c r="AG3011" i="20" s="1"/>
  <c r="AE2675" i="20"/>
  <c r="AF2675" i="20"/>
  <c r="AG2675" i="20" s="1"/>
  <c r="AF3896" i="20"/>
  <c r="AG3896" i="20" s="1"/>
  <c r="AE3896" i="20"/>
  <c r="AE3668" i="20"/>
  <c r="AE3600" i="20"/>
  <c r="AF3600" i="20"/>
  <c r="AG3600" i="20" s="1"/>
  <c r="AF3592" i="20"/>
  <c r="AG3592" i="20" s="1"/>
  <c r="AE3592" i="20"/>
  <c r="AE3520" i="20"/>
  <c r="AE3483" i="20"/>
  <c r="AF3483" i="20"/>
  <c r="AG3483" i="20" s="1"/>
  <c r="AE3263" i="20"/>
  <c r="AF3263" i="20"/>
  <c r="AG3263" i="20" s="1"/>
  <c r="AE3222" i="20"/>
  <c r="AF3222" i="20"/>
  <c r="AG3222" i="20" s="1"/>
  <c r="AE2975" i="20"/>
  <c r="AF2975" i="20"/>
  <c r="AG2975" i="20" s="1"/>
  <c r="AE4323" i="20"/>
  <c r="AE4282" i="20"/>
  <c r="AE4218" i="20"/>
  <c r="AE4126" i="20"/>
  <c r="AE4036" i="20"/>
  <c r="AE3994" i="20"/>
  <c r="AE3967" i="20"/>
  <c r="AE3869" i="20"/>
  <c r="AE3855" i="20"/>
  <c r="AF3855" i="20"/>
  <c r="AG3855" i="20" s="1"/>
  <c r="AE3841" i="20"/>
  <c r="AE3835" i="20"/>
  <c r="AE3808" i="20"/>
  <c r="AE3707" i="20"/>
  <c r="AE3692" i="20"/>
  <c r="AF3692" i="20"/>
  <c r="AG3692" i="20" s="1"/>
  <c r="AF3660" i="20"/>
  <c r="AG3660" i="20" s="1"/>
  <c r="AE3660" i="20"/>
  <c r="AE3579" i="20"/>
  <c r="AF3579" i="20"/>
  <c r="AG3579" i="20" s="1"/>
  <c r="AE3491" i="20"/>
  <c r="AF3491" i="20"/>
  <c r="AG3491" i="20" s="1"/>
  <c r="AF3446" i="20"/>
  <c r="AG3446" i="20" s="1"/>
  <c r="AE3446" i="20"/>
  <c r="AE3425" i="20"/>
  <c r="AF3425" i="20"/>
  <c r="AG3425" i="20" s="1"/>
  <c r="AE3406" i="20"/>
  <c r="AF3406" i="20"/>
  <c r="AG3406" i="20" s="1"/>
  <c r="AE3166" i="20"/>
  <c r="AF3166" i="20"/>
  <c r="AG3166" i="20" s="1"/>
  <c r="AF3125" i="20"/>
  <c r="AG3125" i="20" s="1"/>
  <c r="AE3125" i="20"/>
  <c r="AE2741" i="20"/>
  <c r="AF2741" i="20"/>
  <c r="AG2741" i="20" s="1"/>
  <c r="AE4096" i="20"/>
  <c r="AE3973" i="20"/>
  <c r="AE3925" i="20"/>
  <c r="AE3795" i="20"/>
  <c r="AF3795" i="20"/>
  <c r="AG3795" i="20" s="1"/>
  <c r="AE3773" i="20"/>
  <c r="AF3773" i="20"/>
  <c r="AG3773" i="20" s="1"/>
  <c r="AE3639" i="20"/>
  <c r="AG3639" i="20"/>
  <c r="AE3571" i="20"/>
  <c r="AF3571" i="20"/>
  <c r="AG3571" i="20" s="1"/>
  <c r="AE3517" i="20"/>
  <c r="AE3455" i="20"/>
  <c r="AF3455" i="20"/>
  <c r="AG3455" i="20" s="1"/>
  <c r="AF3366" i="20"/>
  <c r="AG3366" i="20" s="1"/>
  <c r="AE3366" i="20"/>
  <c r="AE3189" i="20"/>
  <c r="AF3189" i="20"/>
  <c r="AG3189" i="20" s="1"/>
  <c r="AE3171" i="20"/>
  <c r="AE3130" i="20"/>
  <c r="AE3085" i="20"/>
  <c r="AF3085" i="20"/>
  <c r="AG3085" i="20" s="1"/>
  <c r="AF2887" i="20"/>
  <c r="AG2887" i="20" s="1"/>
  <c r="AE2887" i="20"/>
  <c r="AE2391" i="20"/>
  <c r="AF2391" i="20"/>
  <c r="AG2391" i="20" s="1"/>
  <c r="AF3820" i="20"/>
  <c r="AG3820" i="20" s="1"/>
  <c r="AE3820" i="20"/>
  <c r="AE3393" i="20"/>
  <c r="AF3393" i="20"/>
  <c r="AG3393" i="20" s="1"/>
  <c r="AE3329" i="20"/>
  <c r="AF3329" i="20"/>
  <c r="AG3329" i="20" s="1"/>
  <c r="AE3297" i="20"/>
  <c r="AF3297" i="20"/>
  <c r="AG3297" i="20" s="1"/>
  <c r="AF3268" i="20"/>
  <c r="AG3268" i="20" s="1"/>
  <c r="AE3268" i="20"/>
  <c r="AF2936" i="20"/>
  <c r="AG2936" i="20" s="1"/>
  <c r="AE2936" i="20"/>
  <c r="AE2916" i="20"/>
  <c r="AF2916" i="20"/>
  <c r="AG2916" i="20" s="1"/>
  <c r="AF2474" i="20"/>
  <c r="AG2474" i="20" s="1"/>
  <c r="AE2474" i="20"/>
  <c r="AE4584" i="20"/>
  <c r="AE4568" i="20"/>
  <c r="AE4552" i="20"/>
  <c r="AE4536" i="20"/>
  <c r="AE4520" i="20"/>
  <c r="AE4199" i="20"/>
  <c r="AE4186" i="20"/>
  <c r="AE4155" i="20"/>
  <c r="AE4090" i="20"/>
  <c r="AE4000" i="20"/>
  <c r="AE3931" i="20"/>
  <c r="AF3912" i="20"/>
  <c r="AG3912" i="20" s="1"/>
  <c r="AE3912" i="20"/>
  <c r="AE3691" i="20"/>
  <c r="AE3605" i="20"/>
  <c r="AF3430" i="20"/>
  <c r="AG3430" i="20" s="1"/>
  <c r="AE3430" i="20"/>
  <c r="AE3273" i="20"/>
  <c r="AF3194" i="20"/>
  <c r="AG3194" i="20" s="1"/>
  <c r="AE3194" i="20"/>
  <c r="AE3044" i="20"/>
  <c r="AF3044" i="20"/>
  <c r="AG3044" i="20" s="1"/>
  <c r="AE2943" i="20"/>
  <c r="AF2943" i="20"/>
  <c r="AG2943" i="20" s="1"/>
  <c r="AE2923" i="20"/>
  <c r="AF2923" i="20"/>
  <c r="AG2923" i="20" s="1"/>
  <c r="AG4683" i="20"/>
  <c r="AG4655" i="20"/>
  <c r="AG4651" i="20"/>
  <c r="AE4636" i="20"/>
  <c r="AG4508" i="20"/>
  <c r="AE4498" i="20"/>
  <c r="AE4174" i="20"/>
  <c r="AE4148" i="20"/>
  <c r="AE4083" i="20"/>
  <c r="AE4078" i="20"/>
  <c r="AE4064" i="20"/>
  <c r="AE4052" i="20"/>
  <c r="AF4028" i="20"/>
  <c r="AG4028" i="20" s="1"/>
  <c r="AE3964" i="20"/>
  <c r="AF3924" i="20"/>
  <c r="AG3924" i="20" s="1"/>
  <c r="AE3924" i="20"/>
  <c r="AF3887" i="20"/>
  <c r="AG3887" i="20" s="1"/>
  <c r="AE3723" i="20"/>
  <c r="AF3723" i="20"/>
  <c r="AG3723" i="20" s="1"/>
  <c r="AE3238" i="20"/>
  <c r="AF3238" i="20"/>
  <c r="AG3238" i="20" s="1"/>
  <c r="AE3136" i="20"/>
  <c r="AF3136" i="20"/>
  <c r="AG3136" i="20" s="1"/>
  <c r="AE4394" i="20"/>
  <c r="AE4112" i="20"/>
  <c r="AE4070" i="20"/>
  <c r="AE4045" i="20"/>
  <c r="AE4040" i="20"/>
  <c r="AE4022" i="20"/>
  <c r="AE3980" i="20"/>
  <c r="AE3949" i="20"/>
  <c r="AE3943" i="20"/>
  <c r="AE3875" i="20"/>
  <c r="AE3867" i="20"/>
  <c r="AF3867" i="20"/>
  <c r="AG3867" i="20" s="1"/>
  <c r="AF3751" i="20"/>
  <c r="AG3751" i="20" s="1"/>
  <c r="AE3684" i="20"/>
  <c r="AF3684" i="20"/>
  <c r="AG3684" i="20" s="1"/>
  <c r="AE3665" i="20"/>
  <c r="AF3597" i="20"/>
  <c r="AG3597" i="20" s="1"/>
  <c r="AE3597" i="20"/>
  <c r="AE3563" i="20"/>
  <c r="AF3563" i="20"/>
  <c r="AG3563" i="20" s="1"/>
  <c r="AE3480" i="20"/>
  <c r="AF3398" i="20"/>
  <c r="AG3398" i="20" s="1"/>
  <c r="AE3398" i="20"/>
  <c r="AF3350" i="20"/>
  <c r="AG3350" i="20" s="1"/>
  <c r="AE3350" i="20"/>
  <c r="AF3302" i="20"/>
  <c r="AG3302" i="20" s="1"/>
  <c r="AE3302" i="20"/>
  <c r="AE3531" i="20"/>
  <c r="AF3531" i="20"/>
  <c r="AG3531" i="20" s="1"/>
  <c r="AE3280" i="20"/>
  <c r="AF3280" i="20"/>
  <c r="AG3280" i="20" s="1"/>
  <c r="AE3177" i="20"/>
  <c r="AF3177" i="20"/>
  <c r="AG3177" i="20" s="1"/>
  <c r="AE4623" i="20"/>
  <c r="AE4491" i="20"/>
  <c r="AE4309" i="20"/>
  <c r="AE4243" i="20"/>
  <c r="AE4216" i="20"/>
  <c r="AE4197" i="20"/>
  <c r="AE4184" i="20"/>
  <c r="AE4111" i="20"/>
  <c r="AE4106" i="20"/>
  <c r="AE4021" i="20"/>
  <c r="AE4016" i="20"/>
  <c r="AE3998" i="20"/>
  <c r="AE3992" i="20"/>
  <c r="AE3929" i="20"/>
  <c r="AE3908" i="20"/>
  <c r="AE3859" i="20"/>
  <c r="AF3859" i="20"/>
  <c r="AG3859" i="20" s="1"/>
  <c r="AF3832" i="20"/>
  <c r="AG3832" i="20" s="1"/>
  <c r="AE3832" i="20"/>
  <c r="AE3671" i="20"/>
  <c r="AF3671" i="20"/>
  <c r="AG3671" i="20" s="1"/>
  <c r="AE3488" i="20"/>
  <c r="AE3422" i="20"/>
  <c r="AF3422" i="20"/>
  <c r="AG3422" i="20" s="1"/>
  <c r="AE3377" i="20"/>
  <c r="AF3377" i="20"/>
  <c r="AG3377" i="20" s="1"/>
  <c r="AF2556" i="20"/>
  <c r="AG2556" i="20" s="1"/>
  <c r="AE2556" i="20"/>
  <c r="AF3824" i="20"/>
  <c r="AG3824" i="20" s="1"/>
  <c r="AE3824" i="20"/>
  <c r="AE2999" i="20"/>
  <c r="AF2999" i="20"/>
  <c r="AG2999" i="20" s="1"/>
  <c r="AE2963" i="20"/>
  <c r="AF2963" i="20"/>
  <c r="AG2963" i="20" s="1"/>
  <c r="AE2814" i="20"/>
  <c r="AF2814" i="20"/>
  <c r="AG2814" i="20" s="1"/>
  <c r="AE4261" i="20"/>
  <c r="AE4173" i="20"/>
  <c r="AE4147" i="20"/>
  <c r="AE4128" i="20"/>
  <c r="AE4082" i="20"/>
  <c r="AE4069" i="20"/>
  <c r="AE4038" i="20"/>
  <c r="AF3916" i="20"/>
  <c r="AG3916" i="20" s="1"/>
  <c r="AE3916" i="20"/>
  <c r="AE3837" i="20"/>
  <c r="AE3817" i="20"/>
  <c r="AE3757" i="20"/>
  <c r="AF3757" i="20"/>
  <c r="AG3757" i="20" s="1"/>
  <c r="AE3742" i="20"/>
  <c r="AE3709" i="20"/>
  <c r="AE3676" i="20"/>
  <c r="AF3676" i="20"/>
  <c r="AG3676" i="20" s="1"/>
  <c r="AE3581" i="20"/>
  <c r="AE3523" i="20"/>
  <c r="AF3523" i="20"/>
  <c r="AG3523" i="20" s="1"/>
  <c r="AE3501" i="20"/>
  <c r="AE3435" i="20"/>
  <c r="AE3409" i="20"/>
  <c r="AF3409" i="20"/>
  <c r="AG3409" i="20" s="1"/>
  <c r="AE3390" i="20"/>
  <c r="AF3390" i="20"/>
  <c r="AG3390" i="20" s="1"/>
  <c r="AE3339" i="20"/>
  <c r="AE3313" i="20"/>
  <c r="AF3313" i="20"/>
  <c r="AG3313" i="20" s="1"/>
  <c r="AF2616" i="20"/>
  <c r="AG2616" i="20" s="1"/>
  <c r="AE2616" i="20"/>
  <c r="AE2575" i="20"/>
  <c r="AF2575" i="20"/>
  <c r="AG2575" i="20" s="1"/>
  <c r="AE3879" i="20"/>
  <c r="AF3879" i="20"/>
  <c r="AG3879" i="20" s="1"/>
  <c r="AE3791" i="20"/>
  <c r="AF3791" i="20"/>
  <c r="AG3791" i="20" s="1"/>
  <c r="AE3458" i="20"/>
  <c r="AF3458" i="20"/>
  <c r="AG3458" i="20" s="1"/>
  <c r="AE3108" i="20"/>
  <c r="AF3108" i="20"/>
  <c r="AG3108" i="20" s="1"/>
  <c r="AE4690" i="20"/>
  <c r="AE4658" i="20"/>
  <c r="AE4490" i="20"/>
  <c r="AE4277" i="20"/>
  <c r="AE4255" i="20"/>
  <c r="AE4214" i="20"/>
  <c r="AE4032" i="20"/>
  <c r="AE4014" i="20"/>
  <c r="AE3990" i="20"/>
  <c r="AF3976" i="20"/>
  <c r="AG3976" i="20" s="1"/>
  <c r="AE3976" i="20"/>
  <c r="AE3947" i="20"/>
  <c r="AF3947" i="20"/>
  <c r="AG3947" i="20" s="1"/>
  <c r="AE3921" i="20"/>
  <c r="AE3857" i="20"/>
  <c r="AE3823" i="20"/>
  <c r="AE3720" i="20"/>
  <c r="AF3720" i="20"/>
  <c r="AG3720" i="20" s="1"/>
  <c r="AE3649" i="20"/>
  <c r="AE3507" i="20"/>
  <c r="AF3507" i="20"/>
  <c r="AG3507" i="20" s="1"/>
  <c r="AF3286" i="20"/>
  <c r="AG3286" i="20" s="1"/>
  <c r="AE3286" i="20"/>
  <c r="AF3252" i="20"/>
  <c r="AG3252" i="20" s="1"/>
  <c r="AE3252" i="20"/>
  <c r="AE2846" i="20"/>
  <c r="AF2846" i="20"/>
  <c r="AG2846" i="20" s="1"/>
  <c r="AE3227" i="20"/>
  <c r="AE3102" i="20"/>
  <c r="AE3005" i="20"/>
  <c r="AE2969" i="20"/>
  <c r="AE2894" i="20"/>
  <c r="AF2894" i="20"/>
  <c r="AG2894" i="20" s="1"/>
  <c r="AE2834" i="20"/>
  <c r="AF2834" i="20"/>
  <c r="AG2834" i="20" s="1"/>
  <c r="AF2482" i="20"/>
  <c r="AG2482" i="20" s="1"/>
  <c r="AE2482" i="20"/>
  <c r="AF2422" i="20"/>
  <c r="AG2422" i="20" s="1"/>
  <c r="AE2422" i="20"/>
  <c r="AF1810" i="20"/>
  <c r="AG1810" i="20" s="1"/>
  <c r="AE1810" i="20"/>
  <c r="AE3205" i="20"/>
  <c r="AE3072" i="20"/>
  <c r="AE3004" i="20"/>
  <c r="AF3004" i="20"/>
  <c r="AG3004" i="20" s="1"/>
  <c r="AE2915" i="20"/>
  <c r="AF2915" i="20"/>
  <c r="AG2915" i="20" s="1"/>
  <c r="AF2628" i="20"/>
  <c r="AG2628" i="20" s="1"/>
  <c r="AE2628" i="20"/>
  <c r="AF2608" i="20"/>
  <c r="AG2608" i="20" s="1"/>
  <c r="AE2608" i="20"/>
  <c r="AE3727" i="20"/>
  <c r="AE3675" i="20"/>
  <c r="AE3623" i="20"/>
  <c r="AE3617" i="20"/>
  <c r="AE3472" i="20"/>
  <c r="AE3237" i="20"/>
  <c r="AE3221" i="20"/>
  <c r="AE3182" i="20"/>
  <c r="AE3165" i="20"/>
  <c r="AE3101" i="20"/>
  <c r="AE2899" i="20"/>
  <c r="AF2899" i="20"/>
  <c r="AG2899" i="20" s="1"/>
  <c r="AE2874" i="20"/>
  <c r="AF2874" i="20"/>
  <c r="AG2874" i="20" s="1"/>
  <c r="AF2494" i="20"/>
  <c r="AG2494" i="20" s="1"/>
  <c r="AE2494" i="20"/>
  <c r="AE1549" i="20"/>
  <c r="AF1549" i="20"/>
  <c r="AG1549" i="20" s="1"/>
  <c r="AE3744" i="20"/>
  <c r="AE3711" i="20"/>
  <c r="AE3659" i="20"/>
  <c r="AE3413" i="20"/>
  <c r="AE3397" i="20"/>
  <c r="AE3365" i="20"/>
  <c r="AE3349" i="20"/>
  <c r="AE3333" i="20"/>
  <c r="AE3317" i="20"/>
  <c r="AE3301" i="20"/>
  <c r="AE3284" i="20"/>
  <c r="AE3267" i="20"/>
  <c r="AE3249" i="20"/>
  <c r="AE3124" i="20"/>
  <c r="AE3048" i="20"/>
  <c r="AF3048" i="20"/>
  <c r="AG3048" i="20" s="1"/>
  <c r="AE2906" i="20"/>
  <c r="AF2906" i="20"/>
  <c r="AG2906" i="20" s="1"/>
  <c r="AF2680" i="20"/>
  <c r="AG2680" i="20" s="1"/>
  <c r="AE2680" i="20"/>
  <c r="AE2427" i="20"/>
  <c r="AF2427" i="20"/>
  <c r="AG2427" i="20" s="1"/>
  <c r="AF2085" i="20"/>
  <c r="AG2085" i="20" s="1"/>
  <c r="AE2085" i="20"/>
  <c r="AF1954" i="20"/>
  <c r="AG1954" i="20" s="1"/>
  <c r="AE1954" i="20"/>
  <c r="AE1620" i="20"/>
  <c r="AF1620" i="20"/>
  <c r="AG1620" i="20" s="1"/>
  <c r="AE1605" i="20"/>
  <c r="AF1605" i="20"/>
  <c r="AG1605" i="20" s="1"/>
  <c r="AE1296" i="20"/>
  <c r="AF1296" i="20"/>
  <c r="AG1296" i="20" s="1"/>
  <c r="AE3833" i="20"/>
  <c r="AE3787" i="20"/>
  <c r="AE3705" i="20"/>
  <c r="AE3695" i="20"/>
  <c r="AE3591" i="20"/>
  <c r="AE3585" i="20"/>
  <c r="AE3569" i="20"/>
  <c r="AE3559" i="20"/>
  <c r="AE3553" i="20"/>
  <c r="AE3543" i="20"/>
  <c r="AE3537" i="20"/>
  <c r="AE3527" i="20"/>
  <c r="AE3521" i="20"/>
  <c r="AE3511" i="20"/>
  <c r="AE3505" i="20"/>
  <c r="AE3495" i="20"/>
  <c r="AE3489" i="20"/>
  <c r="AE3479" i="20"/>
  <c r="AE3203" i="20"/>
  <c r="AE3198" i="20"/>
  <c r="AE3153" i="20"/>
  <c r="AE3134" i="20"/>
  <c r="AE3060" i="20"/>
  <c r="AE2948" i="20"/>
  <c r="AF2948" i="20"/>
  <c r="AG2948" i="20" s="1"/>
  <c r="AE2904" i="20"/>
  <c r="AE2898" i="20"/>
  <c r="AF2898" i="20"/>
  <c r="AG2898" i="20" s="1"/>
  <c r="AE2798" i="20"/>
  <c r="AF2798" i="20"/>
  <c r="AG2798" i="20" s="1"/>
  <c r="AE2770" i="20"/>
  <c r="AF2770" i="20"/>
  <c r="AG2770" i="20" s="1"/>
  <c r="AE2739" i="20"/>
  <c r="AF2739" i="20"/>
  <c r="AG2739" i="20" s="1"/>
  <c r="AE2713" i="20"/>
  <c r="AF2713" i="20"/>
  <c r="AG2713" i="20" s="1"/>
  <c r="AE2693" i="20"/>
  <c r="AF2693" i="20"/>
  <c r="AG2693" i="20" s="1"/>
  <c r="AF2282" i="20"/>
  <c r="AG2282" i="20" s="1"/>
  <c r="AE2282" i="20"/>
  <c r="AF1775" i="20"/>
  <c r="AG1775" i="20" s="1"/>
  <c r="AF3374" i="20"/>
  <c r="AG3374" i="20" s="1"/>
  <c r="AF3342" i="20"/>
  <c r="AG3342" i="20" s="1"/>
  <c r="AF3326" i="20"/>
  <c r="AG3326" i="20" s="1"/>
  <c r="AF3310" i="20"/>
  <c r="AG3310" i="20" s="1"/>
  <c r="AF3294" i="20"/>
  <c r="AG3294" i="20" s="1"/>
  <c r="AF3277" i="20"/>
  <c r="AG3277" i="20" s="1"/>
  <c r="AF3260" i="20"/>
  <c r="AG3260" i="20" s="1"/>
  <c r="AE3053" i="20"/>
  <c r="AF3053" i="20"/>
  <c r="AG3053" i="20" s="1"/>
  <c r="AF2996" i="20"/>
  <c r="AG2996" i="20" s="1"/>
  <c r="AF2984" i="20"/>
  <c r="AG2984" i="20" s="1"/>
  <c r="AE2927" i="20"/>
  <c r="AF2927" i="20"/>
  <c r="AG2927" i="20" s="1"/>
  <c r="AE2818" i="20"/>
  <c r="AF2818" i="20"/>
  <c r="AG2818" i="20" s="1"/>
  <c r="AF2620" i="20"/>
  <c r="AG2620" i="20" s="1"/>
  <c r="AE2620" i="20"/>
  <c r="AE3984" i="20"/>
  <c r="AE3919" i="20"/>
  <c r="AE3827" i="20"/>
  <c r="AE3780" i="20"/>
  <c r="AF3742" i="20"/>
  <c r="AG3742" i="20" s="1"/>
  <c r="AF3709" i="20"/>
  <c r="AG3709" i="20" s="1"/>
  <c r="AF3668" i="20"/>
  <c r="AG3668" i="20" s="1"/>
  <c r="AE3663" i="20"/>
  <c r="AE3611" i="20"/>
  <c r="AF3605" i="20"/>
  <c r="AG3605" i="20" s="1"/>
  <c r="AF3552" i="20"/>
  <c r="AG3552" i="20" s="1"/>
  <c r="AF3536" i="20"/>
  <c r="AG3536" i="20" s="1"/>
  <c r="AF3520" i="20"/>
  <c r="AG3520" i="20" s="1"/>
  <c r="AF3504" i="20"/>
  <c r="AG3504" i="20" s="1"/>
  <c r="AF3488" i="20"/>
  <c r="AG3488" i="20" s="1"/>
  <c r="AE3241" i="20"/>
  <c r="AE3225" i="20"/>
  <c r="AF3174" i="20"/>
  <c r="AG3174" i="20" s="1"/>
  <c r="AE3140" i="20"/>
  <c r="AF3133" i="20"/>
  <c r="AG3133" i="20" s="1"/>
  <c r="AF3064" i="20"/>
  <c r="AG3064" i="20" s="1"/>
  <c r="AE2979" i="20"/>
  <c r="AE2903" i="20"/>
  <c r="AE2850" i="20"/>
  <c r="AF2850" i="20"/>
  <c r="AG2850" i="20" s="1"/>
  <c r="AF2817" i="20"/>
  <c r="AG2817" i="20" s="1"/>
  <c r="AF2462" i="20"/>
  <c r="AG2462" i="20" s="1"/>
  <c r="AE2462" i="20"/>
  <c r="AE2119" i="20"/>
  <c r="AF2119" i="20"/>
  <c r="AG2119" i="20" s="1"/>
  <c r="AE3953" i="20"/>
  <c r="AE3861" i="20"/>
  <c r="AE3797" i="20"/>
  <c r="AE3657" i="20"/>
  <c r="AE3647" i="20"/>
  <c r="AE3466" i="20"/>
  <c r="AE3460" i="20"/>
  <c r="AE3449" i="20"/>
  <c r="AE3443" i="20"/>
  <c r="AE3433" i="20"/>
  <c r="AE3427" i="20"/>
  <c r="AE3417" i="20"/>
  <c r="AE3411" i="20"/>
  <c r="AE3401" i="20"/>
  <c r="AE3395" i="20"/>
  <c r="AE3385" i="20"/>
  <c r="AE3369" i="20"/>
  <c r="AE3363" i="20"/>
  <c r="AE3353" i="20"/>
  <c r="AE3337" i="20"/>
  <c r="AE3331" i="20"/>
  <c r="AE3321" i="20"/>
  <c r="AE3315" i="20"/>
  <c r="AE3305" i="20"/>
  <c r="AE3299" i="20"/>
  <c r="AE3289" i="20"/>
  <c r="AE3271" i="20"/>
  <c r="AE3265" i="20"/>
  <c r="AE3255" i="20"/>
  <c r="AE3247" i="20"/>
  <c r="AE3197" i="20"/>
  <c r="AE3169" i="20"/>
  <c r="AE3088" i="20"/>
  <c r="AE3058" i="20"/>
  <c r="AE3021" i="20"/>
  <c r="AE2947" i="20"/>
  <c r="AE2878" i="20"/>
  <c r="AF2878" i="20"/>
  <c r="AG2878" i="20" s="1"/>
  <c r="AE2871" i="20"/>
  <c r="AF2849" i="20"/>
  <c r="AG2849" i="20" s="1"/>
  <c r="AF2750" i="20"/>
  <c r="AG2750" i="20" s="1"/>
  <c r="AE2750" i="20"/>
  <c r="AE2539" i="20"/>
  <c r="AF2539" i="20"/>
  <c r="AG2539" i="20" s="1"/>
  <c r="AE2910" i="20"/>
  <c r="AF2910" i="20"/>
  <c r="AG2910" i="20" s="1"/>
  <c r="AE2691" i="20"/>
  <c r="AF2691" i="20"/>
  <c r="AG2691" i="20" s="1"/>
  <c r="AE2287" i="20"/>
  <c r="AF2287" i="20"/>
  <c r="AG2287" i="20" s="1"/>
  <c r="AE3699" i="20"/>
  <c r="AE3098" i="20"/>
  <c r="AE3076" i="20"/>
  <c r="AE3069" i="20"/>
  <c r="AE3039" i="20"/>
  <c r="AE3027" i="20"/>
  <c r="AE2989" i="20"/>
  <c r="AE2932" i="20"/>
  <c r="AF2932" i="20"/>
  <c r="AG2932" i="20" s="1"/>
  <c r="AE2890" i="20"/>
  <c r="AF2890" i="20"/>
  <c r="AG2890" i="20" s="1"/>
  <c r="AE2723" i="20"/>
  <c r="AF2723" i="20"/>
  <c r="AG2723" i="20" s="1"/>
  <c r="AF2704" i="20"/>
  <c r="AG2704" i="20" s="1"/>
  <c r="AE2704" i="20"/>
  <c r="AF2552" i="20"/>
  <c r="AG2552" i="20" s="1"/>
  <c r="AE2552" i="20"/>
  <c r="AE2331" i="20"/>
  <c r="AF2331" i="20"/>
  <c r="AG2331" i="20" s="1"/>
  <c r="AF2110" i="20"/>
  <c r="AG2110" i="20" s="1"/>
  <c r="AE2110" i="20"/>
  <c r="AE1909" i="20"/>
  <c r="AF1909" i="20"/>
  <c r="AG1909" i="20" s="1"/>
  <c r="AE3683" i="20"/>
  <c r="AE3599" i="20"/>
  <c r="AE3470" i="20"/>
  <c r="AE3020" i="20"/>
  <c r="AF3020" i="20"/>
  <c r="AG3020" i="20" s="1"/>
  <c r="AE2939" i="20"/>
  <c r="AF2939" i="20"/>
  <c r="AG2939" i="20" s="1"/>
  <c r="AE2883" i="20"/>
  <c r="AF2883" i="20"/>
  <c r="AG2883" i="20" s="1"/>
  <c r="AE2802" i="20"/>
  <c r="AF2802" i="20"/>
  <c r="AG2802" i="20" s="1"/>
  <c r="AE2782" i="20"/>
  <c r="AF2782" i="20"/>
  <c r="AG2782" i="20" s="1"/>
  <c r="AF2690" i="20"/>
  <c r="AG2690" i="20" s="1"/>
  <c r="AF2664" i="20"/>
  <c r="AG2664" i="20" s="1"/>
  <c r="AE2664" i="20"/>
  <c r="AF2338" i="20"/>
  <c r="AG2338" i="20" s="1"/>
  <c r="AE2338" i="20"/>
  <c r="AF3963" i="20"/>
  <c r="AG3963" i="20" s="1"/>
  <c r="AE3928" i="20"/>
  <c r="AE3923" i="20"/>
  <c r="AE3889" i="20"/>
  <c r="AE3769" i="20"/>
  <c r="AE3735" i="20"/>
  <c r="AF3703" i="20"/>
  <c r="AG3703" i="20" s="1"/>
  <c r="AE3667" i="20"/>
  <c r="AF3629" i="20"/>
  <c r="AG3629" i="20" s="1"/>
  <c r="AF3624" i="20"/>
  <c r="AG3624" i="20" s="1"/>
  <c r="AE3593" i="20"/>
  <c r="AE3437" i="20"/>
  <c r="AE3421" i="20"/>
  <c r="AE3405" i="20"/>
  <c r="AE3389" i="20"/>
  <c r="AE3373" i="20"/>
  <c r="AE3357" i="20"/>
  <c r="AE3341" i="20"/>
  <c r="AE3325" i="20"/>
  <c r="AE3309" i="20"/>
  <c r="AE3293" i="20"/>
  <c r="AE3276" i="20"/>
  <c r="AE3259" i="20"/>
  <c r="AE3245" i="20"/>
  <c r="AF3206" i="20"/>
  <c r="AG3206" i="20" s="1"/>
  <c r="AE3195" i="20"/>
  <c r="AE3167" i="20"/>
  <c r="AF3097" i="20"/>
  <c r="AG3097" i="20" s="1"/>
  <c r="AE3086" i="20"/>
  <c r="AE2995" i="20"/>
  <c r="AE2959" i="20"/>
  <c r="AE2937" i="20"/>
  <c r="AE2931" i="20"/>
  <c r="AF2931" i="20"/>
  <c r="AG2931" i="20" s="1"/>
  <c r="AF2564" i="20"/>
  <c r="AG2564" i="20" s="1"/>
  <c r="AE2564" i="20"/>
  <c r="AF2386" i="20"/>
  <c r="AG2386" i="20" s="1"/>
  <c r="AE2386" i="20"/>
  <c r="AE3819" i="20"/>
  <c r="AE3651" i="20"/>
  <c r="AE3583" i="20"/>
  <c r="AE3567" i="20"/>
  <c r="AE3551" i="20"/>
  <c r="AE3535" i="20"/>
  <c r="AE3503" i="20"/>
  <c r="AE3487" i="20"/>
  <c r="AF3474" i="20"/>
  <c r="AG3474" i="20" s="1"/>
  <c r="AF3233" i="20"/>
  <c r="AG3233" i="20" s="1"/>
  <c r="AF3217" i="20"/>
  <c r="AG3217" i="20" s="1"/>
  <c r="AF3161" i="20"/>
  <c r="AG3161" i="20" s="1"/>
  <c r="AE3150" i="20"/>
  <c r="AE2988" i="20"/>
  <c r="AF2988" i="20"/>
  <c r="AG2988" i="20" s="1"/>
  <c r="AF2760" i="20"/>
  <c r="AG2760" i="20" s="1"/>
  <c r="AE2760" i="20"/>
  <c r="AE2729" i="20"/>
  <c r="AF2729" i="20"/>
  <c r="AG2729" i="20" s="1"/>
  <c r="AF2544" i="20"/>
  <c r="AG2544" i="20" s="1"/>
  <c r="AE2544" i="20"/>
  <c r="AF2467" i="20"/>
  <c r="AG2467" i="20" s="1"/>
  <c r="AE2407" i="20"/>
  <c r="AF2407" i="20"/>
  <c r="AG2407" i="20" s="1"/>
  <c r="AE2032" i="20"/>
  <c r="AF2032" i="20"/>
  <c r="AG2032" i="20" s="1"/>
  <c r="AE1834" i="20"/>
  <c r="AF1834" i="20"/>
  <c r="AG1834" i="20" s="1"/>
  <c r="AE3945" i="20"/>
  <c r="AE3883" i="20"/>
  <c r="AE3865" i="20"/>
  <c r="AE3853" i="20"/>
  <c r="AE3807" i="20"/>
  <c r="AE3789" i="20"/>
  <c r="AE3697" i="20"/>
  <c r="AE3211" i="20"/>
  <c r="AE3155" i="20"/>
  <c r="AE3120" i="20"/>
  <c r="AE3092" i="20"/>
  <c r="AE2766" i="20"/>
  <c r="AF2766" i="20"/>
  <c r="AG2766" i="20" s="1"/>
  <c r="AE2475" i="20"/>
  <c r="AF2475" i="20"/>
  <c r="AG2475" i="20" s="1"/>
  <c r="AF2414" i="20"/>
  <c r="AG2414" i="20" s="1"/>
  <c r="AE2414" i="20"/>
  <c r="AF2358" i="20"/>
  <c r="AG2358" i="20" s="1"/>
  <c r="AE2358" i="20"/>
  <c r="AF2162" i="20"/>
  <c r="AG2162" i="20" s="1"/>
  <c r="AE2162" i="20"/>
  <c r="AE2707" i="20"/>
  <c r="AE2663" i="20"/>
  <c r="AF2663" i="20"/>
  <c r="AG2663" i="20" s="1"/>
  <c r="AE2419" i="20"/>
  <c r="AF2419" i="20"/>
  <c r="AG2419" i="20" s="1"/>
  <c r="AE2397" i="20"/>
  <c r="AE2383" i="20"/>
  <c r="AF2383" i="20"/>
  <c r="AG2383" i="20" s="1"/>
  <c r="AE2261" i="20"/>
  <c r="AE2255" i="20"/>
  <c r="AE2133" i="20"/>
  <c r="AF1765" i="20"/>
  <c r="AG1765" i="20" s="1"/>
  <c r="AE1765" i="20"/>
  <c r="AE1692" i="20"/>
  <c r="AF1692" i="20"/>
  <c r="AG1692" i="20" s="1"/>
  <c r="AE1640" i="20"/>
  <c r="AF1640" i="20"/>
  <c r="AG1640" i="20" s="1"/>
  <c r="AF8" i="20"/>
  <c r="AG8" i="20" s="1"/>
  <c r="AE8" i="20"/>
  <c r="AE2882" i="20"/>
  <c r="AE2876" i="20"/>
  <c r="AE2866" i="20"/>
  <c r="AF2701" i="20"/>
  <c r="AG2701" i="20" s="1"/>
  <c r="AF2689" i="20"/>
  <c r="AG2689" i="20" s="1"/>
  <c r="AE2587" i="20"/>
  <c r="AE2527" i="20"/>
  <c r="AE2486" i="20"/>
  <c r="AE2480" i="20"/>
  <c r="AE2445" i="20"/>
  <c r="AE2439" i="20"/>
  <c r="AF2439" i="20"/>
  <c r="AG2439" i="20" s="1"/>
  <c r="AE2410" i="20"/>
  <c r="AE2403" i="20"/>
  <c r="AE2389" i="20"/>
  <c r="AE2362" i="20"/>
  <c r="AF2350" i="20"/>
  <c r="AG2350" i="20" s="1"/>
  <c r="AE2350" i="20"/>
  <c r="AE2286" i="20"/>
  <c r="AE2280" i="20"/>
  <c r="AE2147" i="20"/>
  <c r="AF2147" i="20"/>
  <c r="AG2147" i="20" s="1"/>
  <c r="AF2051" i="20"/>
  <c r="AG2051" i="20" s="1"/>
  <c r="AE1858" i="20"/>
  <c r="AF1858" i="20"/>
  <c r="AG1858" i="20" s="1"/>
  <c r="AE1713" i="20"/>
  <c r="AF1713" i="20"/>
  <c r="AG1713" i="20" s="1"/>
  <c r="AE1656" i="20"/>
  <c r="AF1656" i="20"/>
  <c r="AG1656" i="20" s="1"/>
  <c r="AE1541" i="20"/>
  <c r="AF1541" i="20"/>
  <c r="AG1541" i="20" s="1"/>
  <c r="AE2535" i="20"/>
  <c r="AF2535" i="20"/>
  <c r="AG2535" i="20" s="1"/>
  <c r="AE2451" i="20"/>
  <c r="AF2451" i="20"/>
  <c r="AG2451" i="20" s="1"/>
  <c r="AE2139" i="20"/>
  <c r="AF2139" i="20"/>
  <c r="AG2139" i="20" s="1"/>
  <c r="AE1867" i="20"/>
  <c r="AF1867" i="20"/>
  <c r="AG1867" i="20" s="1"/>
  <c r="AE1628" i="20"/>
  <c r="AF1628" i="20"/>
  <c r="AG1628" i="20" s="1"/>
  <c r="AE2673" i="20"/>
  <c r="AF2624" i="20"/>
  <c r="AG2624" i="20" s="1"/>
  <c r="AE2624" i="20"/>
  <c r="AF2560" i="20"/>
  <c r="AG2560" i="20" s="1"/>
  <c r="AE2560" i="20"/>
  <c r="AF2548" i="20"/>
  <c r="AG2548" i="20" s="1"/>
  <c r="AE2548" i="20"/>
  <c r="AE2513" i="20"/>
  <c r="AE2492" i="20"/>
  <c r="AF2438" i="20"/>
  <c r="AG2438" i="20" s="1"/>
  <c r="AE2438" i="20"/>
  <c r="AE2368" i="20"/>
  <c r="AE2343" i="20"/>
  <c r="AE2292" i="20"/>
  <c r="AF2146" i="20"/>
  <c r="AG2146" i="20" s="1"/>
  <c r="AE2146" i="20"/>
  <c r="AE2102" i="20"/>
  <c r="AF2102" i="20"/>
  <c r="AG2102" i="20" s="1"/>
  <c r="AE1564" i="20"/>
  <c r="AF1564" i="20"/>
  <c r="AG1564" i="20" s="1"/>
  <c r="AF961" i="20"/>
  <c r="AG961" i="20" s="1"/>
  <c r="AE961" i="20"/>
  <c r="AF295" i="20"/>
  <c r="AG295" i="20" s="1"/>
  <c r="AE295" i="20"/>
  <c r="AE2853" i="20"/>
  <c r="AE2837" i="20"/>
  <c r="AE2821" i="20"/>
  <c r="AE2805" i="20"/>
  <c r="AE2789" i="20"/>
  <c r="AE2773" i="20"/>
  <c r="AE2737" i="20"/>
  <c r="AG2688" i="20"/>
  <c r="AG2672" i="20"/>
  <c r="AE2655" i="20"/>
  <c r="AE2579" i="20"/>
  <c r="AE2472" i="20"/>
  <c r="AE2431" i="20"/>
  <c r="AE2395" i="20"/>
  <c r="AF2395" i="20"/>
  <c r="AG2395" i="20" s="1"/>
  <c r="AE2299" i="20"/>
  <c r="AF2299" i="20"/>
  <c r="AG2299" i="20" s="1"/>
  <c r="AF2218" i="20"/>
  <c r="AG2218" i="20" s="1"/>
  <c r="AE2218" i="20"/>
  <c r="AE1616" i="20"/>
  <c r="AF1616" i="20"/>
  <c r="AG1616" i="20" s="1"/>
  <c r="AF1409" i="20"/>
  <c r="AG1409" i="20" s="1"/>
  <c r="AE1409" i="20"/>
  <c r="AE976" i="20"/>
  <c r="AF2983" i="20"/>
  <c r="AG2983" i="20" s="1"/>
  <c r="AF2972" i="20"/>
  <c r="AG2972" i="20" s="1"/>
  <c r="AF2967" i="20"/>
  <c r="AG2967" i="20" s="1"/>
  <c r="AE2951" i="20"/>
  <c r="AE2935" i="20"/>
  <c r="AE2919" i="20"/>
  <c r="AE2902" i="20"/>
  <c r="AE2886" i="20"/>
  <c r="AE2870" i="20"/>
  <c r="AE2747" i="20"/>
  <c r="AG2736" i="20"/>
  <c r="AF2731" i="20"/>
  <c r="AG2731" i="20" s="1"/>
  <c r="AG2720" i="20"/>
  <c r="AG2710" i="20"/>
  <c r="AE2688" i="20"/>
  <c r="AE2683" i="20"/>
  <c r="AE2672" i="20"/>
  <c r="AE2667" i="20"/>
  <c r="AF2635" i="20"/>
  <c r="AG2635" i="20" s="1"/>
  <c r="AE2604" i="20"/>
  <c r="AF2498" i="20"/>
  <c r="AG2498" i="20" s="1"/>
  <c r="AE2498" i="20"/>
  <c r="AE2478" i="20"/>
  <c r="AF2443" i="20"/>
  <c r="AG2443" i="20" s="1"/>
  <c r="AE2424" i="20"/>
  <c r="AE2380" i="20"/>
  <c r="AE2354" i="20"/>
  <c r="AE2115" i="20"/>
  <c r="AF2115" i="20"/>
  <c r="AG2115" i="20" s="1"/>
  <c r="AF2108" i="20"/>
  <c r="AG2108" i="20" s="1"/>
  <c r="AG2095" i="20"/>
  <c r="AE1681" i="20"/>
  <c r="AF1681" i="20"/>
  <c r="AG1681" i="20" s="1"/>
  <c r="AE1556" i="20"/>
  <c r="AF1556" i="20"/>
  <c r="AG1556" i="20" s="1"/>
  <c r="AF2857" i="20"/>
  <c r="AG2857" i="20" s="1"/>
  <c r="AF2841" i="20"/>
  <c r="AG2841" i="20" s="1"/>
  <c r="AF2825" i="20"/>
  <c r="AG2825" i="20" s="1"/>
  <c r="AF2809" i="20"/>
  <c r="AG2809" i="20" s="1"/>
  <c r="AF2793" i="20"/>
  <c r="AG2793" i="20" s="1"/>
  <c r="AF2777" i="20"/>
  <c r="AG2777" i="20" s="1"/>
  <c r="AE2757" i="20"/>
  <c r="AG2746" i="20"/>
  <c r="AE2736" i="20"/>
  <c r="AE2720" i="20"/>
  <c r="AE2710" i="20"/>
  <c r="AF2694" i="20"/>
  <c r="AG2694" i="20" s="1"/>
  <c r="AG2682" i="20"/>
  <c r="AE2526" i="20"/>
  <c r="AE2491" i="20"/>
  <c r="AE2416" i="20"/>
  <c r="AE2387" i="20"/>
  <c r="AF2387" i="20"/>
  <c r="AG2387" i="20" s="1"/>
  <c r="AE2367" i="20"/>
  <c r="AE2171" i="20"/>
  <c r="AF2171" i="20"/>
  <c r="AG2171" i="20" s="1"/>
  <c r="AF2151" i="20"/>
  <c r="AG2151" i="20" s="1"/>
  <c r="AE2101" i="20"/>
  <c r="AE2095" i="20"/>
  <c r="AF2009" i="20"/>
  <c r="AG2009" i="20" s="1"/>
  <c r="AE2009" i="20"/>
  <c r="AF1816" i="20"/>
  <c r="AG1816" i="20" s="1"/>
  <c r="AE1720" i="20"/>
  <c r="AF1720" i="20"/>
  <c r="AG1720" i="20" s="1"/>
  <c r="AE2993" i="20"/>
  <c r="AE2977" i="20"/>
  <c r="AE2961" i="20"/>
  <c r="AF2726" i="20"/>
  <c r="AG2726" i="20" s="1"/>
  <c r="AE2699" i="20"/>
  <c r="AF2699" i="20"/>
  <c r="AG2699" i="20" s="1"/>
  <c r="AF2510" i="20"/>
  <c r="AG2510" i="20" s="1"/>
  <c r="AE2510" i="20"/>
  <c r="AE2851" i="20"/>
  <c r="AE2835" i="20"/>
  <c r="AE2819" i="20"/>
  <c r="AE2803" i="20"/>
  <c r="AE2787" i="20"/>
  <c r="AE2771" i="20"/>
  <c r="AE2677" i="20"/>
  <c r="AE2518" i="20"/>
  <c r="AF2490" i="20"/>
  <c r="AG2490" i="20" s="1"/>
  <c r="AE2490" i="20"/>
  <c r="AE2455" i="20"/>
  <c r="AF2366" i="20"/>
  <c r="AG2366" i="20" s="1"/>
  <c r="AE2366" i="20"/>
  <c r="AE2319" i="20"/>
  <c r="AF2319" i="20"/>
  <c r="AG2319" i="20" s="1"/>
  <c r="AF2170" i="20"/>
  <c r="AG2170" i="20" s="1"/>
  <c r="AE2170" i="20"/>
  <c r="AF2158" i="20"/>
  <c r="AG2158" i="20" s="1"/>
  <c r="AE2158" i="20"/>
  <c r="AE2121" i="20"/>
  <c r="AE1794" i="20"/>
  <c r="AF1794" i="20"/>
  <c r="AG1794" i="20" s="1"/>
  <c r="AF1768" i="20"/>
  <c r="AG1768" i="20" s="1"/>
  <c r="AE1220" i="20"/>
  <c r="AF1220" i="20"/>
  <c r="AG1220" i="20" s="1"/>
  <c r="AF2001" i="20"/>
  <c r="AG2001" i="20" s="1"/>
  <c r="AE2001" i="20"/>
  <c r="AE1652" i="20"/>
  <c r="AF1652" i="20"/>
  <c r="AG1652" i="20" s="1"/>
  <c r="AE1488" i="20"/>
  <c r="AF1488" i="20"/>
  <c r="AG1488" i="20" s="1"/>
  <c r="AE1253" i="20"/>
  <c r="AF1253" i="20"/>
  <c r="AG1253" i="20" s="1"/>
  <c r="AE1240" i="20"/>
  <c r="AF1240" i="20"/>
  <c r="AG1240" i="20" s="1"/>
  <c r="AE2603" i="20"/>
  <c r="AF2576" i="20"/>
  <c r="AG2576" i="20" s="1"/>
  <c r="AE2576" i="20"/>
  <c r="AE2469" i="20"/>
  <c r="AE2448" i="20"/>
  <c r="AE2325" i="20"/>
  <c r="AF2310" i="20"/>
  <c r="AG2310" i="20" s="1"/>
  <c r="AE2310" i="20"/>
  <c r="AE2169" i="20"/>
  <c r="AE2157" i="20"/>
  <c r="AE2127" i="20"/>
  <c r="AF1847" i="20"/>
  <c r="AG1847" i="20" s="1"/>
  <c r="AE1668" i="20"/>
  <c r="AF1668" i="20"/>
  <c r="AG1668" i="20" s="1"/>
  <c r="AE2971" i="20"/>
  <c r="AE2955" i="20"/>
  <c r="AE2709" i="20"/>
  <c r="AF2250" i="20"/>
  <c r="AG2250" i="20" s="1"/>
  <c r="AE2250" i="20"/>
  <c r="AE1802" i="20"/>
  <c r="AF1802" i="20"/>
  <c r="AG1802" i="20" s="1"/>
  <c r="AF1748" i="20"/>
  <c r="AG1748" i="20" s="1"/>
  <c r="AE1748" i="20"/>
  <c r="AE1508" i="20"/>
  <c r="AF1508" i="20"/>
  <c r="AG1508" i="20" s="1"/>
  <c r="AF1266" i="20"/>
  <c r="AG1266" i="20" s="1"/>
  <c r="AE2855" i="20"/>
  <c r="AE2845" i="20"/>
  <c r="AE2839" i="20"/>
  <c r="AE2829" i="20"/>
  <c r="AE2823" i="20"/>
  <c r="AE2813" i="20"/>
  <c r="AE2807" i="20"/>
  <c r="AE2797" i="20"/>
  <c r="AE2791" i="20"/>
  <c r="AE2781" i="20"/>
  <c r="AE2775" i="20"/>
  <c r="AE2765" i="20"/>
  <c r="AE2755" i="20"/>
  <c r="AG2734" i="20"/>
  <c r="AG2718" i="20"/>
  <c r="AF2670" i="20"/>
  <c r="AG2670" i="20" s="1"/>
  <c r="AE2670" i="20"/>
  <c r="AE2639" i="20"/>
  <c r="AE2615" i="20"/>
  <c r="AE2563" i="20"/>
  <c r="AE2531" i="20"/>
  <c r="AF2531" i="20"/>
  <c r="AG2531" i="20" s="1"/>
  <c r="AE2339" i="20"/>
  <c r="AF2339" i="20"/>
  <c r="AG2339" i="20" s="1"/>
  <c r="AE2256" i="20"/>
  <c r="AE2243" i="20"/>
  <c r="AE2175" i="20"/>
  <c r="AE2074" i="20"/>
  <c r="AF1784" i="20"/>
  <c r="AG1784" i="20" s="1"/>
  <c r="AE1798" i="20"/>
  <c r="AE1841" i="20"/>
  <c r="AE1653" i="20"/>
  <c r="AF1653" i="20"/>
  <c r="AG1653" i="20" s="1"/>
  <c r="AE1501" i="20"/>
  <c r="AE1417" i="20"/>
  <c r="AE1401" i="20"/>
  <c r="AF1401" i="20"/>
  <c r="AG1401" i="20" s="1"/>
  <c r="AE1705" i="20"/>
  <c r="AF1705" i="20"/>
  <c r="AG1705" i="20" s="1"/>
  <c r="AE1624" i="20"/>
  <c r="AF1624" i="20"/>
  <c r="AG1624" i="20" s="1"/>
  <c r="AF1028" i="20"/>
  <c r="AG1028" i="20" s="1"/>
  <c r="AE1028" i="20"/>
  <c r="AF661" i="20"/>
  <c r="AG661" i="20" s="1"/>
  <c r="AE661" i="20"/>
  <c r="AE2479" i="20"/>
  <c r="AE2436" i="20"/>
  <c r="AE2404" i="20"/>
  <c r="AE2379" i="20"/>
  <c r="AE2336" i="20"/>
  <c r="AE2304" i="20"/>
  <c r="AE2291" i="20"/>
  <c r="AE2285" i="20"/>
  <c r="AE2279" i="20"/>
  <c r="AE2193" i="20"/>
  <c r="AE2187" i="20"/>
  <c r="AE2168" i="20"/>
  <c r="AE2144" i="20"/>
  <c r="AG2083" i="20"/>
  <c r="AE2078" i="20"/>
  <c r="AE2030" i="20"/>
  <c r="AE2000" i="20"/>
  <c r="AE1959" i="20"/>
  <c r="AE1852" i="20"/>
  <c r="AF1751" i="20"/>
  <c r="AG1751" i="20" s="1"/>
  <c r="AE1744" i="20"/>
  <c r="AE1730" i="20"/>
  <c r="AE1658" i="20"/>
  <c r="AE1638" i="20"/>
  <c r="AE1576" i="20"/>
  <c r="AF1576" i="20"/>
  <c r="AG1576" i="20" s="1"/>
  <c r="AE1424" i="20"/>
  <c r="AF1325" i="20"/>
  <c r="AG1325" i="20" s="1"/>
  <c r="AE1325" i="20"/>
  <c r="AE1310" i="20"/>
  <c r="AF1092" i="20"/>
  <c r="AG1092" i="20" s="1"/>
  <c r="AE1092" i="20"/>
  <c r="AF1013" i="20"/>
  <c r="AG1013" i="20" s="1"/>
  <c r="AE1013" i="20"/>
  <c r="AE2272" i="20"/>
  <c r="AE2223" i="20"/>
  <c r="AE2204" i="20"/>
  <c r="AE2180" i="20"/>
  <c r="AE2112" i="20"/>
  <c r="AE1922" i="20"/>
  <c r="AF1922" i="20"/>
  <c r="AG1922" i="20" s="1"/>
  <c r="AF1832" i="20"/>
  <c r="AG1832" i="20" s="1"/>
  <c r="AE1704" i="20"/>
  <c r="AE1464" i="20"/>
  <c r="AF1464" i="20"/>
  <c r="AG1464" i="20" s="1"/>
  <c r="AE1324" i="20"/>
  <c r="AF1324" i="20"/>
  <c r="AG1324" i="20" s="1"/>
  <c r="AE1121" i="20"/>
  <c r="AF1121" i="20"/>
  <c r="AG1121" i="20" s="1"/>
  <c r="AE716" i="20"/>
  <c r="AF716" i="20"/>
  <c r="AG716" i="20" s="1"/>
  <c r="AE672" i="20"/>
  <c r="AF672" i="20"/>
  <c r="AG672" i="20" s="1"/>
  <c r="AE2316" i="20"/>
  <c r="AE2303" i="20"/>
  <c r="AE2284" i="20"/>
  <c r="AE2247" i="20"/>
  <c r="AF2247" i="20"/>
  <c r="AG2247" i="20" s="1"/>
  <c r="AE1777" i="20"/>
  <c r="AE1717" i="20"/>
  <c r="AF1717" i="20"/>
  <c r="AG1717" i="20" s="1"/>
  <c r="AF1097" i="20"/>
  <c r="AG1097" i="20" s="1"/>
  <c r="AE1097" i="20"/>
  <c r="AE2696" i="20"/>
  <c r="AE2681" i="20"/>
  <c r="AE2636" i="20"/>
  <c r="AE2572" i="20"/>
  <c r="AE2567" i="20"/>
  <c r="AE2555" i="20"/>
  <c r="AE2506" i="20"/>
  <c r="AE2495" i="20"/>
  <c r="AE2489" i="20"/>
  <c r="AE2459" i="20"/>
  <c r="AE2384" i="20"/>
  <c r="AF2334" i="20"/>
  <c r="AG2334" i="20" s="1"/>
  <c r="AE2334" i="20"/>
  <c r="AE2309" i="20"/>
  <c r="AE2240" i="20"/>
  <c r="AE2228" i="20"/>
  <c r="AE2216" i="20"/>
  <c r="AF2142" i="20"/>
  <c r="AG2142" i="20" s="1"/>
  <c r="AE2142" i="20"/>
  <c r="AG2047" i="20"/>
  <c r="AE1968" i="20"/>
  <c r="AE1943" i="20"/>
  <c r="AF1875" i="20"/>
  <c r="AG1875" i="20" s="1"/>
  <c r="AE1857" i="20"/>
  <c r="AE1831" i="20"/>
  <c r="AE1813" i="20"/>
  <c r="AE1756" i="20"/>
  <c r="AF1709" i="20"/>
  <c r="AG1709" i="20" s="1"/>
  <c r="AE1684" i="20"/>
  <c r="AF1684" i="20"/>
  <c r="AG1684" i="20" s="1"/>
  <c r="AE1650" i="20"/>
  <c r="AE1568" i="20"/>
  <c r="AF1568" i="20"/>
  <c r="AG1568" i="20" s="1"/>
  <c r="AE1470" i="20"/>
  <c r="AF1449" i="20"/>
  <c r="AG1449" i="20" s="1"/>
  <c r="AE1436" i="20"/>
  <c r="AF1436" i="20"/>
  <c r="AG1436" i="20" s="1"/>
  <c r="AF471" i="20"/>
  <c r="AG471" i="20" s="1"/>
  <c r="AE471" i="20"/>
  <c r="AF2434" i="20"/>
  <c r="AG2434" i="20" s="1"/>
  <c r="AE2434" i="20"/>
  <c r="AE2258" i="20"/>
  <c r="AF2239" i="20"/>
  <c r="AG2239" i="20" s="1"/>
  <c r="AF2227" i="20"/>
  <c r="AG2227" i="20" s="1"/>
  <c r="AF2215" i="20"/>
  <c r="AG2215" i="20" s="1"/>
  <c r="AF2135" i="20"/>
  <c r="AG2135" i="20" s="1"/>
  <c r="AF2123" i="20"/>
  <c r="AG2123" i="20" s="1"/>
  <c r="AE2069" i="20"/>
  <c r="AE2047" i="20"/>
  <c r="AF1914" i="20"/>
  <c r="AG1914" i="20" s="1"/>
  <c r="AF1728" i="20"/>
  <c r="AG1728" i="20" s="1"/>
  <c r="AF1696" i="20"/>
  <c r="AG1696" i="20" s="1"/>
  <c r="AE1484" i="20"/>
  <c r="AF1484" i="20"/>
  <c r="AG1484" i="20" s="1"/>
  <c r="AE1477" i="20"/>
  <c r="AF1477" i="20"/>
  <c r="AG1477" i="20" s="1"/>
  <c r="AE1360" i="20"/>
  <c r="AF1360" i="20"/>
  <c r="AG1360" i="20" s="1"/>
  <c r="AF1113" i="20"/>
  <c r="AG1113" i="20" s="1"/>
  <c r="AE1113" i="20"/>
  <c r="AE2711" i="20"/>
  <c r="AE2607" i="20"/>
  <c r="AE2595" i="20"/>
  <c r="AE2543" i="20"/>
  <c r="AE2500" i="20"/>
  <c r="AE2471" i="20"/>
  <c r="AE2465" i="20"/>
  <c r="AF2346" i="20"/>
  <c r="AG2346" i="20" s="1"/>
  <c r="AE2346" i="20"/>
  <c r="AE2333" i="20"/>
  <c r="AE2327" i="20"/>
  <c r="AE2315" i="20"/>
  <c r="AF2270" i="20"/>
  <c r="AG2270" i="20" s="1"/>
  <c r="AE2270" i="20"/>
  <c r="AE2252" i="20"/>
  <c r="AE2209" i="20"/>
  <c r="AE2191" i="20"/>
  <c r="AF2154" i="20"/>
  <c r="AG2154" i="20" s="1"/>
  <c r="AE2154" i="20"/>
  <c r="AE2141" i="20"/>
  <c r="AE2117" i="20"/>
  <c r="AG2063" i="20"/>
  <c r="AF1997" i="20"/>
  <c r="AG1997" i="20" s="1"/>
  <c r="AE1997" i="20"/>
  <c r="AE1951" i="20"/>
  <c r="AE1920" i="20"/>
  <c r="AE1869" i="20"/>
  <c r="AE1836" i="20"/>
  <c r="AE1825" i="20"/>
  <c r="AF1800" i="20"/>
  <c r="AG1800" i="20" s="1"/>
  <c r="AE1782" i="20"/>
  <c r="AE1716" i="20"/>
  <c r="AE1580" i="20"/>
  <c r="AF1580" i="20"/>
  <c r="AG1580" i="20" s="1"/>
  <c r="AE1374" i="20"/>
  <c r="AE1337" i="20"/>
  <c r="AF1337" i="20"/>
  <c r="AG1337" i="20" s="1"/>
  <c r="AE1105" i="20"/>
  <c r="AF1105" i="20"/>
  <c r="AG1105" i="20" s="1"/>
  <c r="AE2221" i="20"/>
  <c r="AE2129" i="20"/>
  <c r="AE2058" i="20"/>
  <c r="AE2034" i="20"/>
  <c r="AE1933" i="20"/>
  <c r="AF1886" i="20"/>
  <c r="AG1886" i="20" s="1"/>
  <c r="AE1886" i="20"/>
  <c r="AE1830" i="20"/>
  <c r="AF1734" i="20"/>
  <c r="AG1734" i="20" s="1"/>
  <c r="AE1734" i="20"/>
  <c r="AE1566" i="20"/>
  <c r="AE1456" i="20"/>
  <c r="AF1456" i="20"/>
  <c r="AG1456" i="20" s="1"/>
  <c r="AE769" i="20"/>
  <c r="AF769" i="20"/>
  <c r="AG769" i="20" s="1"/>
  <c r="AF1140" i="20"/>
  <c r="AG1140" i="20" s="1"/>
  <c r="AE1140" i="20"/>
  <c r="AE2571" i="20"/>
  <c r="AE2499" i="20"/>
  <c r="AE2463" i="20"/>
  <c r="AF2463" i="20"/>
  <c r="AG2463" i="20" s="1"/>
  <c r="AE2351" i="20"/>
  <c r="AE2332" i="20"/>
  <c r="AE2320" i="20"/>
  <c r="AE2263" i="20"/>
  <c r="AE2251" i="20"/>
  <c r="AE2232" i="20"/>
  <c r="AE2208" i="20"/>
  <c r="AE2159" i="20"/>
  <c r="AE2140" i="20"/>
  <c r="AE2116" i="20"/>
  <c r="AE2040" i="20"/>
  <c r="AF2020" i="20"/>
  <c r="AG2020" i="20" s="1"/>
  <c r="AF2008" i="20"/>
  <c r="AG2008" i="20" s="1"/>
  <c r="AE1996" i="20"/>
  <c r="AE1829" i="20"/>
  <c r="AG1823" i="20"/>
  <c r="AF1793" i="20"/>
  <c r="AG1793" i="20" s="1"/>
  <c r="AG1767" i="20"/>
  <c r="AF1761" i="20"/>
  <c r="AG1761" i="20" s="1"/>
  <c r="AE1592" i="20"/>
  <c r="AE1516" i="20"/>
  <c r="AF1516" i="20"/>
  <c r="AG1516" i="20" s="1"/>
  <c r="AE1380" i="20"/>
  <c r="AE2623" i="20"/>
  <c r="AE2547" i="20"/>
  <c r="AE2487" i="20"/>
  <c r="AE2481" i="20"/>
  <c r="AE2444" i="20"/>
  <c r="AE2432" i="20"/>
  <c r="AE2413" i="20"/>
  <c r="AE2381" i="20"/>
  <c r="AE2375" i="20"/>
  <c r="AF2375" i="20"/>
  <c r="AG2375" i="20" s="1"/>
  <c r="AE2363" i="20"/>
  <c r="AE2307" i="20"/>
  <c r="AE2293" i="20"/>
  <c r="AE2281" i="20"/>
  <c r="AE2275" i="20"/>
  <c r="AE2220" i="20"/>
  <c r="AE2183" i="20"/>
  <c r="AF2183" i="20"/>
  <c r="AG2183" i="20" s="1"/>
  <c r="AE2026" i="20"/>
  <c r="AE2014" i="20"/>
  <c r="AE1885" i="20"/>
  <c r="AF1848" i="20"/>
  <c r="AG1848" i="20" s="1"/>
  <c r="AE1767" i="20"/>
  <c r="AE1747" i="20"/>
  <c r="AF1747" i="20"/>
  <c r="AG1747" i="20" s="1"/>
  <c r="AE1726" i="20"/>
  <c r="AE1674" i="20"/>
  <c r="AE1641" i="20"/>
  <c r="AF1641" i="20"/>
  <c r="AG1641" i="20" s="1"/>
  <c r="AE1612" i="20"/>
  <c r="AF1612" i="20"/>
  <c r="AG1612" i="20" s="1"/>
  <c r="AE1598" i="20"/>
  <c r="AE1529" i="20"/>
  <c r="AF1529" i="20"/>
  <c r="AG1529" i="20" s="1"/>
  <c r="AE1502" i="20"/>
  <c r="AE1404" i="20"/>
  <c r="AF1404" i="20"/>
  <c r="AG1404" i="20" s="1"/>
  <c r="AE1201" i="20"/>
  <c r="AF1201" i="20"/>
  <c r="AG1201" i="20" s="1"/>
  <c r="AE1181" i="20"/>
  <c r="AF160" i="20"/>
  <c r="AG160" i="20" s="1"/>
  <c r="AE160" i="20"/>
  <c r="AE175" i="20"/>
  <c r="AF175" i="20"/>
  <c r="AG175" i="20" s="1"/>
  <c r="AE1520" i="20"/>
  <c r="AF1520" i="20"/>
  <c r="AG1520" i="20" s="1"/>
  <c r="AE1481" i="20"/>
  <c r="AE1372" i="20"/>
  <c r="AF1372" i="20"/>
  <c r="AG1372" i="20" s="1"/>
  <c r="AE1357" i="20"/>
  <c r="AF1357" i="20"/>
  <c r="AG1357" i="20" s="1"/>
  <c r="AF1206" i="20"/>
  <c r="AG1206" i="20" s="1"/>
  <c r="AE1206" i="20"/>
  <c r="AE1132" i="20"/>
  <c r="AF1132" i="20"/>
  <c r="AG1132" i="20" s="1"/>
  <c r="AF952" i="20"/>
  <c r="AG952" i="20" s="1"/>
  <c r="AE952" i="20"/>
  <c r="AE1565" i="20"/>
  <c r="AE1500" i="20"/>
  <c r="AF1500" i="20"/>
  <c r="AG1500" i="20" s="1"/>
  <c r="AE1448" i="20"/>
  <c r="AF1448" i="20"/>
  <c r="AG1448" i="20" s="1"/>
  <c r="AE1421" i="20"/>
  <c r="AF1421" i="20"/>
  <c r="AG1421" i="20" s="1"/>
  <c r="AE1349" i="20"/>
  <c r="AF1349" i="20"/>
  <c r="AG1349" i="20" s="1"/>
  <c r="AF1224" i="20"/>
  <c r="AG1224" i="20" s="1"/>
  <c r="AF1192" i="20"/>
  <c r="AG1192" i="20" s="1"/>
  <c r="AE1192" i="20"/>
  <c r="AE1081" i="20"/>
  <c r="AF1081" i="20"/>
  <c r="AG1081" i="20" s="1"/>
  <c r="AF1009" i="20"/>
  <c r="AG1009" i="20" s="1"/>
  <c r="AE1009" i="20"/>
  <c r="AE849" i="20"/>
  <c r="AF849" i="20"/>
  <c r="AG849" i="20" s="1"/>
  <c r="AF379" i="20"/>
  <c r="AG379" i="20" s="1"/>
  <c r="AE379" i="20"/>
  <c r="AE1644" i="20"/>
  <c r="AE1614" i="20"/>
  <c r="AE1406" i="20"/>
  <c r="AE1384" i="20"/>
  <c r="AF1384" i="20"/>
  <c r="AG1384" i="20" s="1"/>
  <c r="AE1263" i="20"/>
  <c r="AD1160" i="20"/>
  <c r="AE1160" i="20" s="1"/>
  <c r="AF1080" i="20"/>
  <c r="AG1080" i="20" s="1"/>
  <c r="AF980" i="20"/>
  <c r="AG980" i="20" s="1"/>
  <c r="AE980" i="20"/>
  <c r="AF215" i="20"/>
  <c r="AG215" i="20" s="1"/>
  <c r="AE215" i="20"/>
  <c r="AE1538" i="20"/>
  <c r="AE1512" i="20"/>
  <c r="AF1512" i="20"/>
  <c r="AG1512" i="20" s="1"/>
  <c r="AE1370" i="20"/>
  <c r="AF1211" i="20"/>
  <c r="AG1211" i="20" s="1"/>
  <c r="AF1124" i="20"/>
  <c r="AG1124" i="20" s="1"/>
  <c r="AE1124" i="20"/>
  <c r="AE1433" i="20"/>
  <c r="AF1433" i="20"/>
  <c r="AG1433" i="20" s="1"/>
  <c r="AE1413" i="20"/>
  <c r="AF1413" i="20"/>
  <c r="AG1413" i="20" s="1"/>
  <c r="AE1172" i="20"/>
  <c r="AF1172" i="20"/>
  <c r="AG1172" i="20" s="1"/>
  <c r="AF1145" i="20"/>
  <c r="AG1145" i="20" s="1"/>
  <c r="AE1145" i="20"/>
  <c r="AE929" i="20"/>
  <c r="AF929" i="20"/>
  <c r="AG929" i="20" s="1"/>
  <c r="AE2458" i="20"/>
  <c r="AE2447" i="20"/>
  <c r="AE2441" i="20"/>
  <c r="AE2412" i="20"/>
  <c r="AE2400" i="20"/>
  <c r="AE2382" i="20"/>
  <c r="AE2371" i="20"/>
  <c r="AE2365" i="20"/>
  <c r="AF2335" i="20"/>
  <c r="AG2335" i="20" s="1"/>
  <c r="AE2324" i="20"/>
  <c r="AE2295" i="20"/>
  <c r="AF2271" i="20"/>
  <c r="AG2271" i="20" s="1"/>
  <c r="AE2260" i="20"/>
  <c r="AE2242" i="20"/>
  <c r="AE2231" i="20"/>
  <c r="AE2196" i="20"/>
  <c r="AE2178" i="20"/>
  <c r="AE2167" i="20"/>
  <c r="AF2143" i="20"/>
  <c r="AG2143" i="20" s="1"/>
  <c r="AE2132" i="20"/>
  <c r="AE2114" i="20"/>
  <c r="AE2087" i="20"/>
  <c r="AE2082" i="20"/>
  <c r="AE2055" i="20"/>
  <c r="AE2033" i="20"/>
  <c r="AE2028" i="20"/>
  <c r="AE1918" i="20"/>
  <c r="AE1812" i="20"/>
  <c r="AE1796" i="20"/>
  <c r="AE1764" i="20"/>
  <c r="AE1736" i="20"/>
  <c r="AE1706" i="20"/>
  <c r="AE1672" i="20"/>
  <c r="AF1665" i="20"/>
  <c r="AG1665" i="20" s="1"/>
  <c r="AF1648" i="20"/>
  <c r="AG1648" i="20" s="1"/>
  <c r="AE1642" i="20"/>
  <c r="AF1581" i="20"/>
  <c r="AG1581" i="20" s="1"/>
  <c r="AE1550" i="20"/>
  <c r="AE1517" i="20"/>
  <c r="AF1269" i="20"/>
  <c r="AG1269" i="20" s="1"/>
  <c r="AE1269" i="20"/>
  <c r="AE1217" i="20"/>
  <c r="AE1204" i="20"/>
  <c r="AF1204" i="20"/>
  <c r="AG1204" i="20" s="1"/>
  <c r="AE1024" i="20"/>
  <c r="AE964" i="20"/>
  <c r="AE649" i="20"/>
  <c r="AF649" i="20"/>
  <c r="AG649" i="20" s="1"/>
  <c r="AE315" i="20"/>
  <c r="AF315" i="20"/>
  <c r="AG315" i="20" s="1"/>
  <c r="AF2399" i="20"/>
  <c r="AG2399" i="20" s="1"/>
  <c r="AE2370" i="20"/>
  <c r="AE2312" i="20"/>
  <c r="AE2277" i="20"/>
  <c r="AE2149" i="20"/>
  <c r="AE2021" i="20"/>
  <c r="AE1910" i="20"/>
  <c r="AE1827" i="20"/>
  <c r="AE1630" i="20"/>
  <c r="AE1593" i="20"/>
  <c r="AE1465" i="20"/>
  <c r="AF1465" i="20"/>
  <c r="AG1465" i="20" s="1"/>
  <c r="AE1369" i="20"/>
  <c r="AF1369" i="20"/>
  <c r="AG1369" i="20" s="1"/>
  <c r="AE1362" i="20"/>
  <c r="AF1353" i="20"/>
  <c r="AG1353" i="20" s="1"/>
  <c r="AF1129" i="20"/>
  <c r="AG1129" i="20" s="1"/>
  <c r="AE1129" i="20"/>
  <c r="AE1116" i="20"/>
  <c r="AF1116" i="20"/>
  <c r="AG1116" i="20" s="1"/>
  <c r="AF1065" i="20"/>
  <c r="AG1065" i="20" s="1"/>
  <c r="AE1065" i="20"/>
  <c r="AE949" i="20"/>
  <c r="AF949" i="20"/>
  <c r="AG949" i="20" s="1"/>
  <c r="AE2423" i="20"/>
  <c r="AE2329" i="20"/>
  <c r="AE2207" i="20"/>
  <c r="AE2172" i="20"/>
  <c r="AE2004" i="20"/>
  <c r="AE1712" i="20"/>
  <c r="AE1618" i="20"/>
  <c r="AE1606" i="20"/>
  <c r="AE1452" i="20"/>
  <c r="AF1452" i="20"/>
  <c r="AG1452" i="20" s="1"/>
  <c r="AE1340" i="20"/>
  <c r="AF1340" i="20"/>
  <c r="AG1340" i="20" s="1"/>
  <c r="AE1305" i="20"/>
  <c r="AF1305" i="20"/>
  <c r="AG1305" i="20" s="1"/>
  <c r="AE1268" i="20"/>
  <c r="AF1268" i="20"/>
  <c r="AG1268" i="20" s="1"/>
  <c r="AE1165" i="20"/>
  <c r="AE992" i="20"/>
  <c r="AF992" i="20"/>
  <c r="AG992" i="20" s="1"/>
  <c r="AF519" i="20"/>
  <c r="AG519" i="20" s="1"/>
  <c r="AE519" i="20"/>
  <c r="AF427" i="20"/>
  <c r="AG427" i="20" s="1"/>
  <c r="AE427" i="20"/>
  <c r="AE2440" i="20"/>
  <c r="AE2393" i="20"/>
  <c r="AE2317" i="20"/>
  <c r="AE2259" i="20"/>
  <c r="AE2253" i="20"/>
  <c r="AE2224" i="20"/>
  <c r="AE2195" i="20"/>
  <c r="AE2189" i="20"/>
  <c r="AE2160" i="20"/>
  <c r="AE2131" i="20"/>
  <c r="AE2125" i="20"/>
  <c r="AE2038" i="20"/>
  <c r="AE1983" i="20"/>
  <c r="AE1929" i="20"/>
  <c r="AE1700" i="20"/>
  <c r="AE1670" i="20"/>
  <c r="AE1490" i="20"/>
  <c r="AE1438" i="20"/>
  <c r="AE1388" i="20"/>
  <c r="AF1388" i="20"/>
  <c r="AG1388" i="20" s="1"/>
  <c r="AE1298" i="20"/>
  <c r="AE1229" i="20"/>
  <c r="AF1108" i="20"/>
  <c r="AG1108" i="20" s="1"/>
  <c r="AE1108" i="20"/>
  <c r="AE1100" i="20"/>
  <c r="AF1100" i="20"/>
  <c r="AG1100" i="20" s="1"/>
  <c r="AF1044" i="20"/>
  <c r="AG1044" i="20" s="1"/>
  <c r="AE1044" i="20"/>
  <c r="AE1290" i="20"/>
  <c r="AE1241" i="20"/>
  <c r="AE1177" i="20"/>
  <c r="AE500" i="20"/>
  <c r="AF500" i="20"/>
  <c r="AG500" i="20" s="1"/>
  <c r="AF487" i="20"/>
  <c r="AG487" i="20" s="1"/>
  <c r="AE487" i="20"/>
  <c r="AF452" i="20"/>
  <c r="AG452" i="20" s="1"/>
  <c r="AE452" i="20"/>
  <c r="AF148" i="20"/>
  <c r="AG148" i="20" s="1"/>
  <c r="AE148" i="20"/>
  <c r="AE50" i="20"/>
  <c r="AF50" i="20"/>
  <c r="AG50" i="20" s="1"/>
  <c r="AE479" i="20"/>
  <c r="AF479" i="20"/>
  <c r="AG479" i="20" s="1"/>
  <c r="AE439" i="20"/>
  <c r="AF439" i="20"/>
  <c r="AG439" i="20" s="1"/>
  <c r="AF400" i="20"/>
  <c r="AG400" i="20" s="1"/>
  <c r="AE400" i="20"/>
  <c r="AE387" i="20"/>
  <c r="AF387" i="20"/>
  <c r="AG387" i="20" s="1"/>
  <c r="AF128" i="20"/>
  <c r="AG128" i="20" s="1"/>
  <c r="AE128" i="20"/>
  <c r="AE30" i="20"/>
  <c r="AF30" i="20"/>
  <c r="AG30" i="20" s="1"/>
  <c r="AE1574" i="20"/>
  <c r="AE1540" i="20"/>
  <c r="AE1510" i="20"/>
  <c r="AE1412" i="20"/>
  <c r="AE1382" i="20"/>
  <c r="AE1348" i="20"/>
  <c r="AE1318" i="20"/>
  <c r="AE1289" i="20"/>
  <c r="AE1279" i="20"/>
  <c r="AE1236" i="20"/>
  <c r="AE1213" i="20"/>
  <c r="AE1203" i="20"/>
  <c r="AG1186" i="20"/>
  <c r="AE1171" i="20"/>
  <c r="AF1085" i="20"/>
  <c r="AG1085" i="20" s="1"/>
  <c r="AE1012" i="20"/>
  <c r="AE988" i="20"/>
  <c r="AE580" i="20"/>
  <c r="AF492" i="20"/>
  <c r="AG492" i="20" s="1"/>
  <c r="AE492" i="20"/>
  <c r="AE444" i="20"/>
  <c r="AF444" i="20"/>
  <c r="AG444" i="20" s="1"/>
  <c r="AE413" i="20"/>
  <c r="AE288" i="20"/>
  <c r="AE220" i="20"/>
  <c r="AF207" i="20"/>
  <c r="AG207" i="20" s="1"/>
  <c r="AE195" i="20"/>
  <c r="AF195" i="20"/>
  <c r="AG195" i="20" s="1"/>
  <c r="AF47" i="20"/>
  <c r="AG47" i="20" s="1"/>
  <c r="AE47" i="20"/>
  <c r="AE505" i="20"/>
  <c r="AE457" i="20"/>
  <c r="AE419" i="20"/>
  <c r="AF419" i="20"/>
  <c r="AG419" i="20" s="1"/>
  <c r="AE365" i="20"/>
  <c r="AF341" i="20"/>
  <c r="AG341" i="20" s="1"/>
  <c r="AE341" i="20"/>
  <c r="AE1504" i="20"/>
  <c r="AE1474" i="20"/>
  <c r="AE1440" i="20"/>
  <c r="AE1410" i="20"/>
  <c r="AE1376" i="20"/>
  <c r="AE1312" i="20"/>
  <c r="AE1284" i="20"/>
  <c r="AE1251" i="20"/>
  <c r="AE1159" i="20"/>
  <c r="AE484" i="20"/>
  <c r="AF484" i="20"/>
  <c r="AG484" i="20" s="1"/>
  <c r="AF227" i="20"/>
  <c r="AG227" i="20" s="1"/>
  <c r="AE227" i="20"/>
  <c r="AE167" i="20"/>
  <c r="AE1300" i="20"/>
  <c r="AE1267" i="20"/>
  <c r="AF535" i="20"/>
  <c r="AG535" i="20" s="1"/>
  <c r="AE511" i="20"/>
  <c r="AF511" i="20"/>
  <c r="AG511" i="20" s="1"/>
  <c r="AE497" i="20"/>
  <c r="AF476" i="20"/>
  <c r="AG476" i="20" s="1"/>
  <c r="AE476" i="20"/>
  <c r="AE463" i="20"/>
  <c r="AF463" i="20"/>
  <c r="AG463" i="20" s="1"/>
  <c r="AF384" i="20"/>
  <c r="AG384" i="20" s="1"/>
  <c r="AE384" i="20"/>
  <c r="AE371" i="20"/>
  <c r="AF371" i="20"/>
  <c r="AG371" i="20" s="1"/>
  <c r="AE335" i="20"/>
  <c r="AE287" i="20"/>
  <c r="AF287" i="20"/>
  <c r="AG287" i="20" s="1"/>
  <c r="AF180" i="20"/>
  <c r="AG180" i="20" s="1"/>
  <c r="AE180" i="20"/>
  <c r="AE67" i="20"/>
  <c r="AF67" i="20"/>
  <c r="AG67" i="20" s="1"/>
  <c r="AE1608" i="20"/>
  <c r="AE1578" i="20"/>
  <c r="AE1544" i="20"/>
  <c r="AE1514" i="20"/>
  <c r="AE1480" i="20"/>
  <c r="AE1450" i="20"/>
  <c r="AE1416" i="20"/>
  <c r="AE1386" i="20"/>
  <c r="AE1352" i="20"/>
  <c r="AE1322" i="20"/>
  <c r="AE1293" i="20"/>
  <c r="AE1283" i="20"/>
  <c r="AG1222" i="20"/>
  <c r="AF1217" i="20"/>
  <c r="AG1217" i="20" s="1"/>
  <c r="AE1175" i="20"/>
  <c r="AF1152" i="20"/>
  <c r="AG1152" i="20" s="1"/>
  <c r="AG1147" i="20"/>
  <c r="AF937" i="20"/>
  <c r="AG937" i="20" s="1"/>
  <c r="AF932" i="20"/>
  <c r="AG932" i="20" s="1"/>
  <c r="AF904" i="20"/>
  <c r="AG904" i="20" s="1"/>
  <c r="AF881" i="20"/>
  <c r="AG881" i="20" s="1"/>
  <c r="AF852" i="20"/>
  <c r="AG852" i="20" s="1"/>
  <c r="AF772" i="20"/>
  <c r="AG772" i="20" s="1"/>
  <c r="AF737" i="20"/>
  <c r="AG737" i="20" s="1"/>
  <c r="AE682" i="20"/>
  <c r="AF629" i="20"/>
  <c r="AG629" i="20" s="1"/>
  <c r="AF618" i="20"/>
  <c r="AG618" i="20" s="1"/>
  <c r="AF613" i="20"/>
  <c r="AG613" i="20" s="1"/>
  <c r="AE591" i="20"/>
  <c r="AF496" i="20"/>
  <c r="AG496" i="20" s="1"/>
  <c r="AF475" i="20"/>
  <c r="AG475" i="20" s="1"/>
  <c r="AF411" i="20"/>
  <c r="AG411" i="20" s="1"/>
  <c r="AE411" i="20"/>
  <c r="AF383" i="20"/>
  <c r="AG383" i="20" s="1"/>
  <c r="AF212" i="20"/>
  <c r="AG212" i="20" s="1"/>
  <c r="AE212" i="20"/>
  <c r="AF179" i="20"/>
  <c r="AG179" i="20" s="1"/>
  <c r="AE151" i="20"/>
  <c r="AE92" i="20"/>
  <c r="AE1222" i="20"/>
  <c r="AG1195" i="20"/>
  <c r="AF892" i="20"/>
  <c r="AG892" i="20" s="1"/>
  <c r="AF812" i="20"/>
  <c r="AG812" i="20" s="1"/>
  <c r="AE397" i="20"/>
  <c r="AE328" i="20"/>
  <c r="AE292" i="20"/>
  <c r="AF272" i="20"/>
  <c r="AG272" i="20" s="1"/>
  <c r="AE272" i="20"/>
  <c r="AF192" i="20"/>
  <c r="AG192" i="20" s="1"/>
  <c r="AE192" i="20"/>
  <c r="AF99" i="20"/>
  <c r="AG99" i="20" s="1"/>
  <c r="AE99" i="20"/>
  <c r="AE79" i="20"/>
  <c r="AF79" i="20"/>
  <c r="AG79" i="20" s="1"/>
  <c r="AE516" i="20"/>
  <c r="AF516" i="20"/>
  <c r="AG516" i="20" s="1"/>
  <c r="AF503" i="20"/>
  <c r="AG503" i="20" s="1"/>
  <c r="AE503" i="20"/>
  <c r="AE468" i="20"/>
  <c r="AF468" i="20"/>
  <c r="AG468" i="20" s="1"/>
  <c r="AF455" i="20"/>
  <c r="AG455" i="20" s="1"/>
  <c r="AE455" i="20"/>
  <c r="AE376" i="20"/>
  <c r="AF376" i="20"/>
  <c r="AG376" i="20" s="1"/>
  <c r="AE363" i="20"/>
  <c r="AF363" i="20"/>
  <c r="AG363" i="20" s="1"/>
  <c r="AE351" i="20"/>
  <c r="AG351" i="20"/>
  <c r="AF312" i="20"/>
  <c r="AG312" i="20" s="1"/>
  <c r="AE239" i="20"/>
  <c r="AF239" i="20"/>
  <c r="AG239" i="20" s="1"/>
  <c r="AF52" i="20"/>
  <c r="AG52" i="20" s="1"/>
  <c r="AE52" i="20"/>
  <c r="AE19" i="20"/>
  <c r="AF19" i="20"/>
  <c r="AG19" i="20" s="1"/>
  <c r="AG1227" i="20"/>
  <c r="AE1147" i="20"/>
  <c r="AF817" i="20"/>
  <c r="AG817" i="20" s="1"/>
  <c r="AE623" i="20"/>
  <c r="AF577" i="20"/>
  <c r="AG577" i="20" s="1"/>
  <c r="AE577" i="20"/>
  <c r="AE489" i="20"/>
  <c r="AE481" i="20"/>
  <c r="AF416" i="20"/>
  <c r="AG416" i="20" s="1"/>
  <c r="AE416" i="20"/>
  <c r="AE403" i="20"/>
  <c r="AF403" i="20"/>
  <c r="AG403" i="20" s="1"/>
  <c r="AE389" i="20"/>
  <c r="AE327" i="20"/>
  <c r="AF327" i="20"/>
  <c r="AG327" i="20" s="1"/>
  <c r="AF284" i="20"/>
  <c r="AG284" i="20" s="1"/>
  <c r="AE284" i="20"/>
  <c r="AE259" i="20"/>
  <c r="AF259" i="20"/>
  <c r="AG259" i="20" s="1"/>
  <c r="AF143" i="20"/>
  <c r="AG143" i="20" s="1"/>
  <c r="AE131" i="20"/>
  <c r="AF131" i="20"/>
  <c r="AG131" i="20" s="1"/>
  <c r="AE1594" i="20"/>
  <c r="AE1530" i="20"/>
  <c r="AE1496" i="20"/>
  <c r="AE1466" i="20"/>
  <c r="AE1432" i="20"/>
  <c r="AE1368" i="20"/>
  <c r="AE1338" i="20"/>
  <c r="AE1304" i="20"/>
  <c r="AG1286" i="20"/>
  <c r="AE1270" i="20"/>
  <c r="AG1243" i="20"/>
  <c r="AE1179" i="20"/>
  <c r="AE1173" i="20"/>
  <c r="AE1163" i="20"/>
  <c r="AG1146" i="20"/>
  <c r="AF828" i="20"/>
  <c r="AG828" i="20" s="1"/>
  <c r="AF753" i="20"/>
  <c r="AG753" i="20" s="1"/>
  <c r="AF693" i="20"/>
  <c r="AG693" i="20" s="1"/>
  <c r="AE693" i="20"/>
  <c r="AF304" i="20"/>
  <c r="AG304" i="20" s="1"/>
  <c r="AE304" i="20"/>
  <c r="AF224" i="20"/>
  <c r="AG224" i="20" s="1"/>
  <c r="AE224" i="20"/>
  <c r="AE111" i="20"/>
  <c r="AF111" i="20"/>
  <c r="AG111" i="20" s="1"/>
  <c r="AG1259" i="20"/>
  <c r="AF674" i="20"/>
  <c r="AG674" i="20" s="1"/>
  <c r="AE674" i="20"/>
  <c r="AF508" i="20"/>
  <c r="AG508" i="20" s="1"/>
  <c r="AE508" i="20"/>
  <c r="AE495" i="20"/>
  <c r="AF495" i="20"/>
  <c r="AG495" i="20" s="1"/>
  <c r="AF460" i="20"/>
  <c r="AG460" i="20" s="1"/>
  <c r="AE460" i="20"/>
  <c r="AF368" i="20"/>
  <c r="AG368" i="20" s="1"/>
  <c r="AE368" i="20"/>
  <c r="AF244" i="20"/>
  <c r="AG244" i="20" s="1"/>
  <c r="AE244" i="20"/>
  <c r="AF203" i="20"/>
  <c r="AG203" i="20" s="1"/>
  <c r="AF84" i="20"/>
  <c r="AG84" i="20" s="1"/>
  <c r="AE84" i="20"/>
  <c r="AF64" i="20"/>
  <c r="AG64" i="20" s="1"/>
  <c r="AE64" i="20"/>
  <c r="AE1600" i="20"/>
  <c r="AE1570" i="20"/>
  <c r="AE1536" i="20"/>
  <c r="AE1472" i="20"/>
  <c r="AE1408" i="20"/>
  <c r="AE1344" i="20"/>
  <c r="AF1320" i="20"/>
  <c r="AG1320" i="20" s="1"/>
  <c r="AG1275" i="20"/>
  <c r="AE1199" i="20"/>
  <c r="AF1188" i="20"/>
  <c r="AG1188" i="20" s="1"/>
  <c r="AE1020" i="20"/>
  <c r="AF965" i="20"/>
  <c r="AG965" i="20" s="1"/>
  <c r="AF913" i="20"/>
  <c r="AG913" i="20" s="1"/>
  <c r="AF873" i="20"/>
  <c r="AG873" i="20" s="1"/>
  <c r="AF764" i="20"/>
  <c r="AG764" i="20" s="1"/>
  <c r="AE692" i="20"/>
  <c r="AF673" i="20"/>
  <c r="AG673" i="20" s="1"/>
  <c r="AE656" i="20"/>
  <c r="AG656" i="20"/>
  <c r="AE546" i="20"/>
  <c r="AF507" i="20"/>
  <c r="AG507" i="20" s="1"/>
  <c r="AF459" i="20"/>
  <c r="AG459" i="20" s="1"/>
  <c r="AE408" i="20"/>
  <c r="AF408" i="20"/>
  <c r="AG408" i="20" s="1"/>
  <c r="AF395" i="20"/>
  <c r="AG395" i="20" s="1"/>
  <c r="AE395" i="20"/>
  <c r="AF367" i="20"/>
  <c r="AG367" i="20" s="1"/>
  <c r="AE318" i="20"/>
  <c r="AF318" i="20"/>
  <c r="AG318" i="20" s="1"/>
  <c r="AF243" i="20"/>
  <c r="AG243" i="20" s="1"/>
  <c r="AF163" i="20"/>
  <c r="AG163" i="20" s="1"/>
  <c r="AE163" i="20"/>
  <c r="AE24" i="20"/>
  <c r="AE1494" i="20"/>
  <c r="AE1430" i="20"/>
  <c r="AE1332" i="20"/>
  <c r="AE1302" i="20"/>
  <c r="AG1291" i="20"/>
  <c r="AE1274" i="20"/>
  <c r="AE1225" i="20"/>
  <c r="AE1183" i="20"/>
  <c r="AE1167" i="20"/>
  <c r="AE1025" i="20"/>
  <c r="AE977" i="20"/>
  <c r="AF924" i="20"/>
  <c r="AG924" i="20" s="1"/>
  <c r="AF685" i="20"/>
  <c r="AG685" i="20" s="1"/>
  <c r="AE680" i="20"/>
  <c r="AF680" i="20"/>
  <c r="AG680" i="20" s="1"/>
  <c r="AE325" i="20"/>
  <c r="AF325" i="20"/>
  <c r="AG325" i="20" s="1"/>
  <c r="AF256" i="20"/>
  <c r="AG256" i="20" s="1"/>
  <c r="AE256" i="20"/>
  <c r="AE196" i="20"/>
  <c r="AE183" i="20"/>
  <c r="AF116" i="20"/>
  <c r="AG116" i="20" s="1"/>
  <c r="AE116" i="20"/>
  <c r="AF96" i="20"/>
  <c r="AG96" i="20" s="1"/>
  <c r="AE96" i="20"/>
  <c r="AE676" i="20"/>
  <c r="AE660" i="20"/>
  <c r="AE437" i="20"/>
  <c r="AE361" i="20"/>
  <c r="AE316" i="20"/>
  <c r="AE276" i="20"/>
  <c r="AE248" i="20"/>
  <c r="AE184" i="20"/>
  <c r="AE120" i="20"/>
  <c r="AE56" i="20"/>
  <c r="AE46" i="20"/>
  <c r="AE23" i="20"/>
  <c r="AE17" i="20"/>
  <c r="AE7" i="20"/>
  <c r="AE4169" i="20"/>
  <c r="AE578" i="20"/>
  <c r="AE339" i="20"/>
  <c r="AE323" i="20"/>
  <c r="AF16" i="20"/>
  <c r="AG16" i="20" s="1"/>
  <c r="AF11" i="20"/>
  <c r="AG11" i="20" s="1"/>
  <c r="AE690" i="20"/>
  <c r="AE643" i="20"/>
  <c r="AE627" i="20"/>
  <c r="AE611" i="20"/>
  <c r="AE595" i="20"/>
  <c r="AE566" i="20"/>
  <c r="AE550" i="20"/>
  <c r="AE533" i="20"/>
  <c r="AE425" i="20"/>
  <c r="AE349" i="20"/>
  <c r="AE44" i="20"/>
  <c r="AE32" i="20"/>
  <c r="AE38" i="20"/>
  <c r="AE631" i="20"/>
  <c r="AE615" i="20"/>
  <c r="AE599" i="20"/>
  <c r="AE582" i="20"/>
  <c r="AE554" i="20"/>
  <c r="AE537" i="20"/>
  <c r="AE521" i="20"/>
  <c r="AE343" i="20"/>
  <c r="AE228" i="20"/>
  <c r="AE164" i="20"/>
  <c r="AE100" i="20"/>
  <c r="AF26" i="20"/>
  <c r="AG26" i="20" s="1"/>
  <c r="AE694" i="20"/>
  <c r="AE48" i="20"/>
  <c r="AE9" i="20"/>
  <c r="AE688" i="20"/>
  <c r="AE347" i="20"/>
  <c r="AE3740" i="20"/>
  <c r="AE1828" i="20"/>
  <c r="AF1828" i="20"/>
  <c r="AG1828" i="20" s="1"/>
  <c r="AE4321" i="20"/>
  <c r="AF4321" i="20"/>
  <c r="AG4321" i="20" s="1"/>
  <c r="AF1905" i="20"/>
  <c r="AG1905" i="20" s="1"/>
  <c r="AE520" i="20"/>
  <c r="AF520" i="20"/>
  <c r="AG520" i="20" s="1"/>
  <c r="AF4069" i="20"/>
  <c r="AG4069" i="20" s="1"/>
  <c r="O4425" i="20"/>
  <c r="AC4425" i="20"/>
  <c r="AF3863" i="20"/>
  <c r="AG3863" i="20" s="1"/>
  <c r="AC3246" i="20"/>
  <c r="AF2952" i="20"/>
  <c r="AG2952" i="20" s="1"/>
  <c r="AE4057" i="20"/>
  <c r="AE4801" i="20"/>
  <c r="AE1072" i="20"/>
  <c r="AF4263" i="20"/>
  <c r="AG4263" i="20" s="1"/>
  <c r="AF4288" i="20"/>
  <c r="AG4288" i="20" s="1"/>
  <c r="AG4857" i="20"/>
  <c r="AG4799" i="20"/>
  <c r="AE4860" i="20"/>
  <c r="AE4856" i="20"/>
  <c r="AE4852" i="20"/>
  <c r="AE4848" i="20"/>
  <c r="AE4844" i="20"/>
  <c r="AE4840" i="20"/>
  <c r="AE4836" i="20"/>
  <c r="AE4832" i="20"/>
  <c r="AE4823" i="20"/>
  <c r="AE4819" i="20"/>
  <c r="AE4811" i="20"/>
  <c r="AE4807" i="20"/>
  <c r="AE4803" i="20"/>
  <c r="AE4798" i="20"/>
  <c r="AE4794" i="20"/>
  <c r="AE4790" i="20"/>
  <c r="AE4786" i="20"/>
  <c r="AE4782" i="20"/>
  <c r="AE4778" i="20"/>
  <c r="AE4774" i="20"/>
  <c r="AE4770" i="20"/>
  <c r="AE4766" i="20"/>
  <c r="AE4759" i="20"/>
  <c r="AE4752" i="20"/>
  <c r="AF4751" i="20"/>
  <c r="AG4751" i="20" s="1"/>
  <c r="AE4750" i="20"/>
  <c r="AE4725" i="20"/>
  <c r="AF4724" i="20"/>
  <c r="AG4724" i="20" s="1"/>
  <c r="AE4723" i="20"/>
  <c r="AF4708" i="20"/>
  <c r="AG4708" i="20" s="1"/>
  <c r="AE4707" i="20"/>
  <c r="AE4693" i="20"/>
  <c r="AE4691" i="20"/>
  <c r="AE4677" i="20"/>
  <c r="AF4676" i="20"/>
  <c r="AG4676" i="20" s="1"/>
  <c r="AE4675" i="20"/>
  <c r="AE4659" i="20"/>
  <c r="AE4645" i="20"/>
  <c r="AF4644" i="20"/>
  <c r="AG4644" i="20" s="1"/>
  <c r="AF4628" i="20"/>
  <c r="AG4628" i="20" s="1"/>
  <c r="AE4627" i="20"/>
  <c r="AE4613" i="20"/>
  <c r="AE4611" i="20"/>
  <c r="AE4597" i="20"/>
  <c r="AE4595" i="20"/>
  <c r="AE4588" i="20"/>
  <c r="AE4581" i="20"/>
  <c r="AF4580" i="20"/>
  <c r="AG4580" i="20" s="1"/>
  <c r="AE4579" i="20"/>
  <c r="AG4575" i="20"/>
  <c r="AE4572" i="20"/>
  <c r="AE4565" i="20"/>
  <c r="AF4564" i="20"/>
  <c r="AG4564" i="20" s="1"/>
  <c r="AE4563" i="20"/>
  <c r="AG4559" i="20"/>
  <c r="AE4556" i="20"/>
  <c r="AE4549" i="20"/>
  <c r="AF4548" i="20"/>
  <c r="AG4548" i="20" s="1"/>
  <c r="AE4547" i="20"/>
  <c r="AG4543" i="20"/>
  <c r="AE4540" i="20"/>
  <c r="AE4533" i="20"/>
  <c r="AF4532" i="20"/>
  <c r="AG4532" i="20" s="1"/>
  <c r="AE4531" i="20"/>
  <c r="AG4527" i="20"/>
  <c r="AE4524" i="20"/>
  <c r="AE4517" i="20"/>
  <c r="AF4516" i="20"/>
  <c r="AG4516" i="20" s="1"/>
  <c r="AE4515" i="20"/>
  <c r="AG4511" i="20"/>
  <c r="AE4508" i="20"/>
  <c r="AG4505" i="20"/>
  <c r="AE4503" i="20"/>
  <c r="AE4500" i="20"/>
  <c r="AG4497" i="20"/>
  <c r="AE4495" i="20"/>
  <c r="AE4492" i="20"/>
  <c r="AG4489" i="20"/>
  <c r="AE4447" i="20"/>
  <c r="AE4426" i="20"/>
  <c r="AG4422" i="20"/>
  <c r="AE4413" i="20"/>
  <c r="AG4406" i="20"/>
  <c r="AF4369" i="20"/>
  <c r="AG4369" i="20" s="1"/>
  <c r="AF4365" i="20"/>
  <c r="AG4365" i="20" s="1"/>
  <c r="AE4365" i="20"/>
  <c r="AF4352" i="20"/>
  <c r="AG4352" i="20" s="1"/>
  <c r="AE4352" i="20"/>
  <c r="AF4312" i="20"/>
  <c r="AG4312" i="20" s="1"/>
  <c r="AE4312" i="20"/>
  <c r="AF4303" i="20"/>
  <c r="AG4303" i="20" s="1"/>
  <c r="AE4303" i="20"/>
  <c r="AF4295" i="20"/>
  <c r="AG4295" i="20" s="1"/>
  <c r="AF4283" i="20"/>
  <c r="AG4283" i="20" s="1"/>
  <c r="AE4283" i="20"/>
  <c r="AF4278" i="20"/>
  <c r="AG4278" i="20" s="1"/>
  <c r="AE4278" i="20"/>
  <c r="AF4254" i="20"/>
  <c r="AG4254" i="20" s="1"/>
  <c r="AE4254" i="20"/>
  <c r="AG4853" i="20"/>
  <c r="AG4837" i="20"/>
  <c r="AG4828" i="20"/>
  <c r="AG4812" i="20"/>
  <c r="AG4795" i="20"/>
  <c r="AG4783" i="20"/>
  <c r="AG4775" i="20"/>
  <c r="AG4713" i="20"/>
  <c r="AF4860" i="20"/>
  <c r="AG4860" i="20" s="1"/>
  <c r="AE4849" i="20"/>
  <c r="AE4812" i="20"/>
  <c r="AE4808" i="20"/>
  <c r="AE4799" i="20"/>
  <c r="AE4795" i="20"/>
  <c r="AE4787" i="20"/>
  <c r="AE4783" i="20"/>
  <c r="AE4775" i="20"/>
  <c r="AE4767" i="20"/>
  <c r="AE4763" i="20"/>
  <c r="AE4756" i="20"/>
  <c r="AF4755" i="20"/>
  <c r="AG4755" i="20" s="1"/>
  <c r="AE4754" i="20"/>
  <c r="AG4750" i="20"/>
  <c r="AE4747" i="20"/>
  <c r="AG4723" i="20"/>
  <c r="AE4713" i="20"/>
  <c r="AF4712" i="20"/>
  <c r="AG4712" i="20" s="1"/>
  <c r="AE4711" i="20"/>
  <c r="AG4707" i="20"/>
  <c r="AF4696" i="20"/>
  <c r="AG4696" i="20" s="1"/>
  <c r="AE4695" i="20"/>
  <c r="AG4691" i="20"/>
  <c r="AE4688" i="20"/>
  <c r="AF4680" i="20"/>
  <c r="AG4680" i="20" s="1"/>
  <c r="AE4679" i="20"/>
  <c r="AG4675" i="20"/>
  <c r="AE4672" i="20"/>
  <c r="AE4665" i="20"/>
  <c r="AE4663" i="20"/>
  <c r="AG4659" i="20"/>
  <c r="AE4656" i="20"/>
  <c r="AF4648" i="20"/>
  <c r="AG4648" i="20" s="1"/>
  <c r="AE4640" i="20"/>
  <c r="AF4632" i="20"/>
  <c r="AG4632" i="20" s="1"/>
  <c r="AE4631" i="20"/>
  <c r="AG4627" i="20"/>
  <c r="AE4624" i="20"/>
  <c r="AE4617" i="20"/>
  <c r="AF4616" i="20"/>
  <c r="AG4616" i="20" s="1"/>
  <c r="AG4611" i="20"/>
  <c r="AE4608" i="20"/>
  <c r="AF4600" i="20"/>
  <c r="AG4600" i="20" s="1"/>
  <c r="AG4595" i="20"/>
  <c r="AE4592" i="20"/>
  <c r="AE4585" i="20"/>
  <c r="AF4584" i="20"/>
  <c r="AG4584" i="20" s="1"/>
  <c r="AG4579" i="20"/>
  <c r="AE4576" i="20"/>
  <c r="AF4568" i="20"/>
  <c r="AG4568" i="20" s="1"/>
  <c r="AE4567" i="20"/>
  <c r="AG4563" i="20"/>
  <c r="AE4560" i="20"/>
  <c r="AE4553" i="20"/>
  <c r="AF4552" i="20"/>
  <c r="AG4552" i="20" s="1"/>
  <c r="AE4551" i="20"/>
  <c r="AG4547" i="20"/>
  <c r="AE4544" i="20"/>
  <c r="AE4537" i="20"/>
  <c r="AF4536" i="20"/>
  <c r="AG4536" i="20" s="1"/>
  <c r="AE4535" i="20"/>
  <c r="AG4531" i="20"/>
  <c r="AE4528" i="20"/>
  <c r="AE4521" i="20"/>
  <c r="AF4520" i="20"/>
  <c r="AG4520" i="20" s="1"/>
  <c r="AE4519" i="20"/>
  <c r="AG4515" i="20"/>
  <c r="AE4512" i="20"/>
  <c r="AG4503" i="20"/>
  <c r="AE4501" i="20"/>
  <c r="AG4495" i="20"/>
  <c r="AE4493" i="20"/>
  <c r="AG4447" i="20"/>
  <c r="AE4427" i="20"/>
  <c r="AG4413" i="20"/>
  <c r="AE4402" i="20"/>
  <c r="AG4754" i="20"/>
  <c r="AE4751" i="20"/>
  <c r="AG4727" i="20"/>
  <c r="AE4724" i="20"/>
  <c r="AG4711" i="20"/>
  <c r="AE4708" i="20"/>
  <c r="AG4695" i="20"/>
  <c r="AG4679" i="20"/>
  <c r="AE4676" i="20"/>
  <c r="AG4663" i="20"/>
  <c r="AE4644" i="20"/>
  <c r="AG4631" i="20"/>
  <c r="AE4628" i="20"/>
  <c r="AE4580" i="20"/>
  <c r="AG4567" i="20"/>
  <c r="AE4564" i="20"/>
  <c r="AG4551" i="20"/>
  <c r="AE4548" i="20"/>
  <c r="AG4535" i="20"/>
  <c r="AE4532" i="20"/>
  <c r="AG4519" i="20"/>
  <c r="AE4516" i="20"/>
  <c r="AE4504" i="20"/>
  <c r="AG4501" i="20"/>
  <c r="AE4496" i="20"/>
  <c r="AG4493" i="20"/>
  <c r="AE4448" i="20"/>
  <c r="AG4427" i="20"/>
  <c r="AE4420" i="20"/>
  <c r="AF3743" i="20"/>
  <c r="AG3743" i="20" s="1"/>
  <c r="AE3743" i="20"/>
  <c r="AF3710" i="20"/>
  <c r="AG3710" i="20" s="1"/>
  <c r="AE3710" i="20"/>
  <c r="AF3694" i="20"/>
  <c r="AG3694" i="20" s="1"/>
  <c r="AE3694" i="20"/>
  <c r="AF3678" i="20"/>
  <c r="AG3678" i="20" s="1"/>
  <c r="AE3678" i="20"/>
  <c r="AF3662" i="20"/>
  <c r="AG3662" i="20" s="1"/>
  <c r="AE3662" i="20"/>
  <c r="AF3646" i="20"/>
  <c r="AG3646" i="20" s="1"/>
  <c r="AE3646" i="20"/>
  <c r="AF3630" i="20"/>
  <c r="AG3630" i="20" s="1"/>
  <c r="AE3630" i="20"/>
  <c r="AF3614" i="20"/>
  <c r="AG3614" i="20" s="1"/>
  <c r="AE3614" i="20"/>
  <c r="AF3598" i="20"/>
  <c r="AG3598" i="20" s="1"/>
  <c r="AE3598" i="20"/>
  <c r="AF3582" i="20"/>
  <c r="AG3582" i="20" s="1"/>
  <c r="AE3582" i="20"/>
  <c r="AF3566" i="20"/>
  <c r="AG3566" i="20" s="1"/>
  <c r="AF3550" i="20"/>
  <c r="AG3550" i="20" s="1"/>
  <c r="AE3550" i="20"/>
  <c r="AF3534" i="20"/>
  <c r="AG3534" i="20" s="1"/>
  <c r="AE3534" i="20"/>
  <c r="AF3502" i="20"/>
  <c r="AG3502" i="20" s="1"/>
  <c r="AE3502" i="20"/>
  <c r="AE4249" i="20"/>
  <c r="AE4237" i="20"/>
  <c r="AE4220" i="20"/>
  <c r="AE4210" i="20"/>
  <c r="AE4206" i="20"/>
  <c r="AE4202" i="20"/>
  <c r="AE4190" i="20"/>
  <c r="AE4176" i="20"/>
  <c r="AE4162" i="20"/>
  <c r="AE4158" i="20"/>
  <c r="AE4154" i="20"/>
  <c r="AE4150" i="20"/>
  <c r="AE4146" i="20"/>
  <c r="AE4138" i="20"/>
  <c r="AE4134" i="20"/>
  <c r="AE4121" i="20"/>
  <c r="AE4105" i="20"/>
  <c r="AE4097" i="20"/>
  <c r="AE4093" i="20"/>
  <c r="AE4089" i="20"/>
  <c r="AE4073" i="20"/>
  <c r="AE4067" i="20"/>
  <c r="AE4063" i="20"/>
  <c r="AE4055" i="20"/>
  <c r="AE4051" i="20"/>
  <c r="AE4043" i="20"/>
  <c r="AE4039" i="20"/>
  <c r="AE4035" i="20"/>
  <c r="AE4031" i="20"/>
  <c r="AE4027" i="20"/>
  <c r="AE4019" i="20"/>
  <c r="AE4011" i="20"/>
  <c r="AE4007" i="20"/>
  <c r="AE4003" i="20"/>
  <c r="AE3991" i="20"/>
  <c r="AE3987" i="20"/>
  <c r="AE3983" i="20"/>
  <c r="AE3978" i="20"/>
  <c r="AE3974" i="20"/>
  <c r="AE3966" i="20"/>
  <c r="AE3958" i="20"/>
  <c r="AE3954" i="20"/>
  <c r="AE3950" i="20"/>
  <c r="AE3946" i="20"/>
  <c r="AE3942" i="20"/>
  <c r="AE3934" i="20"/>
  <c r="AE3930" i="20"/>
  <c r="AE3926" i="20"/>
  <c r="AE3922" i="20"/>
  <c r="AE3918" i="20"/>
  <c r="AE3914" i="20"/>
  <c r="AE3905" i="20"/>
  <c r="AE3898" i="20"/>
  <c r="AE3894" i="20"/>
  <c r="AE3890" i="20"/>
  <c r="AE3886" i="20"/>
  <c r="AE3882" i="20"/>
  <c r="AE3878" i="20"/>
  <c r="AE3874" i="20"/>
  <c r="AE3870" i="20"/>
  <c r="AE3866" i="20"/>
  <c r="AE3862" i="20"/>
  <c r="AE3858" i="20"/>
  <c r="AE3854" i="20"/>
  <c r="AE3850" i="20"/>
  <c r="AE3842" i="20"/>
  <c r="AE3838" i="20"/>
  <c r="AE3834" i="20"/>
  <c r="AE3822" i="20"/>
  <c r="AE3818" i="20"/>
  <c r="AE3806" i="20"/>
  <c r="AE3802" i="20"/>
  <c r="AE3798" i="20"/>
  <c r="AE3794" i="20"/>
  <c r="AE3790" i="20"/>
  <c r="AE3782" i="20"/>
  <c r="AF3765" i="20"/>
  <c r="AG3765" i="20" s="1"/>
  <c r="AF3749" i="20"/>
  <c r="AG3749" i="20" s="1"/>
  <c r="AF3715" i="20"/>
  <c r="AG3715" i="20" s="1"/>
  <c r="AF3699" i="20"/>
  <c r="AG3699" i="20" s="1"/>
  <c r="AF3683" i="20"/>
  <c r="AG3683" i="20" s="1"/>
  <c r="AF3667" i="20"/>
  <c r="AG3667" i="20" s="1"/>
  <c r="AF3651" i="20"/>
  <c r="AG3651" i="20" s="1"/>
  <c r="AF3635" i="20"/>
  <c r="AG3635" i="20" s="1"/>
  <c r="AF3619" i="20"/>
  <c r="AG3619" i="20" s="1"/>
  <c r="AF3603" i="20"/>
  <c r="AG3603" i="20" s="1"/>
  <c r="AF3772" i="20"/>
  <c r="AG3772" i="20" s="1"/>
  <c r="AE3772" i="20"/>
  <c r="AF3756" i="20"/>
  <c r="AG3756" i="20" s="1"/>
  <c r="AE3756" i="20"/>
  <c r="AF3738" i="20"/>
  <c r="AG3738" i="20" s="1"/>
  <c r="AE3738" i="20"/>
  <c r="AF3706" i="20"/>
  <c r="AG3706" i="20" s="1"/>
  <c r="AE3706" i="20"/>
  <c r="AF3690" i="20"/>
  <c r="AG3690" i="20" s="1"/>
  <c r="AE3690" i="20"/>
  <c r="AF3674" i="20"/>
  <c r="AG3674" i="20" s="1"/>
  <c r="AE3674" i="20"/>
  <c r="AF3658" i="20"/>
  <c r="AG3658" i="20" s="1"/>
  <c r="AE3658" i="20"/>
  <c r="AF3642" i="20"/>
  <c r="AG3642" i="20" s="1"/>
  <c r="AE3642" i="20"/>
  <c r="AF3626" i="20"/>
  <c r="AG3626" i="20" s="1"/>
  <c r="AE3626" i="20"/>
  <c r="AF3610" i="20"/>
  <c r="AG3610" i="20" s="1"/>
  <c r="AE3610" i="20"/>
  <c r="AF3594" i="20"/>
  <c r="AG3594" i="20" s="1"/>
  <c r="AE3594" i="20"/>
  <c r="AF3586" i="20"/>
  <c r="AG3586" i="20" s="1"/>
  <c r="AF3570" i="20"/>
  <c r="AG3570" i="20" s="1"/>
  <c r="AE3570" i="20"/>
  <c r="AF3554" i="20"/>
  <c r="AG3554" i="20" s="1"/>
  <c r="AE3554" i="20"/>
  <c r="AF3538" i="20"/>
  <c r="AG3538" i="20" s="1"/>
  <c r="AE3538" i="20"/>
  <c r="AF3506" i="20"/>
  <c r="AG3506" i="20" s="1"/>
  <c r="AE3506" i="20"/>
  <c r="AF3490" i="20"/>
  <c r="AG3490" i="20" s="1"/>
  <c r="AE3490" i="20"/>
  <c r="AF3473" i="20"/>
  <c r="AG3473" i="20" s="1"/>
  <c r="AF3761" i="20"/>
  <c r="AG3761" i="20" s="1"/>
  <c r="AF3744" i="20"/>
  <c r="AG3744" i="20" s="1"/>
  <c r="AF3727" i="20"/>
  <c r="AG3727" i="20" s="1"/>
  <c r="AF3711" i="20"/>
  <c r="AG3711" i="20" s="1"/>
  <c r="AF3695" i="20"/>
  <c r="AG3695" i="20" s="1"/>
  <c r="AF3679" i="20"/>
  <c r="AG3679" i="20" s="1"/>
  <c r="AF3663" i="20"/>
  <c r="AG3663" i="20" s="1"/>
  <c r="AF3647" i="20"/>
  <c r="AG3647" i="20" s="1"/>
  <c r="AF3631" i="20"/>
  <c r="AG3631" i="20" s="1"/>
  <c r="AF3599" i="20"/>
  <c r="AG3599" i="20" s="1"/>
  <c r="AF3768" i="20"/>
  <c r="AG3768" i="20" s="1"/>
  <c r="AE3768" i="20"/>
  <c r="AF3752" i="20"/>
  <c r="AG3752" i="20" s="1"/>
  <c r="AE3752" i="20"/>
  <c r="AF3718" i="20"/>
  <c r="AG3718" i="20" s="1"/>
  <c r="AE3718" i="20"/>
  <c r="AF3702" i="20"/>
  <c r="AG3702" i="20" s="1"/>
  <c r="AE3702" i="20"/>
  <c r="AF3686" i="20"/>
  <c r="AG3686" i="20" s="1"/>
  <c r="AE3686" i="20"/>
  <c r="AF3670" i="20"/>
  <c r="AG3670" i="20" s="1"/>
  <c r="AE3670" i="20"/>
  <c r="AF3654" i="20"/>
  <c r="AG3654" i="20" s="1"/>
  <c r="AE3654" i="20"/>
  <c r="AF3638" i="20"/>
  <c r="AG3638" i="20" s="1"/>
  <c r="AE3638" i="20"/>
  <c r="AF3606" i="20"/>
  <c r="AG3606" i="20" s="1"/>
  <c r="AE3606" i="20"/>
  <c r="AF3590" i="20"/>
  <c r="AG3590" i="20" s="1"/>
  <c r="AE3590" i="20"/>
  <c r="AF3574" i="20"/>
  <c r="AG3574" i="20" s="1"/>
  <c r="AE3574" i="20"/>
  <c r="AF3558" i="20"/>
  <c r="AG3558" i="20" s="1"/>
  <c r="AE3558" i="20"/>
  <c r="AF3510" i="20"/>
  <c r="AG3510" i="20" s="1"/>
  <c r="AE3510" i="20"/>
  <c r="AF3494" i="20"/>
  <c r="AG3494" i="20" s="1"/>
  <c r="AE3494" i="20"/>
  <c r="AF3478" i="20"/>
  <c r="AG3478" i="20" s="1"/>
  <c r="AF3764" i="20"/>
  <c r="AG3764" i="20" s="1"/>
  <c r="AE3764" i="20"/>
  <c r="AF3748" i="20"/>
  <c r="AG3748" i="20" s="1"/>
  <c r="AE3748" i="20"/>
  <c r="AF3730" i="20"/>
  <c r="AG3730" i="20" s="1"/>
  <c r="AE3730" i="20"/>
  <c r="AF3714" i="20"/>
  <c r="AG3714" i="20" s="1"/>
  <c r="AE3714" i="20"/>
  <c r="AF3698" i="20"/>
  <c r="AG3698" i="20" s="1"/>
  <c r="AE3698" i="20"/>
  <c r="AF3682" i="20"/>
  <c r="AG3682" i="20" s="1"/>
  <c r="AE3682" i="20"/>
  <c r="AF3666" i="20"/>
  <c r="AG3666" i="20" s="1"/>
  <c r="AE3666" i="20"/>
  <c r="AF3650" i="20"/>
  <c r="AG3650" i="20" s="1"/>
  <c r="AE3650" i="20"/>
  <c r="AF3634" i="20"/>
  <c r="AG3634" i="20" s="1"/>
  <c r="AE3634" i="20"/>
  <c r="AF3618" i="20"/>
  <c r="AG3618" i="20" s="1"/>
  <c r="AE3618" i="20"/>
  <c r="AF3602" i="20"/>
  <c r="AG3602" i="20" s="1"/>
  <c r="AE3602" i="20"/>
  <c r="AF3578" i="20"/>
  <c r="AG3578" i="20" s="1"/>
  <c r="AE3578" i="20"/>
  <c r="AF3562" i="20"/>
  <c r="AG3562" i="20" s="1"/>
  <c r="AE3562" i="20"/>
  <c r="AF3546" i="20"/>
  <c r="AG3546" i="20" s="1"/>
  <c r="AE3546" i="20"/>
  <c r="AF3530" i="20"/>
  <c r="AG3530" i="20" s="1"/>
  <c r="AE3530" i="20"/>
  <c r="AF3514" i="20"/>
  <c r="AG3514" i="20" s="1"/>
  <c r="AE3514" i="20"/>
  <c r="AF3498" i="20"/>
  <c r="AG3498" i="20" s="1"/>
  <c r="AE3498" i="20"/>
  <c r="AF3482" i="20"/>
  <c r="AG3482" i="20" s="1"/>
  <c r="AE3482" i="20"/>
  <c r="AG3707" i="20"/>
  <c r="AG3691" i="20"/>
  <c r="AG3675" i="20"/>
  <c r="AG3659" i="20"/>
  <c r="AG3611" i="20"/>
  <c r="AE2666" i="20"/>
  <c r="AF2666" i="20"/>
  <c r="AG2666" i="20" s="1"/>
  <c r="AE2662" i="20"/>
  <c r="AF2662" i="20"/>
  <c r="AG2662" i="20" s="1"/>
  <c r="AE2650" i="20"/>
  <c r="AF2650" i="20"/>
  <c r="AG2650" i="20" s="1"/>
  <c r="AE2646" i="20"/>
  <c r="AF2646" i="20"/>
  <c r="AG2646" i="20" s="1"/>
  <c r="AE2642" i="20"/>
  <c r="AF2642" i="20"/>
  <c r="AG2642" i="20" s="1"/>
  <c r="AE2638" i="20"/>
  <c r="AF2638" i="20"/>
  <c r="AG2638" i="20" s="1"/>
  <c r="AE2634" i="20"/>
  <c r="AF2634" i="20"/>
  <c r="AG2634" i="20" s="1"/>
  <c r="AE2630" i="20"/>
  <c r="AF2630" i="20"/>
  <c r="AG2630" i="20" s="1"/>
  <c r="AE2626" i="20"/>
  <c r="AF2626" i="20"/>
  <c r="AG2626" i="20" s="1"/>
  <c r="AE2622" i="20"/>
  <c r="AF2622" i="20"/>
  <c r="AG2622" i="20" s="1"/>
  <c r="AE2618" i="20"/>
  <c r="AF2618" i="20"/>
  <c r="AG2618" i="20" s="1"/>
  <c r="AE2614" i="20"/>
  <c r="AF2614" i="20"/>
  <c r="AG2614" i="20" s="1"/>
  <c r="AE2610" i="20"/>
  <c r="AF2610" i="20"/>
  <c r="AG2610" i="20" s="1"/>
  <c r="AE2606" i="20"/>
  <c r="AF2606" i="20"/>
  <c r="AG2606" i="20" s="1"/>
  <c r="AE2602" i="20"/>
  <c r="AF2602" i="20"/>
  <c r="AG2602" i="20" s="1"/>
  <c r="AE2598" i="20"/>
  <c r="AF2598" i="20"/>
  <c r="AG2598" i="20" s="1"/>
  <c r="AE2594" i="20"/>
  <c r="AF2594" i="20"/>
  <c r="AG2594" i="20" s="1"/>
  <c r="AE2590" i="20"/>
  <c r="AF2590" i="20"/>
  <c r="AG2590" i="20" s="1"/>
  <c r="AE2586" i="20"/>
  <c r="AF2586" i="20"/>
  <c r="AG2586" i="20" s="1"/>
  <c r="AE2582" i="20"/>
  <c r="AF2582" i="20"/>
  <c r="AG2582" i="20" s="1"/>
  <c r="AE2578" i="20"/>
  <c r="AF2578" i="20"/>
  <c r="AG2578" i="20" s="1"/>
  <c r="AE2570" i="20"/>
  <c r="AF2570" i="20"/>
  <c r="AG2570" i="20" s="1"/>
  <c r="AE2566" i="20"/>
  <c r="AF2566" i="20"/>
  <c r="AG2566" i="20" s="1"/>
  <c r="AE2562" i="20"/>
  <c r="AF2562" i="20"/>
  <c r="AG2562" i="20" s="1"/>
  <c r="AE2558" i="20"/>
  <c r="AF2558" i="20"/>
  <c r="AG2558" i="20" s="1"/>
  <c r="AE2554" i="20"/>
  <c r="AF2554" i="20"/>
  <c r="AG2554" i="20" s="1"/>
  <c r="AE2546" i="20"/>
  <c r="AF2546" i="20"/>
  <c r="AG2546" i="20" s="1"/>
  <c r="AE2542" i="20"/>
  <c r="AF2542" i="20"/>
  <c r="AG2542" i="20" s="1"/>
  <c r="AE2538" i="20"/>
  <c r="AF2538" i="20"/>
  <c r="AG2538" i="20" s="1"/>
  <c r="AE2534" i="20"/>
  <c r="AF2534" i="20"/>
  <c r="AG2534" i="20" s="1"/>
  <c r="AE2530" i="20"/>
  <c r="AF2530" i="20"/>
  <c r="AG2530" i="20" s="1"/>
  <c r="AE2525" i="20"/>
  <c r="AF2525" i="20"/>
  <c r="AG2525" i="20" s="1"/>
  <c r="AE2521" i="20"/>
  <c r="AF2521" i="20"/>
  <c r="AG2521" i="20" s="1"/>
  <c r="AE2517" i="20"/>
  <c r="AF2517" i="20"/>
  <c r="AG2517" i="20" s="1"/>
  <c r="AE2508" i="20"/>
  <c r="AF2508" i="20"/>
  <c r="AG2508" i="20" s="1"/>
  <c r="AE2504" i="20"/>
  <c r="AF2504" i="20"/>
  <c r="AG2504" i="20" s="1"/>
  <c r="AE3469" i="20"/>
  <c r="AE3465" i="20"/>
  <c r="AE3461" i="20"/>
  <c r="AE3457" i="20"/>
  <c r="AE3448" i="20"/>
  <c r="AE3436" i="20"/>
  <c r="AE3428" i="20"/>
  <c r="AE3424" i="20"/>
  <c r="AE3420" i="20"/>
  <c r="AE3416" i="20"/>
  <c r="AE3412" i="20"/>
  <c r="AE3404" i="20"/>
  <c r="AE3400" i="20"/>
  <c r="AE3396" i="20"/>
  <c r="AE3392" i="20"/>
  <c r="AE3388" i="20"/>
  <c r="AE3384" i="20"/>
  <c r="AE3380" i="20"/>
  <c r="AE3372" i="20"/>
  <c r="AE3364" i="20"/>
  <c r="AE3360" i="20"/>
  <c r="AE3356" i="20"/>
  <c r="AE3352" i="20"/>
  <c r="AE3340" i="20"/>
  <c r="AE3336" i="20"/>
  <c r="AE3332" i="20"/>
  <c r="AE3328" i="20"/>
  <c r="AE3324" i="20"/>
  <c r="AE3320" i="20"/>
  <c r="AE3312" i="20"/>
  <c r="AE3308" i="20"/>
  <c r="AE3304" i="20"/>
  <c r="AE3300" i="20"/>
  <c r="AE3296" i="20"/>
  <c r="AE3292" i="20"/>
  <c r="AE3288" i="20"/>
  <c r="AE3283" i="20"/>
  <c r="AE3279" i="20"/>
  <c r="AE3275" i="20"/>
  <c r="AE3270" i="20"/>
  <c r="AE3266" i="20"/>
  <c r="AE3262" i="20"/>
  <c r="AE3258" i="20"/>
  <c r="AE3254" i="20"/>
  <c r="AE3248" i="20"/>
  <c r="AE3240" i="20"/>
  <c r="AE3236" i="20"/>
  <c r="AE3232" i="20"/>
  <c r="AE3228" i="20"/>
  <c r="AE3224" i="20"/>
  <c r="AE3220" i="20"/>
  <c r="AE3216" i="20"/>
  <c r="AE3204" i="20"/>
  <c r="AE3200" i="20"/>
  <c r="AE3196" i="20"/>
  <c r="AE3192" i="20"/>
  <c r="AE3188" i="20"/>
  <c r="AE3184" i="20"/>
  <c r="AE3172" i="20"/>
  <c r="AE3168" i="20"/>
  <c r="AE3164" i="20"/>
  <c r="AE3160" i="20"/>
  <c r="AE3156" i="20"/>
  <c r="AE3152" i="20"/>
  <c r="AE3143" i="20"/>
  <c r="AE3139" i="20"/>
  <c r="AE3135" i="20"/>
  <c r="AE3131" i="20"/>
  <c r="AE3127" i="20"/>
  <c r="AE3123" i="20"/>
  <c r="AE3115" i="20"/>
  <c r="AE3111" i="20"/>
  <c r="AE3107" i="20"/>
  <c r="AE3103" i="20"/>
  <c r="AE3099" i="20"/>
  <c r="AE3095" i="20"/>
  <c r="AE3087" i="20"/>
  <c r="AE3075" i="20"/>
  <c r="AE3071" i="20"/>
  <c r="AE3067" i="20"/>
  <c r="AE3063" i="20"/>
  <c r="AE3059" i="20"/>
  <c r="AE3055" i="20"/>
  <c r="AE3051" i="20"/>
  <c r="AE3047" i="20"/>
  <c r="AE3043" i="20"/>
  <c r="AE3038" i="20"/>
  <c r="AE3034" i="20"/>
  <c r="AE3030" i="20"/>
  <c r="AE3026" i="20"/>
  <c r="AE3022" i="20"/>
  <c r="AE3018" i="20"/>
  <c r="AE3010" i="20"/>
  <c r="AE3006" i="20"/>
  <c r="AE3002" i="20"/>
  <c r="AE2998" i="20"/>
  <c r="AE2994" i="20"/>
  <c r="AE2990" i="20"/>
  <c r="AE2986" i="20"/>
  <c r="AE2978" i="20"/>
  <c r="AE2970" i="20"/>
  <c r="AE2966" i="20"/>
  <c r="AE2962" i="20"/>
  <c r="AE2958" i="20"/>
  <c r="AE2954" i="20"/>
  <c r="AE2950" i="20"/>
  <c r="AE2946" i="20"/>
  <c r="AE2942" i="20"/>
  <c r="AE2934" i="20"/>
  <c r="AE2930" i="20"/>
  <c r="AE2926" i="20"/>
  <c r="AE2922" i="20"/>
  <c r="AE2913" i="20"/>
  <c r="AE2909" i="20"/>
  <c r="AE2901" i="20"/>
  <c r="AE2897" i="20"/>
  <c r="AE2893" i="20"/>
  <c r="AE2889" i="20"/>
  <c r="AE2885" i="20"/>
  <c r="AE2881" i="20"/>
  <c r="AE2877" i="20"/>
  <c r="AE2873" i="20"/>
  <c r="AE2869" i="20"/>
  <c r="AE2865" i="20"/>
  <c r="AE2860" i="20"/>
  <c r="AE2856" i="20"/>
  <c r="AE2852" i="20"/>
  <c r="AE2848" i="20"/>
  <c r="AE2844" i="20"/>
  <c r="AE2840" i="20"/>
  <c r="AE2836" i="20"/>
  <c r="AE2832" i="20"/>
  <c r="AE2828" i="20"/>
  <c r="AE2824" i="20"/>
  <c r="AE2820" i="20"/>
  <c r="AE2816" i="20"/>
  <c r="AE2812" i="20"/>
  <c r="AE2808" i="20"/>
  <c r="AE2804" i="20"/>
  <c r="AE2800" i="20"/>
  <c r="AE2796" i="20"/>
  <c r="AE2792" i="20"/>
  <c r="AE2788" i="20"/>
  <c r="AE2784" i="20"/>
  <c r="AE2780" i="20"/>
  <c r="AE2776" i="20"/>
  <c r="AE2768" i="20"/>
  <c r="AE2764" i="20"/>
  <c r="AE2756" i="20"/>
  <c r="AE2748" i="20"/>
  <c r="AE2740" i="20"/>
  <c r="AE2732" i="20"/>
  <c r="AE2724" i="20"/>
  <c r="AE2716" i="20"/>
  <c r="AE2708" i="20"/>
  <c r="AE2700" i="20"/>
  <c r="AE2692" i="20"/>
  <c r="AE2684" i="20"/>
  <c r="AE2676" i="20"/>
  <c r="AG2756" i="20"/>
  <c r="AE2754" i="20"/>
  <c r="AE2751" i="20"/>
  <c r="AG2748" i="20"/>
  <c r="AE2746" i="20"/>
  <c r="AE2743" i="20"/>
  <c r="AG2740" i="20"/>
  <c r="AE2738" i="20"/>
  <c r="AG2732" i="20"/>
  <c r="AE2730" i="20"/>
  <c r="AE2727" i="20"/>
  <c r="AG2724" i="20"/>
  <c r="AE2722" i="20"/>
  <c r="AG2716" i="20"/>
  <c r="AE2714" i="20"/>
  <c r="AG2708" i="20"/>
  <c r="AE2706" i="20"/>
  <c r="AE2703" i="20"/>
  <c r="AG2700" i="20"/>
  <c r="AE2698" i="20"/>
  <c r="AE2695" i="20"/>
  <c r="AG2692" i="20"/>
  <c r="AE2690" i="20"/>
  <c r="AE2687" i="20"/>
  <c r="AG2684" i="20"/>
  <c r="AE2682" i="20"/>
  <c r="AE2679" i="20"/>
  <c r="AG2676" i="20"/>
  <c r="AE2674" i="20"/>
  <c r="AE2665" i="20"/>
  <c r="AE2657" i="20"/>
  <c r="AE2653" i="20"/>
  <c r="AE2649" i="20"/>
  <c r="AE2645" i="20"/>
  <c r="AE2641" i="20"/>
  <c r="AE2629" i="20"/>
  <c r="AE2625" i="20"/>
  <c r="AE2621" i="20"/>
  <c r="AE2617" i="20"/>
  <c r="AE2613" i="20"/>
  <c r="AE2609" i="20"/>
  <c r="AE2605" i="20"/>
  <c r="AE2601" i="20"/>
  <c r="AE2597" i="20"/>
  <c r="AE2585" i="20"/>
  <c r="AE2581" i="20"/>
  <c r="AE2573" i="20"/>
  <c r="AE2569" i="20"/>
  <c r="AE2561" i="20"/>
  <c r="AE2557" i="20"/>
  <c r="AE2553" i="20"/>
  <c r="AE2549" i="20"/>
  <c r="AE2541" i="20"/>
  <c r="AE2533" i="20"/>
  <c r="AE2528" i="20"/>
  <c r="AE2520" i="20"/>
  <c r="AE2516" i="20"/>
  <c r="AE2511" i="20"/>
  <c r="AE2507" i="20"/>
  <c r="AE2503" i="20"/>
  <c r="AF2500" i="20"/>
  <c r="AG2500" i="20" s="1"/>
  <c r="AF2492" i="20"/>
  <c r="AG2492" i="20" s="1"/>
  <c r="AF2488" i="20"/>
  <c r="AG2488" i="20" s="1"/>
  <c r="AF2480" i="20"/>
  <c r="AG2480" i="20" s="1"/>
  <c r="AF2476" i="20"/>
  <c r="AG2476" i="20" s="1"/>
  <c r="AF2472" i="20"/>
  <c r="AG2472" i="20" s="1"/>
  <c r="AF2468" i="20"/>
  <c r="AG2468" i="20" s="1"/>
  <c r="AF2460" i="20"/>
  <c r="AG2460" i="20" s="1"/>
  <c r="AF2452" i="20"/>
  <c r="AG2452" i="20" s="1"/>
  <c r="AF2448" i="20"/>
  <c r="AG2448" i="20" s="1"/>
  <c r="AF2444" i="20"/>
  <c r="AG2444" i="20" s="1"/>
  <c r="AF2440" i="20"/>
  <c r="AG2440" i="20" s="1"/>
  <c r="AF2436" i="20"/>
  <c r="AG2436" i="20" s="1"/>
  <c r="AF2432" i="20"/>
  <c r="AG2432" i="20" s="1"/>
  <c r="AF2428" i="20"/>
  <c r="AG2428" i="20" s="1"/>
  <c r="AF2424" i="20"/>
  <c r="AG2424" i="20" s="1"/>
  <c r="AF2420" i="20"/>
  <c r="AG2420" i="20" s="1"/>
  <c r="AF2416" i="20"/>
  <c r="AG2416" i="20" s="1"/>
  <c r="AF2412" i="20"/>
  <c r="AG2412" i="20" s="1"/>
  <c r="AF2408" i="20"/>
  <c r="AG2408" i="20" s="1"/>
  <c r="AF2404" i="20"/>
  <c r="AG2404" i="20" s="1"/>
  <c r="AF2400" i="20"/>
  <c r="AG2400" i="20" s="1"/>
  <c r="AF2396" i="20"/>
  <c r="AG2396" i="20" s="1"/>
  <c r="AF2392" i="20"/>
  <c r="AG2392" i="20" s="1"/>
  <c r="AF2388" i="20"/>
  <c r="AG2388" i="20" s="1"/>
  <c r="AF2384" i="20"/>
  <c r="AG2384" i="20" s="1"/>
  <c r="AF2380" i="20"/>
  <c r="AG2380" i="20" s="1"/>
  <c r="AF2376" i="20"/>
  <c r="AG2376" i="20" s="1"/>
  <c r="AF2372" i="20"/>
  <c r="AG2372" i="20" s="1"/>
  <c r="AF2368" i="20"/>
  <c r="AG2368" i="20" s="1"/>
  <c r="AF2364" i="20"/>
  <c r="AG2364" i="20" s="1"/>
  <c r="AF2360" i="20"/>
  <c r="AG2360" i="20" s="1"/>
  <c r="AF2356" i="20"/>
  <c r="AG2356" i="20" s="1"/>
  <c r="AF2352" i="20"/>
  <c r="AG2352" i="20" s="1"/>
  <c r="AF2348" i="20"/>
  <c r="AG2348" i="20" s="1"/>
  <c r="AF2344" i="20"/>
  <c r="AG2344" i="20" s="1"/>
  <c r="AF2340" i="20"/>
  <c r="AG2340" i="20" s="1"/>
  <c r="AF2336" i="20"/>
  <c r="AG2336" i="20" s="1"/>
  <c r="AF2332" i="20"/>
  <c r="AG2332" i="20" s="1"/>
  <c r="AF2324" i="20"/>
  <c r="AG2324" i="20" s="1"/>
  <c r="AF2320" i="20"/>
  <c r="AG2320" i="20" s="1"/>
  <c r="AF2316" i="20"/>
  <c r="AG2316" i="20" s="1"/>
  <c r="AF2312" i="20"/>
  <c r="AG2312" i="20" s="1"/>
  <c r="AF2308" i="20"/>
  <c r="AG2308" i="20" s="1"/>
  <c r="AF2304" i="20"/>
  <c r="AG2304" i="20" s="1"/>
  <c r="AF2300" i="20"/>
  <c r="AG2300" i="20" s="1"/>
  <c r="AF2296" i="20"/>
  <c r="AG2296" i="20" s="1"/>
  <c r="AF2292" i="20"/>
  <c r="AG2292" i="20" s="1"/>
  <c r="AF2288" i="20"/>
  <c r="AG2288" i="20" s="1"/>
  <c r="AF2284" i="20"/>
  <c r="AG2284" i="20" s="1"/>
  <c r="AF2280" i="20"/>
  <c r="AG2280" i="20" s="1"/>
  <c r="AF2276" i="20"/>
  <c r="AG2276" i="20" s="1"/>
  <c r="AF2272" i="20"/>
  <c r="AG2272" i="20" s="1"/>
  <c r="AF2268" i="20"/>
  <c r="AG2268" i="20" s="1"/>
  <c r="AF2260" i="20"/>
  <c r="AG2260" i="20" s="1"/>
  <c r="AF2256" i="20"/>
  <c r="AG2256" i="20" s="1"/>
  <c r="AF2252" i="20"/>
  <c r="AG2252" i="20" s="1"/>
  <c r="AF2248" i="20"/>
  <c r="AG2248" i="20" s="1"/>
  <c r="AF2244" i="20"/>
  <c r="AG2244" i="20" s="1"/>
  <c r="AF2240" i="20"/>
  <c r="AG2240" i="20" s="1"/>
  <c r="AF2236" i="20"/>
  <c r="AG2236" i="20" s="1"/>
  <c r="AF2232" i="20"/>
  <c r="AG2232" i="20" s="1"/>
  <c r="AF2228" i="20"/>
  <c r="AG2228" i="20" s="1"/>
  <c r="AF2224" i="20"/>
  <c r="AG2224" i="20" s="1"/>
  <c r="AF2220" i="20"/>
  <c r="AG2220" i="20" s="1"/>
  <c r="AF2216" i="20"/>
  <c r="AG2216" i="20" s="1"/>
  <c r="AF2212" i="20"/>
  <c r="AG2212" i="20" s="1"/>
  <c r="AF2208" i="20"/>
  <c r="AG2208" i="20" s="1"/>
  <c r="AF2204" i="20"/>
  <c r="AG2204" i="20" s="1"/>
  <c r="AF2200" i="20"/>
  <c r="AG2200" i="20" s="1"/>
  <c r="AF2196" i="20"/>
  <c r="AG2196" i="20" s="1"/>
  <c r="AF2192" i="20"/>
  <c r="AG2192" i="20" s="1"/>
  <c r="AF2188" i="20"/>
  <c r="AG2188" i="20" s="1"/>
  <c r="AF2184" i="20"/>
  <c r="AG2184" i="20" s="1"/>
  <c r="AF2180" i="20"/>
  <c r="AG2180" i="20" s="1"/>
  <c r="AF2176" i="20"/>
  <c r="AG2176" i="20" s="1"/>
  <c r="AF2172" i="20"/>
  <c r="AG2172" i="20" s="1"/>
  <c r="AF2168" i="20"/>
  <c r="AG2168" i="20" s="1"/>
  <c r="AF2164" i="20"/>
  <c r="AG2164" i="20" s="1"/>
  <c r="AF2160" i="20"/>
  <c r="AG2160" i="20" s="1"/>
  <c r="AF2156" i="20"/>
  <c r="AG2156" i="20" s="1"/>
  <c r="AF2152" i="20"/>
  <c r="AG2152" i="20" s="1"/>
  <c r="AF2148" i="20"/>
  <c r="AG2148" i="20" s="1"/>
  <c r="AF2144" i="20"/>
  <c r="AG2144" i="20" s="1"/>
  <c r="AF2140" i="20"/>
  <c r="AG2140" i="20" s="1"/>
  <c r="AF2132" i="20"/>
  <c r="AG2132" i="20" s="1"/>
  <c r="AF2124" i="20"/>
  <c r="AG2124" i="20" s="1"/>
  <c r="AF2120" i="20"/>
  <c r="AG2120" i="20" s="1"/>
  <c r="AF2116" i="20"/>
  <c r="AG2116" i="20" s="1"/>
  <c r="AF2112" i="20"/>
  <c r="AG2112" i="20" s="1"/>
  <c r="AF2105" i="20"/>
  <c r="AG2105" i="20" s="1"/>
  <c r="AG2103" i="20"/>
  <c r="AE2100" i="20"/>
  <c r="AG2097" i="20"/>
  <c r="AE2092" i="20"/>
  <c r="AE2084" i="20"/>
  <c r="AG2081" i="20"/>
  <c r="AE2076" i="20"/>
  <c r="AG2073" i="20"/>
  <c r="AE2068" i="20"/>
  <c r="AG2065" i="20"/>
  <c r="AE2060" i="20"/>
  <c r="AG2057" i="20"/>
  <c r="AE2052" i="20"/>
  <c r="AG2049" i="20"/>
  <c r="AE2108" i="20"/>
  <c r="AE2099" i="20"/>
  <c r="AE2096" i="20"/>
  <c r="AG2093" i="20"/>
  <c r="AE2088" i="20"/>
  <c r="AE2083" i="20"/>
  <c r="AE2080" i="20"/>
  <c r="AG2077" i="20"/>
  <c r="AE2075" i="20"/>
  <c r="AE2072" i="20"/>
  <c r="AG2069" i="20"/>
  <c r="AE2067" i="20"/>
  <c r="AE2064" i="20"/>
  <c r="AG2061" i="20"/>
  <c r="AE2059" i="20"/>
  <c r="AE2056" i="20"/>
  <c r="AE2051" i="20"/>
  <c r="AE2048" i="20"/>
  <c r="AG2045" i="20"/>
  <c r="AE2043" i="20"/>
  <c r="AF2039" i="20"/>
  <c r="AG2039" i="20" s="1"/>
  <c r="AE2039" i="20"/>
  <c r="AF2035" i="20"/>
  <c r="AG2035" i="20" s="1"/>
  <c r="AE2035" i="20"/>
  <c r="AF2031" i="20"/>
  <c r="AG2031" i="20" s="1"/>
  <c r="AE2031" i="20"/>
  <c r="AF2027" i="20"/>
  <c r="AG2027" i="20" s="1"/>
  <c r="AE2027" i="20"/>
  <c r="AF2023" i="20"/>
  <c r="AG2023" i="20" s="1"/>
  <c r="AE2023" i="20"/>
  <c r="AF2015" i="20"/>
  <c r="AG2015" i="20" s="1"/>
  <c r="AE2015" i="20"/>
  <c r="AF2011" i="20"/>
  <c r="AG2011" i="20" s="1"/>
  <c r="AE2011" i="20"/>
  <c r="AF2104" i="20"/>
  <c r="AG2104" i="20" s="1"/>
  <c r="AE2103" i="20"/>
  <c r="AE2097" i="20"/>
  <c r="AE2081" i="20"/>
  <c r="AE2073" i="20"/>
  <c r="AE2065" i="20"/>
  <c r="AE2057" i="20"/>
  <c r="AE2049" i="20"/>
  <c r="AF1739" i="20"/>
  <c r="AG1739" i="20" s="1"/>
  <c r="AE1739" i="20"/>
  <c r="AF1731" i="20"/>
  <c r="AG1731" i="20" s="1"/>
  <c r="AE1731" i="20"/>
  <c r="AF1727" i="20"/>
  <c r="AG1727" i="20" s="1"/>
  <c r="AE1727" i="20"/>
  <c r="AF1723" i="20"/>
  <c r="AG1723" i="20" s="1"/>
  <c r="AE1723" i="20"/>
  <c r="AF1719" i="20"/>
  <c r="AG1719" i="20" s="1"/>
  <c r="AE1719" i="20"/>
  <c r="AF1711" i="20"/>
  <c r="AG1711" i="20" s="1"/>
  <c r="AE1711" i="20"/>
  <c r="AF1707" i="20"/>
  <c r="AG1707" i="20" s="1"/>
  <c r="AE1707" i="20"/>
  <c r="AF1703" i="20"/>
  <c r="AG1703" i="20" s="1"/>
  <c r="AE1703" i="20"/>
  <c r="AF1699" i="20"/>
  <c r="AG1699" i="20" s="1"/>
  <c r="AE1699" i="20"/>
  <c r="AF1695" i="20"/>
  <c r="AG1695" i="20" s="1"/>
  <c r="AE1695" i="20"/>
  <c r="AF1691" i="20"/>
  <c r="AG1691" i="20" s="1"/>
  <c r="AE1691" i="20"/>
  <c r="AF1683" i="20"/>
  <c r="AG1683" i="20" s="1"/>
  <c r="AE1683" i="20"/>
  <c r="AF1679" i="20"/>
  <c r="AG1679" i="20" s="1"/>
  <c r="AE1679" i="20"/>
  <c r="AF1671" i="20"/>
  <c r="AG1671" i="20" s="1"/>
  <c r="AE1671" i="20"/>
  <c r="AF1667" i="20"/>
  <c r="AG1667" i="20" s="1"/>
  <c r="AE1667" i="20"/>
  <c r="AF1663" i="20"/>
  <c r="AG1663" i="20" s="1"/>
  <c r="AE1663" i="20"/>
  <c r="AF1659" i="20"/>
  <c r="AG1659" i="20" s="1"/>
  <c r="AE1659" i="20"/>
  <c r="AF1655" i="20"/>
  <c r="AG1655" i="20" s="1"/>
  <c r="AE1655" i="20"/>
  <c r="AF1651" i="20"/>
  <c r="AG1651" i="20" s="1"/>
  <c r="AE1651" i="20"/>
  <c r="AF1647" i="20"/>
  <c r="AG1647" i="20" s="1"/>
  <c r="AE1647" i="20"/>
  <c r="AF1643" i="20"/>
  <c r="AG1643" i="20" s="1"/>
  <c r="AE1643" i="20"/>
  <c r="AF1639" i="20"/>
  <c r="AG1639" i="20" s="1"/>
  <c r="AE1639" i="20"/>
  <c r="AG1877" i="20"/>
  <c r="AE1873" i="20"/>
  <c r="AG1860" i="20"/>
  <c r="AE1856" i="20"/>
  <c r="AE1840" i="20"/>
  <c r="AG1827" i="20"/>
  <c r="AE1824" i="20"/>
  <c r="AG1812" i="20"/>
  <c r="AG1796" i="20"/>
  <c r="AG1795" i="20"/>
  <c r="AE1776" i="20"/>
  <c r="AG1764" i="20"/>
  <c r="AE1760" i="20"/>
  <c r="AG1744" i="20"/>
  <c r="AG1736" i="20"/>
  <c r="AE2007" i="20"/>
  <c r="AE2003" i="20"/>
  <c r="AE1999" i="20"/>
  <c r="AE1995" i="20"/>
  <c r="AE1973" i="20"/>
  <c r="AE1967" i="20"/>
  <c r="AE1956" i="20"/>
  <c r="AE1952" i="20"/>
  <c r="AE1934" i="20"/>
  <c r="AE1930" i="20"/>
  <c r="AE1921" i="20"/>
  <c r="AE1917" i="20"/>
  <c r="AE1904" i="20"/>
  <c r="AE1892" i="20"/>
  <c r="AE1888" i="20"/>
  <c r="AE1870" i="20"/>
  <c r="AF1869" i="20"/>
  <c r="AG1869" i="20" s="1"/>
  <c r="AE1868" i="20"/>
  <c r="AE1853" i="20"/>
  <c r="AF1852" i="20"/>
  <c r="AG1852" i="20" s="1"/>
  <c r="AE1851" i="20"/>
  <c r="AF1836" i="20"/>
  <c r="AG1836" i="20" s="1"/>
  <c r="AE1835" i="20"/>
  <c r="AE1821" i="20"/>
  <c r="AF1820" i="20"/>
  <c r="AG1820" i="20" s="1"/>
  <c r="AE1819" i="20"/>
  <c r="AE1805" i="20"/>
  <c r="AF1804" i="20"/>
  <c r="AG1804" i="20" s="1"/>
  <c r="AE1803" i="20"/>
  <c r="AF1788" i="20"/>
  <c r="AG1788" i="20" s="1"/>
  <c r="AE1787" i="20"/>
  <c r="AF1772" i="20"/>
  <c r="AG1772" i="20" s="1"/>
  <c r="AE1771" i="20"/>
  <c r="AF1756" i="20"/>
  <c r="AG1756" i="20" s="1"/>
  <c r="AE1755" i="20"/>
  <c r="AF1740" i="20"/>
  <c r="AG1740" i="20" s="1"/>
  <c r="AF1732" i="20"/>
  <c r="AG1732" i="20" s="1"/>
  <c r="AF1743" i="20"/>
  <c r="AG1743" i="20" s="1"/>
  <c r="AE1743" i="20"/>
  <c r="AF1873" i="20"/>
  <c r="AG1873" i="20" s="1"/>
  <c r="AE1872" i="20"/>
  <c r="AG1868" i="20"/>
  <c r="AF1856" i="20"/>
  <c r="AG1856" i="20" s="1"/>
  <c r="AE1855" i="20"/>
  <c r="AG1851" i="20"/>
  <c r="AE1848" i="20"/>
  <c r="AF1840" i="20"/>
  <c r="AG1840" i="20" s="1"/>
  <c r="AG1835" i="20"/>
  <c r="AE1832" i="20"/>
  <c r="AF1824" i="20"/>
  <c r="AG1824" i="20" s="1"/>
  <c r="AE1823" i="20"/>
  <c r="AG1819" i="20"/>
  <c r="AE1816" i="20"/>
  <c r="AG1803" i="20"/>
  <c r="AE1800" i="20"/>
  <c r="AE1791" i="20"/>
  <c r="AG1787" i="20"/>
  <c r="AE1784" i="20"/>
  <c r="AF1776" i="20"/>
  <c r="AG1776" i="20" s="1"/>
  <c r="AE1775" i="20"/>
  <c r="AG1771" i="20"/>
  <c r="AE1768" i="20"/>
  <c r="AF1760" i="20"/>
  <c r="AG1760" i="20" s="1"/>
  <c r="AG1755" i="20"/>
  <c r="AE1751" i="20"/>
  <c r="AF1170" i="20"/>
  <c r="AG1170" i="20" s="1"/>
  <c r="AE1170" i="20"/>
  <c r="AF1154" i="20"/>
  <c r="AG1154" i="20" s="1"/>
  <c r="AE1154" i="20"/>
  <c r="AF1131" i="20"/>
  <c r="AG1131" i="20" s="1"/>
  <c r="AE1131" i="20"/>
  <c r="AF1182" i="20"/>
  <c r="AG1182" i="20" s="1"/>
  <c r="AE1182" i="20"/>
  <c r="AF1166" i="20"/>
  <c r="AG1166" i="20" s="1"/>
  <c r="AE1166" i="20"/>
  <c r="AF1150" i="20"/>
  <c r="AG1150" i="20" s="1"/>
  <c r="AE1150" i="20"/>
  <c r="AF1135" i="20"/>
  <c r="AG1135" i="20" s="1"/>
  <c r="AE1135" i="20"/>
  <c r="AE1623" i="20"/>
  <c r="AE1615" i="20"/>
  <c r="AE1611" i="20"/>
  <c r="AE1607" i="20"/>
  <c r="AE1603" i="20"/>
  <c r="AE1599" i="20"/>
  <c r="AE1595" i="20"/>
  <c r="AE1591" i="20"/>
  <c r="AE1587" i="20"/>
  <c r="AE1583" i="20"/>
  <c r="AE1575" i="20"/>
  <c r="AE1571" i="20"/>
  <c r="AE1567" i="20"/>
  <c r="AE1563" i="20"/>
  <c r="AE1559" i="20"/>
  <c r="AE1555" i="20"/>
  <c r="AE1547" i="20"/>
  <c r="AE1543" i="20"/>
  <c r="AE1539" i="20"/>
  <c r="AE1535" i="20"/>
  <c r="AE1531" i="20"/>
  <c r="AE1527" i="20"/>
  <c r="AE1523" i="20"/>
  <c r="AE1519" i="20"/>
  <c r="AE1515" i="20"/>
  <c r="AE1511" i="20"/>
  <c r="AE1507" i="20"/>
  <c r="AE1503" i="20"/>
  <c r="AE1499" i="20"/>
  <c r="AE1495" i="20"/>
  <c r="AE1491" i="20"/>
  <c r="AE1487" i="20"/>
  <c r="AE1483" i="20"/>
  <c r="AE1479" i="20"/>
  <c r="AE1475" i="20"/>
  <c r="AE1471" i="20"/>
  <c r="AE1467" i="20"/>
  <c r="AE1463" i="20"/>
  <c r="AE1459" i="20"/>
  <c r="AE1455" i="20"/>
  <c r="AE1451" i="20"/>
  <c r="AE1447" i="20"/>
  <c r="AE1443" i="20"/>
  <c r="AE1439" i="20"/>
  <c r="AE1435" i="20"/>
  <c r="AE1427" i="20"/>
  <c r="AE1423" i="20"/>
  <c r="AE1419" i="20"/>
  <c r="AE1415" i="20"/>
  <c r="AE1411" i="20"/>
  <c r="AE1403" i="20"/>
  <c r="AE1395" i="20"/>
  <c r="AE1391" i="20"/>
  <c r="AE1387" i="20"/>
  <c r="AE1383" i="20"/>
  <c r="AE1379" i="20"/>
  <c r="AE1375" i="20"/>
  <c r="AE1371" i="20"/>
  <c r="AE1367" i="20"/>
  <c r="AE1363" i="20"/>
  <c r="AE1359" i="20"/>
  <c r="AE1351" i="20"/>
  <c r="AE1347" i="20"/>
  <c r="AE1343" i="20"/>
  <c r="AE1339" i="20"/>
  <c r="AE1335" i="20"/>
  <c r="AE1331" i="20"/>
  <c r="AE1327" i="20"/>
  <c r="AE1323" i="20"/>
  <c r="AE1319" i="20"/>
  <c r="AE1315" i="20"/>
  <c r="AE1311" i="20"/>
  <c r="AE1307" i="20"/>
  <c r="AE1303" i="20"/>
  <c r="AE1299" i="20"/>
  <c r="AE1295" i="20"/>
  <c r="AE1294" i="20"/>
  <c r="AG1290" i="20"/>
  <c r="AE1287" i="20"/>
  <c r="AE1280" i="20"/>
  <c r="AF1279" i="20"/>
  <c r="AG1279" i="20" s="1"/>
  <c r="AE1278" i="20"/>
  <c r="AG1274" i="20"/>
  <c r="AE1271" i="20"/>
  <c r="AE1264" i="20"/>
  <c r="AF1263" i="20"/>
  <c r="AG1263" i="20" s="1"/>
  <c r="AE1262" i="20"/>
  <c r="AG1258" i="20"/>
  <c r="AE1255" i="20"/>
  <c r="AE1248" i="20"/>
  <c r="AF1247" i="20"/>
  <c r="AG1247" i="20" s="1"/>
  <c r="AE1246" i="20"/>
  <c r="AG1242" i="20"/>
  <c r="AE1239" i="20"/>
  <c r="AE1232" i="20"/>
  <c r="AF1231" i="20"/>
  <c r="AG1231" i="20" s="1"/>
  <c r="AE1230" i="20"/>
  <c r="AE1223" i="20"/>
  <c r="AE1216" i="20"/>
  <c r="AF1215" i="20"/>
  <c r="AG1215" i="20" s="1"/>
  <c r="AE1214" i="20"/>
  <c r="AG1210" i="20"/>
  <c r="AE1207" i="20"/>
  <c r="AE1200" i="20"/>
  <c r="AF1199" i="20"/>
  <c r="AG1199" i="20" s="1"/>
  <c r="AE1198" i="20"/>
  <c r="AG1194" i="20"/>
  <c r="AE1191" i="20"/>
  <c r="AG1175" i="20"/>
  <c r="AF1171" i="20"/>
  <c r="AG1171" i="20" s="1"/>
  <c r="AG1159" i="20"/>
  <c r="AF1178" i="20"/>
  <c r="AG1178" i="20" s="1"/>
  <c r="AE1178" i="20"/>
  <c r="AF1162" i="20"/>
  <c r="AG1162" i="20" s="1"/>
  <c r="AE1162" i="20"/>
  <c r="AF1139" i="20"/>
  <c r="AG1139" i="20" s="1"/>
  <c r="AE1139" i="20"/>
  <c r="AF1123" i="20"/>
  <c r="AG1123" i="20" s="1"/>
  <c r="AE1123" i="20"/>
  <c r="AG1294" i="20"/>
  <c r="AE1291" i="20"/>
  <c r="AF1283" i="20"/>
  <c r="AG1283" i="20" s="1"/>
  <c r="AE1282" i="20"/>
  <c r="AG1278" i="20"/>
  <c r="AE1275" i="20"/>
  <c r="AF1267" i="20"/>
  <c r="AG1267" i="20" s="1"/>
  <c r="AE1266" i="20"/>
  <c r="AG1262" i="20"/>
  <c r="AE1259" i="20"/>
  <c r="AF1251" i="20"/>
  <c r="AG1251" i="20" s="1"/>
  <c r="AE1250" i="20"/>
  <c r="AG1246" i="20"/>
  <c r="AE1243" i="20"/>
  <c r="AF1235" i="20"/>
  <c r="AG1235" i="20" s="1"/>
  <c r="AE1234" i="20"/>
  <c r="AG1230" i="20"/>
  <c r="AE1227" i="20"/>
  <c r="AF1219" i="20"/>
  <c r="AG1219" i="20" s="1"/>
  <c r="AE1218" i="20"/>
  <c r="AG1214" i="20"/>
  <c r="AE1211" i="20"/>
  <c r="AF1203" i="20"/>
  <c r="AG1203" i="20" s="1"/>
  <c r="AE1202" i="20"/>
  <c r="AG1198" i="20"/>
  <c r="AE1195" i="20"/>
  <c r="AF1187" i="20"/>
  <c r="AG1187" i="20" s="1"/>
  <c r="AE1186" i="20"/>
  <c r="AF1183" i="20"/>
  <c r="AG1183" i="20" s="1"/>
  <c r="AF1167" i="20"/>
  <c r="AG1167" i="20" s="1"/>
  <c r="AF1151" i="20"/>
  <c r="AG1151" i="20" s="1"/>
  <c r="AF1143" i="20"/>
  <c r="AG1143" i="20" s="1"/>
  <c r="AE1143" i="20"/>
  <c r="AF1127" i="20"/>
  <c r="AG1127" i="20" s="1"/>
  <c r="AE1127" i="20"/>
  <c r="AE691" i="20"/>
  <c r="AF691" i="20"/>
  <c r="AG691" i="20" s="1"/>
  <c r="AE675" i="20"/>
  <c r="AF675" i="20"/>
  <c r="AG675" i="20" s="1"/>
  <c r="AE663" i="20"/>
  <c r="AF663" i="20"/>
  <c r="AG663" i="20" s="1"/>
  <c r="AE659" i="20"/>
  <c r="AF659" i="20"/>
  <c r="AG659" i="20" s="1"/>
  <c r="AE1146" i="20"/>
  <c r="AE1142" i="20"/>
  <c r="AE1138" i="20"/>
  <c r="AE1134" i="20"/>
  <c r="AE1130" i="20"/>
  <c r="AE1126" i="20"/>
  <c r="AE1122" i="20"/>
  <c r="AE1118" i="20"/>
  <c r="AE1114" i="20"/>
  <c r="AE1106" i="20"/>
  <c r="AE1102" i="20"/>
  <c r="AE1098" i="20"/>
  <c r="AE1094" i="20"/>
  <c r="AE1090" i="20"/>
  <c r="AE1086" i="20"/>
  <c r="AE1082" i="20"/>
  <c r="AE1078" i="20"/>
  <c r="AE1070" i="20"/>
  <c r="AE1066" i="20"/>
  <c r="AE1058" i="20"/>
  <c r="AE1050" i="20"/>
  <c r="AE1046" i="20"/>
  <c r="AE1042" i="20"/>
  <c r="AE1038" i="20"/>
  <c r="AE1034" i="20"/>
  <c r="AE1030" i="20"/>
  <c r="AE1022" i="20"/>
  <c r="AE1018" i="20"/>
  <c r="AE1014" i="20"/>
  <c r="AE998" i="20"/>
  <c r="AE994" i="20"/>
  <c r="AE990" i="20"/>
  <c r="AE982" i="20"/>
  <c r="AE978" i="20"/>
  <c r="AE974" i="20"/>
  <c r="AE970" i="20"/>
  <c r="AE966" i="20"/>
  <c r="AE958" i="20"/>
  <c r="AE954" i="20"/>
  <c r="AE950" i="20"/>
  <c r="AE946" i="20"/>
  <c r="AE942" i="20"/>
  <c r="AE938" i="20"/>
  <c r="AE934" i="20"/>
  <c r="AE930" i="20"/>
  <c r="AE926" i="20"/>
  <c r="AE922" i="20"/>
  <c r="AE918" i="20"/>
  <c r="AE914" i="20"/>
  <c r="AE910" i="20"/>
  <c r="AE906" i="20"/>
  <c r="AE902" i="20"/>
  <c r="AE898" i="20"/>
  <c r="AE890" i="20"/>
  <c r="AE886" i="20"/>
  <c r="AE882" i="20"/>
  <c r="AE878" i="20"/>
  <c r="AE874" i="20"/>
  <c r="AE870" i="20"/>
  <c r="AE866" i="20"/>
  <c r="AE862" i="20"/>
  <c r="AE858" i="20"/>
  <c r="AE854" i="20"/>
  <c r="AE850" i="20"/>
  <c r="AE846" i="20"/>
  <c r="AE842" i="20"/>
  <c r="AE838" i="20"/>
  <c r="AE834" i="20"/>
  <c r="AE830" i="20"/>
  <c r="AE826" i="20"/>
  <c r="AE822" i="20"/>
  <c r="AE818" i="20"/>
  <c r="AE810" i="20"/>
  <c r="AE806" i="20"/>
  <c r="AE802" i="20"/>
  <c r="AE798" i="20"/>
  <c r="AE794" i="20"/>
  <c r="AE790" i="20"/>
  <c r="AE786" i="20"/>
  <c r="AE782" i="20"/>
  <c r="AE778" i="20"/>
  <c r="AE774" i="20"/>
  <c r="AE770" i="20"/>
  <c r="AE766" i="20"/>
  <c r="AE762" i="20"/>
  <c r="AE758" i="20"/>
  <c r="AE754" i="20"/>
  <c r="AE750" i="20"/>
  <c r="AE746" i="20"/>
  <c r="AE742" i="20"/>
  <c r="AE738" i="20"/>
  <c r="AE734" i="20"/>
  <c r="AE730" i="20"/>
  <c r="AE726" i="20"/>
  <c r="AE722" i="20"/>
  <c r="AE718" i="20"/>
  <c r="AE714" i="20"/>
  <c r="AE709" i="20"/>
  <c r="AE705" i="20"/>
  <c r="AE701" i="20"/>
  <c r="AE697" i="20"/>
  <c r="AF692" i="20"/>
  <c r="AG692" i="20" s="1"/>
  <c r="AF676" i="20"/>
  <c r="AG676" i="20" s="1"/>
  <c r="AF664" i="20"/>
  <c r="AG664" i="20" s="1"/>
  <c r="AE683" i="20"/>
  <c r="AF683" i="20"/>
  <c r="AG683" i="20" s="1"/>
  <c r="AE671" i="20"/>
  <c r="AF671" i="20"/>
  <c r="AG671" i="20" s="1"/>
  <c r="AF648" i="20"/>
  <c r="AG648" i="20" s="1"/>
  <c r="AE648" i="20"/>
  <c r="AE1119" i="20"/>
  <c r="AE1115" i="20"/>
  <c r="AE1111" i="20"/>
  <c r="AE1107" i="20"/>
  <c r="AE1103" i="20"/>
  <c r="AE1095" i="20"/>
  <c r="AE1091" i="20"/>
  <c r="AE1087" i="20"/>
  <c r="AE1083" i="20"/>
  <c r="AE1079" i="20"/>
  <c r="AE1075" i="20"/>
  <c r="AE1071" i="20"/>
  <c r="AE1067" i="20"/>
  <c r="AE1063" i="20"/>
  <c r="AE1059" i="20"/>
  <c r="AE1055" i="20"/>
  <c r="AE1051" i="20"/>
  <c r="AE1047" i="20"/>
  <c r="AE1043" i="20"/>
  <c r="AE1039" i="20"/>
  <c r="AE1035" i="20"/>
  <c r="AE1027" i="20"/>
  <c r="AE1023" i="20"/>
  <c r="AE1019" i="20"/>
  <c r="AE1007" i="20"/>
  <c r="AE1003" i="20"/>
  <c r="AE999" i="20"/>
  <c r="AE995" i="20"/>
  <c r="AE991" i="20"/>
  <c r="AE987" i="20"/>
  <c r="AE983" i="20"/>
  <c r="AE979" i="20"/>
  <c r="AE975" i="20"/>
  <c r="AE971" i="20"/>
  <c r="AE967" i="20"/>
  <c r="AE959" i="20"/>
  <c r="AE955" i="20"/>
  <c r="AE951" i="20"/>
  <c r="AE947" i="20"/>
  <c r="AE943" i="20"/>
  <c r="AE939" i="20"/>
  <c r="AE935" i="20"/>
  <c r="AE931" i="20"/>
  <c r="AE927" i="20"/>
  <c r="AE919" i="20"/>
  <c r="AE915" i="20"/>
  <c r="AE911" i="20"/>
  <c r="AE907" i="20"/>
  <c r="AE903" i="20"/>
  <c r="AE899" i="20"/>
  <c r="AE895" i="20"/>
  <c r="AE887" i="20"/>
  <c r="AE883" i="20"/>
  <c r="AE879" i="20"/>
  <c r="AE875" i="20"/>
  <c r="AE871" i="20"/>
  <c r="AE867" i="20"/>
  <c r="AE863" i="20"/>
  <c r="AE859" i="20"/>
  <c r="AE855" i="20"/>
  <c r="AE851" i="20"/>
  <c r="AE847" i="20"/>
  <c r="AE843" i="20"/>
  <c r="AE839" i="20"/>
  <c r="AE835" i="20"/>
  <c r="AE831" i="20"/>
  <c r="AE827" i="20"/>
  <c r="AE823" i="20"/>
  <c r="AE819" i="20"/>
  <c r="AE815" i="20"/>
  <c r="AE811" i="20"/>
  <c r="AE807" i="20"/>
  <c r="AE803" i="20"/>
  <c r="AE799" i="20"/>
  <c r="AE795" i="20"/>
  <c r="AE791" i="20"/>
  <c r="AE787" i="20"/>
  <c r="AE783" i="20"/>
  <c r="AE779" i="20"/>
  <c r="AE775" i="20"/>
  <c r="AE771" i="20"/>
  <c r="AE767" i="20"/>
  <c r="AE763" i="20"/>
  <c r="AE759" i="20"/>
  <c r="AE755" i="20"/>
  <c r="AE751" i="20"/>
  <c r="AE747" i="20"/>
  <c r="AE743" i="20"/>
  <c r="AE739" i="20"/>
  <c r="AE735" i="20"/>
  <c r="AE731" i="20"/>
  <c r="AE727" i="20"/>
  <c r="AE723" i="20"/>
  <c r="AE719" i="20"/>
  <c r="AE715" i="20"/>
  <c r="AE706" i="20"/>
  <c r="AE698" i="20"/>
  <c r="AF688" i="20"/>
  <c r="AG688" i="20" s="1"/>
  <c r="AF660" i="20"/>
  <c r="AG660" i="20" s="1"/>
  <c r="AE655" i="20"/>
  <c r="AE695" i="20"/>
  <c r="AF695" i="20"/>
  <c r="AG695" i="20" s="1"/>
  <c r="AE679" i="20"/>
  <c r="AF679" i="20"/>
  <c r="AG679" i="20" s="1"/>
  <c r="AE667" i="20"/>
  <c r="AF667" i="20"/>
  <c r="AG667" i="20" s="1"/>
  <c r="AF652" i="20"/>
  <c r="AG652" i="20" s="1"/>
  <c r="AE652" i="20"/>
  <c r="AF358" i="20"/>
  <c r="AG358" i="20" s="1"/>
  <c r="AE358" i="20"/>
  <c r="AF350" i="20"/>
  <c r="AG350" i="20" s="1"/>
  <c r="AE350" i="20"/>
  <c r="AF346" i="20"/>
  <c r="AG346" i="20" s="1"/>
  <c r="AE346" i="20"/>
  <c r="AF306" i="20"/>
  <c r="AG306" i="20" s="1"/>
  <c r="AE306" i="20"/>
  <c r="AF302" i="20"/>
  <c r="AG302" i="20" s="1"/>
  <c r="AE302" i="20"/>
  <c r="AF655" i="20"/>
  <c r="AG655" i="20" s="1"/>
  <c r="AF651" i="20"/>
  <c r="AG651" i="20" s="1"/>
  <c r="AF647" i="20"/>
  <c r="AG647" i="20" s="1"/>
  <c r="AE644" i="20"/>
  <c r="AF643" i="20"/>
  <c r="AG643" i="20" s="1"/>
  <c r="AF639" i="20"/>
  <c r="AG639" i="20" s="1"/>
  <c r="AE636" i="20"/>
  <c r="AF635" i="20"/>
  <c r="AG635" i="20" s="1"/>
  <c r="AE632" i="20"/>
  <c r="AF631" i="20"/>
  <c r="AG631" i="20" s="1"/>
  <c r="AE628" i="20"/>
  <c r="AF627" i="20"/>
  <c r="AG627" i="20" s="1"/>
  <c r="AE624" i="20"/>
  <c r="AF623" i="20"/>
  <c r="AG623" i="20" s="1"/>
  <c r="AE620" i="20"/>
  <c r="AF619" i="20"/>
  <c r="AG619" i="20" s="1"/>
  <c r="AE616" i="20"/>
  <c r="AF615" i="20"/>
  <c r="AG615" i="20" s="1"/>
  <c r="AF611" i="20"/>
  <c r="AG611" i="20" s="1"/>
  <c r="AE608" i="20"/>
  <c r="AF607" i="20"/>
  <c r="AG607" i="20" s="1"/>
  <c r="AE604" i="20"/>
  <c r="AF603" i="20"/>
  <c r="AG603" i="20" s="1"/>
  <c r="AE600" i="20"/>
  <c r="AF599" i="20"/>
  <c r="AG599" i="20" s="1"/>
  <c r="AE596" i="20"/>
  <c r="AF595" i="20"/>
  <c r="AG595" i="20" s="1"/>
  <c r="AE592" i="20"/>
  <c r="AF591" i="20"/>
  <c r="AG591" i="20" s="1"/>
  <c r="AE588" i="20"/>
  <c r="AF587" i="20"/>
  <c r="AG587" i="20" s="1"/>
  <c r="AE583" i="20"/>
  <c r="AF582" i="20"/>
  <c r="AG582" i="20" s="1"/>
  <c r="AE579" i="20"/>
  <c r="AF578" i="20"/>
  <c r="AG578" i="20" s="1"/>
  <c r="AE575" i="20"/>
  <c r="AE571" i="20"/>
  <c r="AF570" i="20"/>
  <c r="AG570" i="20" s="1"/>
  <c r="AE567" i="20"/>
  <c r="AF566" i="20"/>
  <c r="AG566" i="20" s="1"/>
  <c r="AE563" i="20"/>
  <c r="AF562" i="20"/>
  <c r="AG562" i="20" s="1"/>
  <c r="AE559" i="20"/>
  <c r="AF558" i="20"/>
  <c r="AG558" i="20" s="1"/>
  <c r="AE555" i="20"/>
  <c r="AF554" i="20"/>
  <c r="AG554" i="20" s="1"/>
  <c r="AE551" i="20"/>
  <c r="AF550" i="20"/>
  <c r="AG550" i="20" s="1"/>
  <c r="AE547" i="20"/>
  <c r="AF546" i="20"/>
  <c r="AG546" i="20" s="1"/>
  <c r="AE542" i="20"/>
  <c r="AF541" i="20"/>
  <c r="AG541" i="20" s="1"/>
  <c r="AE538" i="20"/>
  <c r="AF537" i="20"/>
  <c r="AG537" i="20" s="1"/>
  <c r="AE534" i="20"/>
  <c r="AF533" i="20"/>
  <c r="AG533" i="20" s="1"/>
  <c r="AF529" i="20"/>
  <c r="AG529" i="20" s="1"/>
  <c r="AE526" i="20"/>
  <c r="AF525" i="20"/>
  <c r="AG525" i="20" s="1"/>
  <c r="AE522" i="20"/>
  <c r="AF521" i="20"/>
  <c r="AG521" i="20" s="1"/>
  <c r="AE518" i="20"/>
  <c r="AF517" i="20"/>
  <c r="AG517" i="20" s="1"/>
  <c r="AE514" i="20"/>
  <c r="AF513" i="20"/>
  <c r="AG513" i="20" s="1"/>
  <c r="AE510" i="20"/>
  <c r="AF509" i="20"/>
  <c r="AG509" i="20" s="1"/>
  <c r="AE506" i="20"/>
  <c r="AF505" i="20"/>
  <c r="AG505" i="20" s="1"/>
  <c r="AE502" i="20"/>
  <c r="AF501" i="20"/>
  <c r="AG501" i="20" s="1"/>
  <c r="AE498" i="20"/>
  <c r="AF497" i="20"/>
  <c r="AG497" i="20" s="1"/>
  <c r="AE494" i="20"/>
  <c r="AF493" i="20"/>
  <c r="AG493" i="20" s="1"/>
  <c r="AE490" i="20"/>
  <c r="AF489" i="20"/>
  <c r="AG489" i="20" s="1"/>
  <c r="AE486" i="20"/>
  <c r="AF485" i="20"/>
  <c r="AG485" i="20" s="1"/>
  <c r="AF481" i="20"/>
  <c r="AG481" i="20" s="1"/>
  <c r="AE478" i="20"/>
  <c r="AF477" i="20"/>
  <c r="AG477" i="20" s="1"/>
  <c r="AE474" i="20"/>
  <c r="AF473" i="20"/>
  <c r="AG473" i="20" s="1"/>
  <c r="AE470" i="20"/>
  <c r="AF469" i="20"/>
  <c r="AG469" i="20" s="1"/>
  <c r="AE466" i="20"/>
  <c r="AF465" i="20"/>
  <c r="AG465" i="20" s="1"/>
  <c r="AE462" i="20"/>
  <c r="AF461" i="20"/>
  <c r="AG461" i="20" s="1"/>
  <c r="AE458" i="20"/>
  <c r="AF457" i="20"/>
  <c r="AG457" i="20" s="1"/>
  <c r="AE454" i="20"/>
  <c r="AF453" i="20"/>
  <c r="AG453" i="20" s="1"/>
  <c r="AE450" i="20"/>
  <c r="AF449" i="20"/>
  <c r="AG449" i="20" s="1"/>
  <c r="AE446" i="20"/>
  <c r="AF445" i="20"/>
  <c r="AG445" i="20" s="1"/>
  <c r="AE442" i="20"/>
  <c r="AF441" i="20"/>
  <c r="AG441" i="20" s="1"/>
  <c r="AE438" i="20"/>
  <c r="AF437" i="20"/>
  <c r="AG437" i="20" s="1"/>
  <c r="AE434" i="20"/>
  <c r="AF433" i="20"/>
  <c r="AG433" i="20" s="1"/>
  <c r="AE430" i="20"/>
  <c r="AF429" i="20"/>
  <c r="AG429" i="20" s="1"/>
  <c r="AE426" i="20"/>
  <c r="AF425" i="20"/>
  <c r="AG425" i="20" s="1"/>
  <c r="AE422" i="20"/>
  <c r="AE418" i="20"/>
  <c r="AF417" i="20"/>
  <c r="AG417" i="20" s="1"/>
  <c r="AE414" i="20"/>
  <c r="AF413" i="20"/>
  <c r="AG413" i="20" s="1"/>
  <c r="AE410" i="20"/>
  <c r="AF409" i="20"/>
  <c r="AG409" i="20" s="1"/>
  <c r="AE406" i="20"/>
  <c r="AE402" i="20"/>
  <c r="AF401" i="20"/>
  <c r="AG401" i="20" s="1"/>
  <c r="AE398" i="20"/>
  <c r="AF397" i="20"/>
  <c r="AG397" i="20" s="1"/>
  <c r="AE394" i="20"/>
  <c r="AF393" i="20"/>
  <c r="AG393" i="20" s="1"/>
  <c r="AE390" i="20"/>
  <c r="AF389" i="20"/>
  <c r="AG389" i="20" s="1"/>
  <c r="AE386" i="20"/>
  <c r="AF385" i="20"/>
  <c r="AG385" i="20" s="1"/>
  <c r="AE382" i="20"/>
  <c r="AF381" i="20"/>
  <c r="AG381" i="20" s="1"/>
  <c r="AE378" i="20"/>
  <c r="AF377" i="20"/>
  <c r="AG377" i="20" s="1"/>
  <c r="AE374" i="20"/>
  <c r="AF373" i="20"/>
  <c r="AG373" i="20" s="1"/>
  <c r="AE370" i="20"/>
  <c r="AF369" i="20"/>
  <c r="AG369" i="20" s="1"/>
  <c r="AE366" i="20"/>
  <c r="AF365" i="20"/>
  <c r="AG365" i="20" s="1"/>
  <c r="AE362" i="20"/>
  <c r="AF361" i="20"/>
  <c r="AG361" i="20" s="1"/>
  <c r="AF339" i="20"/>
  <c r="AG339" i="20" s="1"/>
  <c r="AF331" i="20"/>
  <c r="AG331" i="20" s="1"/>
  <c r="AF342" i="20"/>
  <c r="AG342" i="20" s="1"/>
  <c r="AE342" i="20"/>
  <c r="AF334" i="20"/>
  <c r="AG334" i="20" s="1"/>
  <c r="AE334" i="20"/>
  <c r="AF326" i="20"/>
  <c r="AG326" i="20" s="1"/>
  <c r="AE326" i="20"/>
  <c r="AF322" i="20"/>
  <c r="AG322" i="20" s="1"/>
  <c r="AE322" i="20"/>
  <c r="AF313" i="20"/>
  <c r="AG313" i="20" s="1"/>
  <c r="AE313" i="20"/>
  <c r="AF310" i="20"/>
  <c r="AG310" i="20" s="1"/>
  <c r="AE310" i="20"/>
  <c r="AF347" i="20"/>
  <c r="AG347" i="20" s="1"/>
  <c r="AF354" i="20"/>
  <c r="AG354" i="20" s="1"/>
  <c r="AE354" i="20"/>
  <c r="AF323" i="20"/>
  <c r="AG323" i="20" s="1"/>
  <c r="AF338" i="20"/>
  <c r="AG338" i="20" s="1"/>
  <c r="AE338" i="20"/>
  <c r="AF330" i="20"/>
  <c r="AG330" i="20" s="1"/>
  <c r="AE330" i="20"/>
  <c r="AF317" i="20"/>
  <c r="AG317" i="20" s="1"/>
  <c r="AE317" i="20"/>
  <c r="AF355" i="20"/>
  <c r="AG355" i="20" s="1"/>
  <c r="AG343" i="20"/>
  <c r="AG335" i="20"/>
  <c r="AF23" i="20"/>
  <c r="AG23" i="20" s="1"/>
  <c r="AE309" i="20"/>
  <c r="AE301" i="20"/>
  <c r="AE297" i="20"/>
  <c r="AE293" i="20"/>
  <c r="AE289" i="20"/>
  <c r="AE281" i="20"/>
  <c r="AE277" i="20"/>
  <c r="AE273" i="20"/>
  <c r="AE269" i="20"/>
  <c r="AE265" i="20"/>
  <c r="AE261" i="20"/>
  <c r="AE253" i="20"/>
  <c r="AE249" i="20"/>
  <c r="AE245" i="20"/>
  <c r="AE241" i="20"/>
  <c r="AE237" i="20"/>
  <c r="AE233" i="20"/>
  <c r="AE229" i="20"/>
  <c r="AE225" i="20"/>
  <c r="AE221" i="20"/>
  <c r="AE217" i="20"/>
  <c r="AE213" i="20"/>
  <c r="AE209" i="20"/>
  <c r="AE205" i="20"/>
  <c r="AE201" i="20"/>
  <c r="AE197" i="20"/>
  <c r="AE193" i="20"/>
  <c r="AE189" i="20"/>
  <c r="AE185" i="20"/>
  <c r="AE181" i="20"/>
  <c r="AE177" i="20"/>
  <c r="AE169" i="20"/>
  <c r="AE165" i="20"/>
  <c r="AE161" i="20"/>
  <c r="AE157" i="20"/>
  <c r="AE153" i="20"/>
  <c r="AE149" i="20"/>
  <c r="AE145" i="20"/>
  <c r="AE141" i="20"/>
  <c r="AE137" i="20"/>
  <c r="AE133" i="20"/>
  <c r="AE129" i="20"/>
  <c r="AE125" i="20"/>
  <c r="AE121" i="20"/>
  <c r="AE117" i="20"/>
  <c r="AE113" i="20"/>
  <c r="AE109" i="20"/>
  <c r="AE105" i="20"/>
  <c r="AE101" i="20"/>
  <c r="AE97" i="20"/>
  <c r="AE93" i="20"/>
  <c r="AE89" i="20"/>
  <c r="AE85" i="20"/>
  <c r="AE81" i="20"/>
  <c r="AE77" i="20"/>
  <c r="AE73" i="20"/>
  <c r="AE69" i="20"/>
  <c r="AE65" i="20"/>
  <c r="AE61" i="20"/>
  <c r="AE57" i="20"/>
  <c r="AE53" i="20"/>
  <c r="AE45" i="20"/>
  <c r="AE41" i="20"/>
  <c r="AE37" i="20"/>
  <c r="AE33" i="20"/>
  <c r="AE29" i="20"/>
  <c r="AE25" i="20"/>
  <c r="AE294" i="20"/>
  <c r="AE290" i="20"/>
  <c r="AE286" i="20"/>
  <c r="AE282" i="20"/>
  <c r="AE278" i="20"/>
  <c r="AE274" i="20"/>
  <c r="AE270" i="20"/>
  <c r="AE266" i="20"/>
  <c r="AE262" i="20"/>
  <c r="AE258" i="20"/>
  <c r="AE254" i="20"/>
  <c r="AE250" i="20"/>
  <c r="AE246" i="20"/>
  <c r="AE242" i="20"/>
  <c r="AE238" i="20"/>
  <c r="AE234" i="20"/>
  <c r="AE226" i="20"/>
  <c r="AE218" i="20"/>
  <c r="AE214" i="20"/>
  <c r="AE210" i="20"/>
  <c r="AE206" i="20"/>
  <c r="AE202" i="20"/>
  <c r="AE198" i="20"/>
  <c r="AE194" i="20"/>
  <c r="AE190" i="20"/>
  <c r="AE186" i="20"/>
  <c r="AE182" i="20"/>
  <c r="AE178" i="20"/>
  <c r="AE174" i="20"/>
  <c r="AE170" i="20"/>
  <c r="AE166" i="20"/>
  <c r="AE162" i="20"/>
  <c r="AE154" i="20"/>
  <c r="AE150" i="20"/>
  <c r="AE146" i="20"/>
  <c r="AE142" i="20"/>
  <c r="AE138" i="20"/>
  <c r="AE134" i="20"/>
  <c r="AE130" i="20"/>
  <c r="AE126" i="20"/>
  <c r="AE122" i="20"/>
  <c r="AE118" i="20"/>
  <c r="AE114" i="20"/>
  <c r="AE110" i="20"/>
  <c r="AE106" i="20"/>
  <c r="AE102" i="20"/>
  <c r="AE98" i="20"/>
  <c r="AE94" i="20"/>
  <c r="AE90" i="20"/>
  <c r="AE86" i="20"/>
  <c r="AE82" i="20"/>
  <c r="AE78" i="20"/>
  <c r="AE74" i="20"/>
  <c r="AE70" i="20"/>
  <c r="AE66" i="20"/>
  <c r="AE62" i="20"/>
  <c r="AE58" i="20"/>
  <c r="AE54" i="20"/>
  <c r="AE22" i="20"/>
  <c r="AE18" i="20"/>
  <c r="AE10" i="20"/>
  <c r="AE6" i="20"/>
  <c r="J4208" i="24"/>
  <c r="J4205" i="24"/>
  <c r="O4422" i="20"/>
  <c r="N4422" i="20"/>
  <c r="J4204" i="24"/>
  <c r="AE3766" i="20" l="1"/>
  <c r="AE4301" i="20"/>
  <c r="AE4194" i="20"/>
  <c r="AE1026" i="20"/>
  <c r="AE3475" i="20"/>
  <c r="AF2861" i="20"/>
  <c r="AG2861" i="20" s="1"/>
  <c r="AE4730" i="20"/>
  <c r="AE3900" i="20"/>
  <c r="AE4081" i="20"/>
  <c r="AE1960" i="20"/>
  <c r="AE4332" i="20"/>
  <c r="AE3282" i="20"/>
  <c r="AE2355" i="20"/>
  <c r="AE2661" i="20"/>
  <c r="AE4188" i="20"/>
  <c r="AE3755" i="20"/>
  <c r="AE314" i="20"/>
  <c r="AE640" i="20"/>
  <c r="AE2505" i="20"/>
  <c r="AE3118" i="20"/>
  <c r="AC4274" i="20"/>
  <c r="AD4274" i="20"/>
  <c r="AC4372" i="20"/>
  <c r="AF4372" i="20" s="1"/>
  <c r="AG4372" i="20" s="1"/>
  <c r="AD4372" i="20"/>
  <c r="AC3454" i="20"/>
  <c r="AD3454" i="20"/>
  <c r="AC4101" i="20"/>
  <c r="AD4101" i="20"/>
  <c r="AE3988" i="20"/>
  <c r="AF3988" i="20"/>
  <c r="AG3988" i="20" s="1"/>
  <c r="AC2145" i="20"/>
  <c r="AF2145" i="20" s="1"/>
  <c r="AG2145" i="20" s="1"/>
  <c r="AD2145" i="20"/>
  <c r="AD392" i="20"/>
  <c r="AC392" i="20"/>
  <c r="AC3033" i="20"/>
  <c r="AF3033" i="20" s="1"/>
  <c r="AG3033" i="20" s="1"/>
  <c r="AD3033" i="20"/>
  <c r="AC4408" i="20"/>
  <c r="AD4408" i="20"/>
  <c r="AF451" i="20"/>
  <c r="AG451" i="20" s="1"/>
  <c r="AE451" i="20"/>
  <c r="AC4366" i="20"/>
  <c r="AD4366" i="20"/>
  <c r="AD3183" i="20"/>
  <c r="AC3183" i="20"/>
  <c r="AF3183" i="20" s="1"/>
  <c r="AG3183" i="20" s="1"/>
  <c r="AC4601" i="20"/>
  <c r="AD4601" i="20"/>
  <c r="AD4671" i="20"/>
  <c r="AC4671" i="20"/>
  <c r="AE3775" i="20"/>
  <c r="AF3775" i="20"/>
  <c r="AG3775" i="20" s="1"/>
  <c r="AC768" i="20"/>
  <c r="AD768" i="20"/>
  <c r="AC3584" i="20"/>
  <c r="AD3584" i="20"/>
  <c r="AE3700" i="20"/>
  <c r="AF3700" i="20"/>
  <c r="AG3700" i="20" s="1"/>
  <c r="AE1974" i="20"/>
  <c r="AF1974" i="20"/>
  <c r="AG1974" i="20" s="1"/>
  <c r="AE1842" i="20"/>
  <c r="AF1842" i="20"/>
  <c r="AG1842" i="20" s="1"/>
  <c r="AD4792" i="20"/>
  <c r="AC4792" i="20"/>
  <c r="AC4015" i="20"/>
  <c r="AD4015" i="20"/>
  <c r="AC4331" i="20"/>
  <c r="AF4331" i="20" s="1"/>
  <c r="AG4331" i="20" s="1"/>
  <c r="AD4331" i="20"/>
  <c r="AC4010" i="20"/>
  <c r="AF4010" i="20" s="1"/>
  <c r="AG4010" i="20" s="1"/>
  <c r="AD4010" i="20"/>
  <c r="AE917" i="20"/>
  <c r="AF917" i="20"/>
  <c r="AG917" i="20" s="1"/>
  <c r="AE4300" i="20"/>
  <c r="AF4300" i="20"/>
  <c r="AG4300" i="20" s="1"/>
  <c r="AD3147" i="20"/>
  <c r="AC3147" i="20"/>
  <c r="AC3975" i="20"/>
  <c r="AD3975" i="20"/>
  <c r="AC4136" i="20"/>
  <c r="AD4136" i="20"/>
  <c r="AD3515" i="20"/>
  <c r="AC3515" i="20"/>
  <c r="AC4267" i="20"/>
  <c r="AD4267" i="20"/>
  <c r="AC4289" i="20"/>
  <c r="AD4289" i="20"/>
  <c r="AC2128" i="20"/>
  <c r="AD2128" i="20"/>
  <c r="AD3083" i="20"/>
  <c r="AC3083" i="20"/>
  <c r="AC4326" i="20"/>
  <c r="AD4326" i="20"/>
  <c r="AE2321" i="20"/>
  <c r="AF4425" i="20"/>
  <c r="AG4425" i="20" s="1"/>
  <c r="AE4425" i="20"/>
  <c r="AF3246" i="20"/>
  <c r="AG3246" i="20" s="1"/>
  <c r="AE3246" i="20"/>
  <c r="O4427" i="20"/>
  <c r="N4427" i="20"/>
  <c r="O4426" i="20"/>
  <c r="N4426" i="20"/>
  <c r="J4201" i="24"/>
  <c r="U3334" i="20"/>
  <c r="U4358" i="20"/>
  <c r="Q4141" i="20"/>
  <c r="O4413" i="20"/>
  <c r="N4413" i="20"/>
  <c r="Q2830" i="20"/>
  <c r="P844" i="20"/>
  <c r="N845" i="20"/>
  <c r="N4428" i="20"/>
  <c r="K4206" i="24"/>
  <c r="K4207" i="24"/>
  <c r="K4208" i="24"/>
  <c r="K4209" i="24"/>
  <c r="K4210" i="24"/>
  <c r="K4211" i="24"/>
  <c r="K4212" i="24"/>
  <c r="K4213" i="24"/>
  <c r="K4205" i="24"/>
  <c r="K4214" i="24"/>
  <c r="K4215" i="24"/>
  <c r="K4216" i="24"/>
  <c r="O4352" i="20"/>
  <c r="N4352" i="20"/>
  <c r="O4403" i="20"/>
  <c r="N4403" i="20"/>
  <c r="V4733" i="20"/>
  <c r="N1954" i="20"/>
  <c r="O1954" i="20"/>
  <c r="N1955" i="20"/>
  <c r="O1955" i="20"/>
  <c r="N1956" i="20"/>
  <c r="O1956" i="20"/>
  <c r="N1957" i="20"/>
  <c r="N1933" i="20"/>
  <c r="O1933" i="20"/>
  <c r="N1934" i="20"/>
  <c r="O1934" i="20"/>
  <c r="N1935" i="20"/>
  <c r="N1936" i="20"/>
  <c r="O1936" i="20"/>
  <c r="N1930" i="20"/>
  <c r="O1930" i="20"/>
  <c r="J4200" i="24"/>
  <c r="U814" i="20"/>
  <c r="AE4331" i="20" l="1"/>
  <c r="AE4010" i="20"/>
  <c r="AE3033" i="20"/>
  <c r="AE2145" i="20"/>
  <c r="AE4372" i="20"/>
  <c r="AF4289" i="20"/>
  <c r="AG4289" i="20" s="1"/>
  <c r="AE4289" i="20"/>
  <c r="AC2415" i="20"/>
  <c r="AD2415" i="20"/>
  <c r="AC4256" i="20"/>
  <c r="AD4256" i="20"/>
  <c r="AD2830" i="20"/>
  <c r="AC2830" i="20"/>
  <c r="AF4671" i="20"/>
  <c r="AG4671" i="20" s="1"/>
  <c r="AE4671" i="20"/>
  <c r="AC3358" i="20"/>
  <c r="AD3358" i="20"/>
  <c r="AD1947" i="20"/>
  <c r="AC1947" i="20"/>
  <c r="AC4409" i="20"/>
  <c r="AD4409" i="20"/>
  <c r="AD857" i="20"/>
  <c r="AC857" i="20"/>
  <c r="AC4059" i="20"/>
  <c r="AD4059" i="20"/>
  <c r="AC711" i="20"/>
  <c r="AD711" i="20"/>
  <c r="AD4423" i="20"/>
  <c r="AC4423" i="20"/>
  <c r="AF4423" i="20" s="1"/>
  <c r="AG4423" i="20" s="1"/>
  <c r="AC1396" i="20"/>
  <c r="AD1396" i="20"/>
  <c r="AD3079" i="20"/>
  <c r="AC3079" i="20"/>
  <c r="AC4733" i="20"/>
  <c r="AD4733" i="20"/>
  <c r="AF4267" i="20"/>
  <c r="AG4267" i="20" s="1"/>
  <c r="AE4267" i="20"/>
  <c r="AC285" i="20"/>
  <c r="AD285" i="20"/>
  <c r="AD4393" i="20"/>
  <c r="AC4393" i="20"/>
  <c r="AE3975" i="20"/>
  <c r="AF3975" i="20"/>
  <c r="AG3975" i="20" s="1"/>
  <c r="AE3183" i="20"/>
  <c r="AF4101" i="20"/>
  <c r="AG4101" i="20" s="1"/>
  <c r="AE4101" i="20"/>
  <c r="AC1158" i="20"/>
  <c r="AD1158" i="20"/>
  <c r="AC172" i="20"/>
  <c r="AD172" i="20"/>
  <c r="AE3515" i="20"/>
  <c r="AF3515" i="20"/>
  <c r="AG3515" i="20" s="1"/>
  <c r="AC4077" i="20"/>
  <c r="AD4077" i="20"/>
  <c r="AE4792" i="20"/>
  <c r="AF4792" i="20"/>
  <c r="AG4792" i="20" s="1"/>
  <c r="AC4108" i="20"/>
  <c r="AF4108" i="20" s="1"/>
  <c r="AG4108" i="20" s="1"/>
  <c r="AD4108" i="20"/>
  <c r="AF3147" i="20"/>
  <c r="AG3147" i="20" s="1"/>
  <c r="AE3147" i="20"/>
  <c r="AC2599" i="20"/>
  <c r="AD2599" i="20"/>
  <c r="AC2867" i="20"/>
  <c r="AD2867" i="20"/>
  <c r="AC2274" i="20"/>
  <c r="AD2274" i="20"/>
  <c r="AD3909" i="20"/>
  <c r="AC3909" i="20"/>
  <c r="AC4252" i="20"/>
  <c r="AF4252" i="20" s="1"/>
  <c r="AG4252" i="20" s="1"/>
  <c r="AD4252" i="20"/>
  <c r="AC1054" i="20"/>
  <c r="AD1054" i="20"/>
  <c r="AC1845" i="20"/>
  <c r="AD1845" i="20"/>
  <c r="AD3119" i="20"/>
  <c r="AC3119" i="20"/>
  <c r="AC3334" i="20"/>
  <c r="AD3334" i="20"/>
  <c r="AC4217" i="20"/>
  <c r="AD4217" i="20"/>
  <c r="AC1818" i="20"/>
  <c r="AD1818" i="20"/>
  <c r="AD4373" i="20"/>
  <c r="AC4373" i="20"/>
  <c r="AC4160" i="20"/>
  <c r="AD4160" i="20"/>
  <c r="AD3587" i="20"/>
  <c r="AC3587" i="20"/>
  <c r="AC3783" i="20"/>
  <c r="AD3783" i="20"/>
  <c r="O4428" i="20"/>
  <c r="AC4428" i="20"/>
  <c r="AF4428" i="20" s="1"/>
  <c r="AG4428" i="20" s="1"/>
  <c r="AD4428" i="20"/>
  <c r="AD3486" i="20"/>
  <c r="AC3486" i="20"/>
  <c r="AE4366" i="20"/>
  <c r="AF4366" i="20"/>
  <c r="AG4366" i="20" s="1"/>
  <c r="AE3454" i="20"/>
  <c r="AF3454" i="20"/>
  <c r="AG3454" i="20" s="1"/>
  <c r="AC4830" i="20"/>
  <c r="AF4830" i="20" s="1"/>
  <c r="AG4830" i="20" s="1"/>
  <c r="AD4830" i="20"/>
  <c r="AC3138" i="20"/>
  <c r="AF3138" i="20" s="1"/>
  <c r="AG3138" i="20" s="1"/>
  <c r="AD3138" i="20"/>
  <c r="AF768" i="20"/>
  <c r="AG768" i="20" s="1"/>
  <c r="AE768" i="20"/>
  <c r="AC2091" i="20"/>
  <c r="AD2091" i="20"/>
  <c r="AC1874" i="20"/>
  <c r="AD1874" i="20"/>
  <c r="AC4107" i="20"/>
  <c r="AD4107" i="20"/>
  <c r="AD4827" i="20"/>
  <c r="AC4827" i="20"/>
  <c r="AD1944" i="20"/>
  <c r="AC1944" i="20"/>
  <c r="AD844" i="20"/>
  <c r="AC844" i="20"/>
  <c r="AF4326" i="20"/>
  <c r="AG4326" i="20" s="1"/>
  <c r="AE4326" i="20"/>
  <c r="AC156" i="20"/>
  <c r="AD156" i="20"/>
  <c r="AC2862" i="20"/>
  <c r="AD2862" i="20"/>
  <c r="AC3935" i="20"/>
  <c r="AD3935" i="20"/>
  <c r="AC2233" i="20"/>
  <c r="AF2233" i="20" s="1"/>
  <c r="AG2233" i="20" s="1"/>
  <c r="AD2233" i="20"/>
  <c r="AC3496" i="20"/>
  <c r="AD3496" i="20"/>
  <c r="AD1174" i="20"/>
  <c r="AC1174" i="20"/>
  <c r="AC1815" i="20"/>
  <c r="AD1815" i="20"/>
  <c r="AC2654" i="20"/>
  <c r="AD2654" i="20"/>
  <c r="AC3937" i="20"/>
  <c r="AF3937" i="20" s="1"/>
  <c r="AG3937" i="20" s="1"/>
  <c r="AD3937" i="20"/>
  <c r="AC3073" i="20"/>
  <c r="AD3073" i="20"/>
  <c r="AC4324" i="20"/>
  <c r="AD4324" i="20"/>
  <c r="AC4065" i="20"/>
  <c r="AD4065" i="20"/>
  <c r="AF4601" i="20"/>
  <c r="AG4601" i="20" s="1"/>
  <c r="AE4601" i="20"/>
  <c r="AD814" i="20"/>
  <c r="AC814" i="20"/>
  <c r="AC3106" i="20"/>
  <c r="AF3106" i="20" s="1"/>
  <c r="AG3106" i="20" s="1"/>
  <c r="AD3106" i="20"/>
  <c r="AC4141" i="20"/>
  <c r="AF4141" i="20" s="1"/>
  <c r="AG4141" i="20" s="1"/>
  <c r="AD4141" i="20"/>
  <c r="AC3620" i="20"/>
  <c r="AD3620" i="20"/>
  <c r="AF3083" i="20"/>
  <c r="AG3083" i="20" s="1"/>
  <c r="AE3083" i="20"/>
  <c r="AD1786" i="20"/>
  <c r="AC1786" i="20"/>
  <c r="AC2464" i="20"/>
  <c r="AD2464" i="20"/>
  <c r="AD777" i="20"/>
  <c r="AC777" i="20"/>
  <c r="AD1876" i="20"/>
  <c r="AC1876" i="20"/>
  <c r="AC2461" i="20"/>
  <c r="AF2461" i="20" s="1"/>
  <c r="AG2461" i="20" s="1"/>
  <c r="AD2461" i="20"/>
  <c r="AC4358" i="20"/>
  <c r="AD4358" i="20"/>
  <c r="AD4292" i="20"/>
  <c r="AC4292" i="20"/>
  <c r="AF4292" i="20" s="1"/>
  <c r="AG4292" i="20" s="1"/>
  <c r="AE392" i="20"/>
  <c r="AF392" i="20"/>
  <c r="AG392" i="20" s="1"/>
  <c r="AC3776" i="20"/>
  <c r="AD3776" i="20"/>
  <c r="AD3933" i="20"/>
  <c r="AC3933" i="20"/>
  <c r="AF3933" i="20" s="1"/>
  <c r="AG3933" i="20" s="1"/>
  <c r="AC3640" i="20"/>
  <c r="AD3640" i="20"/>
  <c r="AC3995" i="20"/>
  <c r="AD3995" i="20"/>
  <c r="AC1627" i="20"/>
  <c r="AD1627" i="20"/>
  <c r="AD4377" i="20"/>
  <c r="AC4377" i="20"/>
  <c r="AC3793" i="20"/>
  <c r="AF3793" i="20" s="1"/>
  <c r="AG3793" i="20" s="1"/>
  <c r="AD3793" i="20"/>
  <c r="AD4006" i="20"/>
  <c r="AC4006" i="20"/>
  <c r="AF4006" i="20" s="1"/>
  <c r="AG4006" i="20" s="1"/>
  <c r="AC3840" i="20"/>
  <c r="AD3840" i="20"/>
  <c r="AF4015" i="20"/>
  <c r="AG4015" i="20" s="1"/>
  <c r="AE4015" i="20"/>
  <c r="AF4136" i="20"/>
  <c r="AG4136" i="20" s="1"/>
  <c r="AE4136" i="20"/>
  <c r="AC4526" i="20"/>
  <c r="AD4526" i="20"/>
  <c r="AC3335" i="20"/>
  <c r="AF3335" i="20" s="1"/>
  <c r="AG3335" i="20" s="1"/>
  <c r="AD3335" i="20"/>
  <c r="AC4122" i="20"/>
  <c r="AD4122" i="20"/>
  <c r="AD2761" i="20"/>
  <c r="AC2761" i="20"/>
  <c r="AD4614" i="20"/>
  <c r="AC4614" i="20"/>
  <c r="AF4614" i="20" s="1"/>
  <c r="AG4614" i="20" s="1"/>
  <c r="AC3519" i="20"/>
  <c r="AD3519" i="20"/>
  <c r="AC1560" i="20"/>
  <c r="AD1560" i="20"/>
  <c r="AC3432" i="20"/>
  <c r="AD3432" i="20"/>
  <c r="AC4337" i="20"/>
  <c r="AD4337" i="20"/>
  <c r="AE2128" i="20"/>
  <c r="AF2128" i="20"/>
  <c r="AG2128" i="20" s="1"/>
  <c r="AE3584" i="20"/>
  <c r="AF3584" i="20"/>
  <c r="AG3584" i="20" s="1"/>
  <c r="AF4408" i="20"/>
  <c r="AG4408" i="20" s="1"/>
  <c r="AE4408" i="20"/>
  <c r="AE4274" i="20"/>
  <c r="AF4274" i="20"/>
  <c r="AG4274" i="20" s="1"/>
  <c r="O845" i="20"/>
  <c r="J4192" i="24"/>
  <c r="P1011" i="20"/>
  <c r="U1584" i="20"/>
  <c r="O4423" i="20"/>
  <c r="N4423" i="20"/>
  <c r="AE2233" i="20" l="1"/>
  <c r="AE3138" i="20"/>
  <c r="AE4423" i="20"/>
  <c r="AE4292" i="20"/>
  <c r="AE4614" i="20"/>
  <c r="AE4006" i="20"/>
  <c r="AE4252" i="20"/>
  <c r="AE4108" i="20"/>
  <c r="AE3793" i="20"/>
  <c r="AE3937" i="20"/>
  <c r="AE4428" i="20"/>
  <c r="AF1627" i="20"/>
  <c r="AG1627" i="20" s="1"/>
  <c r="AE1627" i="20"/>
  <c r="AF3909" i="20"/>
  <c r="AG3909" i="20" s="1"/>
  <c r="AE3909" i="20"/>
  <c r="AF1876" i="20"/>
  <c r="AG1876" i="20" s="1"/>
  <c r="AE1876" i="20"/>
  <c r="AE1947" i="20"/>
  <c r="AF1947" i="20"/>
  <c r="AG1947" i="20" s="1"/>
  <c r="AC4320" i="20"/>
  <c r="AD4320" i="20"/>
  <c r="AC4103" i="20"/>
  <c r="AD4103" i="20"/>
  <c r="AF3079" i="20"/>
  <c r="AG3079" i="20" s="1"/>
  <c r="AE3079" i="20"/>
  <c r="AE1158" i="20"/>
  <c r="AF1158" i="20"/>
  <c r="AG1158" i="20" s="1"/>
  <c r="AF3995" i="20"/>
  <c r="AG3995" i="20" s="1"/>
  <c r="AE3995" i="20"/>
  <c r="AE1818" i="20"/>
  <c r="AF1818" i="20"/>
  <c r="AG1818" i="20" s="1"/>
  <c r="AF3432" i="20"/>
  <c r="AG3432" i="20" s="1"/>
  <c r="AE3432" i="20"/>
  <c r="AF3486" i="20"/>
  <c r="AG3486" i="20" s="1"/>
  <c r="AE3486" i="20"/>
  <c r="AC4099" i="20"/>
  <c r="AD4099" i="20"/>
  <c r="AE2830" i="20"/>
  <c r="AF2830" i="20"/>
  <c r="AG2830" i="20" s="1"/>
  <c r="AC2854" i="20"/>
  <c r="AD2854" i="20"/>
  <c r="AF1174" i="20"/>
  <c r="AG1174" i="20" s="1"/>
  <c r="AE1174" i="20"/>
  <c r="AE4337" i="20"/>
  <c r="AF4337" i="20"/>
  <c r="AG4337" i="20" s="1"/>
  <c r="AF172" i="20"/>
  <c r="AG172" i="20" s="1"/>
  <c r="AE172" i="20"/>
  <c r="AE3640" i="20"/>
  <c r="AF3640" i="20"/>
  <c r="AG3640" i="20" s="1"/>
  <c r="AE2867" i="20"/>
  <c r="AF2867" i="20"/>
  <c r="AG2867" i="20" s="1"/>
  <c r="AF4065" i="20"/>
  <c r="AG4065" i="20" s="1"/>
  <c r="AE4065" i="20"/>
  <c r="AC4271" i="20"/>
  <c r="AD4271" i="20"/>
  <c r="AC3575" i="20"/>
  <c r="AD3575" i="20"/>
  <c r="AF4373" i="20"/>
  <c r="AG4373" i="20" s="1"/>
  <c r="AE4373" i="20"/>
  <c r="AF4827" i="20"/>
  <c r="AG4827" i="20" s="1"/>
  <c r="AE4827" i="20"/>
  <c r="AC1584" i="20"/>
  <c r="AD1584" i="20"/>
  <c r="AF3840" i="20"/>
  <c r="AG3840" i="20" s="1"/>
  <c r="AE3840" i="20"/>
  <c r="AE1874" i="20"/>
  <c r="AF1874" i="20"/>
  <c r="AG1874" i="20" s="1"/>
  <c r="AF4393" i="20"/>
  <c r="AG4393" i="20" s="1"/>
  <c r="AE4393" i="20"/>
  <c r="AF4256" i="20"/>
  <c r="AG4256" i="20" s="1"/>
  <c r="AE4256" i="20"/>
  <c r="AF814" i="20"/>
  <c r="AG814" i="20" s="1"/>
  <c r="AE814" i="20"/>
  <c r="AE1560" i="20"/>
  <c r="AF1560" i="20"/>
  <c r="AG1560" i="20" s="1"/>
  <c r="AE1786" i="20"/>
  <c r="AF1786" i="20"/>
  <c r="AG1786" i="20" s="1"/>
  <c r="AD2697" i="20"/>
  <c r="AC2697" i="20"/>
  <c r="AE3073" i="20"/>
  <c r="AF3073" i="20"/>
  <c r="AG3073" i="20" s="1"/>
  <c r="AF4059" i="20"/>
  <c r="AG4059" i="20" s="1"/>
  <c r="AE4059" i="20"/>
  <c r="AF4409" i="20"/>
  <c r="AG4409" i="20" s="1"/>
  <c r="AE4409" i="20"/>
  <c r="AF1944" i="20"/>
  <c r="AG1944" i="20" s="1"/>
  <c r="AE1944" i="20"/>
  <c r="AF4526" i="20"/>
  <c r="AG4526" i="20" s="1"/>
  <c r="AE4526" i="20"/>
  <c r="AD1011" i="20"/>
  <c r="AC1011" i="20"/>
  <c r="AE3358" i="20"/>
  <c r="AF3358" i="20"/>
  <c r="AG3358" i="20" s="1"/>
  <c r="AF4217" i="20"/>
  <c r="AG4217" i="20" s="1"/>
  <c r="AE4217" i="20"/>
  <c r="AE3933" i="20"/>
  <c r="AF3334" i="20"/>
  <c r="AG3334" i="20" s="1"/>
  <c r="AE3334" i="20"/>
  <c r="AF4324" i="20"/>
  <c r="AG4324" i="20" s="1"/>
  <c r="AE4324" i="20"/>
  <c r="AF2091" i="20"/>
  <c r="AG2091" i="20" s="1"/>
  <c r="AE2091" i="20"/>
  <c r="AD4104" i="20"/>
  <c r="AC4104" i="20"/>
  <c r="AF4104" i="20" s="1"/>
  <c r="AG4104" i="20" s="1"/>
  <c r="AF1845" i="20"/>
  <c r="AG1845" i="20" s="1"/>
  <c r="AE1845" i="20"/>
  <c r="AC1958" i="20"/>
  <c r="AD1958" i="20"/>
  <c r="AE3620" i="20"/>
  <c r="AF3620" i="20"/>
  <c r="AG3620" i="20" s="1"/>
  <c r="AE3587" i="20"/>
  <c r="AF3587" i="20"/>
  <c r="AG3587" i="20" s="1"/>
  <c r="AF4377" i="20"/>
  <c r="AG4377" i="20" s="1"/>
  <c r="AE4377" i="20"/>
  <c r="AE4141" i="20"/>
  <c r="AF1054" i="20"/>
  <c r="AG1054" i="20" s="1"/>
  <c r="AE1054" i="20"/>
  <c r="AE857" i="20"/>
  <c r="AF857" i="20"/>
  <c r="AG857" i="20" s="1"/>
  <c r="AE2415" i="20"/>
  <c r="AF2415" i="20"/>
  <c r="AG2415" i="20" s="1"/>
  <c r="AF4733" i="20"/>
  <c r="AG4733" i="20" s="1"/>
  <c r="AE4733" i="20"/>
  <c r="AF2274" i="20"/>
  <c r="AG2274" i="20" s="1"/>
  <c r="AE2274" i="20"/>
  <c r="AF4107" i="20"/>
  <c r="AG4107" i="20" s="1"/>
  <c r="AE4107" i="20"/>
  <c r="AE1396" i="20"/>
  <c r="AF1396" i="20"/>
  <c r="AG1396" i="20" s="1"/>
  <c r="AE2599" i="20"/>
  <c r="AF2599" i="20"/>
  <c r="AG2599" i="20" s="1"/>
  <c r="AF3776" i="20"/>
  <c r="AG3776" i="20" s="1"/>
  <c r="AE3776" i="20"/>
  <c r="AF3119" i="20"/>
  <c r="AG3119" i="20" s="1"/>
  <c r="AE3119" i="20"/>
  <c r="AD3655" i="20"/>
  <c r="AC3655" i="20"/>
  <c r="AE2761" i="20"/>
  <c r="AF2761" i="20"/>
  <c r="AG2761" i="20" s="1"/>
  <c r="AE3783" i="20"/>
  <c r="AF3783" i="20"/>
  <c r="AG3783" i="20" s="1"/>
  <c r="AE4122" i="20"/>
  <c r="AF4122" i="20"/>
  <c r="AG4122" i="20" s="1"/>
  <c r="AE4358" i="20"/>
  <c r="AF4358" i="20"/>
  <c r="AG4358" i="20" s="1"/>
  <c r="AE2654" i="20"/>
  <c r="AF2654" i="20"/>
  <c r="AG2654" i="20" s="1"/>
  <c r="AF285" i="20"/>
  <c r="AG285" i="20" s="1"/>
  <c r="AE285" i="20"/>
  <c r="AF1815" i="20"/>
  <c r="AG1815" i="20" s="1"/>
  <c r="AE777" i="20"/>
  <c r="AF777" i="20"/>
  <c r="AG777" i="20" s="1"/>
  <c r="AF3496" i="20"/>
  <c r="AG3496" i="20" s="1"/>
  <c r="AE3496" i="20"/>
  <c r="AC3359" i="20"/>
  <c r="AF3359" i="20" s="1"/>
  <c r="AG3359" i="20" s="1"/>
  <c r="AD3359" i="20"/>
  <c r="AE2464" i="20"/>
  <c r="AF2464" i="20"/>
  <c r="AG2464" i="20" s="1"/>
  <c r="AE3519" i="20"/>
  <c r="AF3519" i="20"/>
  <c r="AG3519" i="20" s="1"/>
  <c r="AE3935" i="20"/>
  <c r="AF3935" i="20"/>
  <c r="AG3935" i="20" s="1"/>
  <c r="AE2862" i="20"/>
  <c r="AF2862" i="20"/>
  <c r="AG2862" i="20" s="1"/>
  <c r="AE711" i="20"/>
  <c r="AF711" i="20"/>
  <c r="AG711" i="20" s="1"/>
  <c r="AF156" i="20"/>
  <c r="AG156" i="20" s="1"/>
  <c r="AE156" i="20"/>
  <c r="AC1807" i="20"/>
  <c r="AD1807" i="20"/>
  <c r="AC1906" i="20"/>
  <c r="AD1906" i="20"/>
  <c r="AD1308" i="20"/>
  <c r="AC1308" i="20"/>
  <c r="AE3335" i="20"/>
  <c r="AE2461" i="20"/>
  <c r="AE3106" i="20"/>
  <c r="AE1815" i="20"/>
  <c r="AE844" i="20"/>
  <c r="AF844" i="20"/>
  <c r="AG844" i="20" s="1"/>
  <c r="AE4830" i="20"/>
  <c r="AF4160" i="20"/>
  <c r="AG4160" i="20" s="1"/>
  <c r="AE4160" i="20"/>
  <c r="AF4077" i="20"/>
  <c r="AG4077" i="20" s="1"/>
  <c r="AE4077" i="20"/>
  <c r="J4199" i="24"/>
  <c r="P1366" i="20"/>
  <c r="K4200" i="24"/>
  <c r="K4201" i="24"/>
  <c r="K4202" i="24"/>
  <c r="K4203" i="24"/>
  <c r="K4204" i="24"/>
  <c r="AE4104" i="20" l="1"/>
  <c r="AE3359" i="20"/>
  <c r="AC2974" i="20"/>
  <c r="AD2974" i="20"/>
  <c r="AF4271" i="20"/>
  <c r="AG4271" i="20" s="1"/>
  <c r="AE4271" i="20"/>
  <c r="AC2577" i="20"/>
  <c r="AD2577" i="20"/>
  <c r="AE2854" i="20"/>
  <c r="AF2854" i="20"/>
  <c r="AG2854" i="20" s="1"/>
  <c r="AC4397" i="20"/>
  <c r="AD4397" i="20"/>
  <c r="AE2697" i="20"/>
  <c r="AF2697" i="20"/>
  <c r="AG2697" i="20" s="1"/>
  <c r="AF1807" i="20"/>
  <c r="AG1807" i="20" s="1"/>
  <c r="AE1807" i="20"/>
  <c r="AE3655" i="20"/>
  <c r="AF3655" i="20"/>
  <c r="AG3655" i="20" s="1"/>
  <c r="AE1584" i="20"/>
  <c r="AF1584" i="20"/>
  <c r="AG1584" i="20" s="1"/>
  <c r="AF4103" i="20"/>
  <c r="AG4103" i="20" s="1"/>
  <c r="AE4103" i="20"/>
  <c r="AC3464" i="20"/>
  <c r="AF3464" i="20" s="1"/>
  <c r="AG3464" i="20" s="1"/>
  <c r="AD3464" i="20"/>
  <c r="AD4603" i="20"/>
  <c r="AC4603" i="20"/>
  <c r="AD4221" i="20"/>
  <c r="AC4221" i="20"/>
  <c r="AE1308" i="20"/>
  <c r="AF1308" i="20"/>
  <c r="AG1308" i="20" s="1"/>
  <c r="AF4099" i="20"/>
  <c r="AG4099" i="20" s="1"/>
  <c r="AE4099" i="20"/>
  <c r="AD1946" i="20"/>
  <c r="AC1946" i="20"/>
  <c r="AD1366" i="20"/>
  <c r="AC1366" i="20"/>
  <c r="AF1366" i="20" s="1"/>
  <c r="AG1366" i="20" s="1"/>
  <c r="AF1011" i="20"/>
  <c r="AG1011" i="20" s="1"/>
  <c r="AE1011" i="20"/>
  <c r="AF4320" i="20"/>
  <c r="AG4320" i="20" s="1"/>
  <c r="AE4320" i="20"/>
  <c r="AC2810" i="20"/>
  <c r="AD2810" i="20"/>
  <c r="AF1906" i="20"/>
  <c r="AG1906" i="20" s="1"/>
  <c r="AE1906" i="20"/>
  <c r="AC222" i="20"/>
  <c r="AD222" i="20"/>
  <c r="AE3575" i="20"/>
  <c r="AF3575" i="20"/>
  <c r="AG3575" i="20" s="1"/>
  <c r="AD1879" i="20"/>
  <c r="AC1879" i="20"/>
  <c r="AF1879" i="20" s="1"/>
  <c r="AG1879" i="20" s="1"/>
  <c r="AF1958" i="20"/>
  <c r="AG1958" i="20" s="1"/>
  <c r="AE1958" i="20"/>
  <c r="AC3555" i="20"/>
  <c r="AD3555" i="20"/>
  <c r="J4195" i="24"/>
  <c r="R2456" i="20"/>
  <c r="N4393" i="20"/>
  <c r="N4638" i="20"/>
  <c r="O4393" i="20"/>
  <c r="J4178" i="24"/>
  <c r="J4197" i="24"/>
  <c r="J4198" i="24"/>
  <c r="O4638" i="20"/>
  <c r="O4633" i="20"/>
  <c r="N4633" i="20"/>
  <c r="J4193" i="24"/>
  <c r="P702" i="20"/>
  <c r="J4183" i="24"/>
  <c r="J4191" i="24"/>
  <c r="P1773" i="20"/>
  <c r="O814" i="20"/>
  <c r="N814" i="20"/>
  <c r="T2130" i="20"/>
  <c r="P666" i="20"/>
  <c r="O2760" i="20"/>
  <c r="N2760" i="20"/>
  <c r="N1161" i="20"/>
  <c r="J4177" i="24"/>
  <c r="J4190" i="24"/>
  <c r="U3938" i="20"/>
  <c r="AE3464" i="20" l="1"/>
  <c r="AC702" i="20"/>
  <c r="AD702" i="20"/>
  <c r="AD4569" i="20"/>
  <c r="AC4569" i="20"/>
  <c r="AC4118" i="20"/>
  <c r="AD4118" i="20"/>
  <c r="AD3759" i="20"/>
  <c r="AC3759" i="20"/>
  <c r="AC4088" i="20"/>
  <c r="AF4088" i="20" s="1"/>
  <c r="AG4088" i="20" s="1"/>
  <c r="AD4088" i="20"/>
  <c r="AD1773" i="20"/>
  <c r="AC1773" i="20"/>
  <c r="AC605" i="20"/>
  <c r="AD605" i="20"/>
  <c r="AC2456" i="20"/>
  <c r="AD2456" i="20"/>
  <c r="AC4030" i="20"/>
  <c r="AF4030" i="20" s="1"/>
  <c r="AG4030" i="20" s="1"/>
  <c r="AD4030" i="20"/>
  <c r="AD1161" i="20"/>
  <c r="AC1161" i="20"/>
  <c r="AF1161" i="20" s="1"/>
  <c r="AG1161" i="20" s="1"/>
  <c r="AE2810" i="20"/>
  <c r="AF2810" i="20"/>
  <c r="AG2810" i="20" s="1"/>
  <c r="AC1809" i="20"/>
  <c r="AD1809" i="20"/>
  <c r="AF2577" i="20"/>
  <c r="AG2577" i="20" s="1"/>
  <c r="AE2577" i="20"/>
  <c r="AC4736" i="20"/>
  <c r="AD4736" i="20"/>
  <c r="AC2656" i="20"/>
  <c r="AD2656" i="20"/>
  <c r="AC4175" i="20"/>
  <c r="AF4175" i="20" s="1"/>
  <c r="AG4175" i="20" s="1"/>
  <c r="AD4175" i="20"/>
  <c r="AC3316" i="20"/>
  <c r="AD3316" i="20"/>
  <c r="AC4153" i="20"/>
  <c r="AF4153" i="20" s="1"/>
  <c r="AG4153" i="20" s="1"/>
  <c r="AD4153" i="20"/>
  <c r="AD1941" i="20"/>
  <c r="AC1941" i="20"/>
  <c r="AF1941" i="20" s="1"/>
  <c r="AG1941" i="20" s="1"/>
  <c r="AD1446" i="20"/>
  <c r="AC1446" i="20"/>
  <c r="AF1446" i="20" s="1"/>
  <c r="AG1446" i="20" s="1"/>
  <c r="AC4187" i="20"/>
  <c r="AD4187" i="20"/>
  <c r="AD1916" i="20"/>
  <c r="AC1916" i="20"/>
  <c r="AF1916" i="20" s="1"/>
  <c r="AG1916" i="20" s="1"/>
  <c r="AC1735" i="20"/>
  <c r="AD1735" i="20"/>
  <c r="AE1366" i="20"/>
  <c r="AC3185" i="20"/>
  <c r="AD3185" i="20"/>
  <c r="AC3210" i="20"/>
  <c r="AD3210" i="20"/>
  <c r="AC2584" i="20"/>
  <c r="AD2584" i="20"/>
  <c r="AC3622" i="20"/>
  <c r="AD3622" i="20"/>
  <c r="AC1865" i="20"/>
  <c r="AD1865" i="20"/>
  <c r="AC4407" i="20"/>
  <c r="AF4407" i="20" s="1"/>
  <c r="AG4407" i="20" s="1"/>
  <c r="AD4407" i="20"/>
  <c r="AF4397" i="20"/>
  <c r="AG4397" i="20" s="1"/>
  <c r="AE4397" i="20"/>
  <c r="AC2405" i="20"/>
  <c r="AF2405" i="20" s="1"/>
  <c r="AG2405" i="20" s="1"/>
  <c r="AD2405" i="20"/>
  <c r="AC3938" i="20"/>
  <c r="AD3938" i="20"/>
  <c r="AF1946" i="20"/>
  <c r="AG1946" i="20" s="1"/>
  <c r="AE1946" i="20"/>
  <c r="AD860" i="20"/>
  <c r="AC860" i="20"/>
  <c r="AF222" i="20"/>
  <c r="AG222" i="20" s="1"/>
  <c r="AE222" i="20"/>
  <c r="AC2985" i="20"/>
  <c r="AF2985" i="20" s="1"/>
  <c r="AG2985" i="20" s="1"/>
  <c r="AD2985" i="20"/>
  <c r="AE4221" i="20"/>
  <c r="AF4221" i="20"/>
  <c r="AG4221" i="20" s="1"/>
  <c r="AF4603" i="20"/>
  <c r="AG4603" i="20" s="1"/>
  <c r="AE4603" i="20"/>
  <c r="AC298" i="20"/>
  <c r="AD298" i="20"/>
  <c r="AD4649" i="20"/>
  <c r="AC4649" i="20"/>
  <c r="AC4115" i="20"/>
  <c r="AD4115" i="20"/>
  <c r="AC4399" i="20"/>
  <c r="AF4399" i="20" s="1"/>
  <c r="AG4399" i="20" s="1"/>
  <c r="AD4399" i="20"/>
  <c r="AC158" i="20"/>
  <c r="AD158" i="20"/>
  <c r="AC2956" i="20"/>
  <c r="AD2956" i="20"/>
  <c r="AE3555" i="20"/>
  <c r="AF3555" i="20"/>
  <c r="AG3555" i="20" s="1"/>
  <c r="AD666" i="20"/>
  <c r="AC666" i="20"/>
  <c r="AF666" i="20" s="1"/>
  <c r="AG666" i="20" s="1"/>
  <c r="AC2130" i="20"/>
  <c r="AD2130" i="20"/>
  <c r="AD4385" i="20"/>
  <c r="AC4385" i="20"/>
  <c r="AF4385" i="20" s="1"/>
  <c r="AG4385" i="20" s="1"/>
  <c r="AC2918" i="20"/>
  <c r="AD2918" i="20"/>
  <c r="AE1879" i="20"/>
  <c r="AF2974" i="20"/>
  <c r="AG2974" i="20" s="1"/>
  <c r="AE2974" i="20"/>
  <c r="O1161" i="20"/>
  <c r="O2957" i="20"/>
  <c r="N2957" i="20"/>
  <c r="J4169" i="24"/>
  <c r="U4142" i="20"/>
  <c r="T4757" i="20"/>
  <c r="U2725" i="20"/>
  <c r="O4220" i="20"/>
  <c r="V4386" i="20"/>
  <c r="N4220" i="20"/>
  <c r="O4748" i="20"/>
  <c r="J4185" i="24"/>
  <c r="K4185" i="24" s="1"/>
  <c r="J4186" i="24"/>
  <c r="K4186" i="24" s="1"/>
  <c r="J4187" i="24"/>
  <c r="K4187" i="24" s="1"/>
  <c r="O4221" i="20"/>
  <c r="N4221" i="20"/>
  <c r="R4400" i="20"/>
  <c r="P1977" i="20"/>
  <c r="N1978" i="20"/>
  <c r="N4382" i="20"/>
  <c r="N4386" i="20"/>
  <c r="J4176" i="24"/>
  <c r="U1881" i="20"/>
  <c r="K4183" i="24"/>
  <c r="K4184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J4182" i="24"/>
  <c r="Q4757" i="20"/>
  <c r="J4180" i="24"/>
  <c r="V2938" i="20"/>
  <c r="AE2405" i="20" l="1"/>
  <c r="AE4153" i="20"/>
  <c r="AE4175" i="20"/>
  <c r="AE4399" i="20"/>
  <c r="AE4407" i="20"/>
  <c r="AE2985" i="20"/>
  <c r="AE4030" i="20"/>
  <c r="AE4088" i="20"/>
  <c r="AD1015" i="20"/>
  <c r="AC1015" i="20"/>
  <c r="AC49" i="20"/>
  <c r="AD49" i="20"/>
  <c r="AF2130" i="20"/>
  <c r="AG2130" i="20" s="1"/>
  <c r="AE2130" i="20"/>
  <c r="AC710" i="20"/>
  <c r="AD710" i="20"/>
  <c r="AC2512" i="20"/>
  <c r="AD2512" i="20"/>
  <c r="AC891" i="20"/>
  <c r="AD891" i="20"/>
  <c r="AC3287" i="20"/>
  <c r="AF3287" i="20" s="1"/>
  <c r="AG3287" i="20" s="1"/>
  <c r="AD3287" i="20"/>
  <c r="AC3969" i="20"/>
  <c r="AF3969" i="20" s="1"/>
  <c r="AG3969" i="20" s="1"/>
  <c r="AD3969" i="20"/>
  <c r="AE1446" i="20"/>
  <c r="AE1809" i="20"/>
  <c r="AF1809" i="20"/>
  <c r="AG1809" i="20" s="1"/>
  <c r="AE3185" i="20"/>
  <c r="AF3185" i="20"/>
  <c r="AG3185" i="20" s="1"/>
  <c r="AE2456" i="20"/>
  <c r="AF2456" i="20"/>
  <c r="AG2456" i="20" s="1"/>
  <c r="AD687" i="20"/>
  <c r="AC687" i="20"/>
  <c r="AF605" i="20"/>
  <c r="AG605" i="20" s="1"/>
  <c r="AE605" i="20"/>
  <c r="AC2938" i="20"/>
  <c r="AD2938" i="20"/>
  <c r="AF2656" i="20"/>
  <c r="AG2656" i="20" s="1"/>
  <c r="AE2656" i="20"/>
  <c r="AD2524" i="20"/>
  <c r="AC2524" i="20"/>
  <c r="AF4736" i="20"/>
  <c r="AG4736" i="20" s="1"/>
  <c r="AE4736" i="20"/>
  <c r="AC4241" i="20"/>
  <c r="AD4241" i="20"/>
  <c r="AE3759" i="20"/>
  <c r="AF3759" i="20"/>
  <c r="AG3759" i="20" s="1"/>
  <c r="AE1941" i="20"/>
  <c r="AE4118" i="20"/>
  <c r="AF4118" i="20"/>
  <c r="AG4118" i="20" s="1"/>
  <c r="AC4646" i="20"/>
  <c r="AF4646" i="20" s="1"/>
  <c r="AG4646" i="20" s="1"/>
  <c r="AD4646" i="20"/>
  <c r="AC4142" i="20"/>
  <c r="AD4142" i="20"/>
  <c r="AC2053" i="20"/>
  <c r="AD2053" i="20"/>
  <c r="AD3826" i="20"/>
  <c r="AC3826" i="20"/>
  <c r="AF4115" i="20"/>
  <c r="AG4115" i="20" s="1"/>
  <c r="AE4115" i="20"/>
  <c r="AF4569" i="20"/>
  <c r="AG4569" i="20" s="1"/>
  <c r="AE4569" i="20"/>
  <c r="AF298" i="20"/>
  <c r="AG298" i="20" s="1"/>
  <c r="AE298" i="20"/>
  <c r="AC4066" i="20"/>
  <c r="AF4066" i="20" s="1"/>
  <c r="AG4066" i="20" s="1"/>
  <c r="AD4066" i="20"/>
  <c r="AF1773" i="20"/>
  <c r="AG1773" i="20" s="1"/>
  <c r="AE1773" i="20"/>
  <c r="AD1400" i="20"/>
  <c r="AC1400" i="20"/>
  <c r="AD3621" i="20"/>
  <c r="AC3621" i="20"/>
  <c r="AC1925" i="20"/>
  <c r="AD1925" i="20"/>
  <c r="AE860" i="20"/>
  <c r="AF860" i="20"/>
  <c r="AG860" i="20" s="1"/>
  <c r="O4382" i="20"/>
  <c r="AC4382" i="20"/>
  <c r="AD4382" i="20"/>
  <c r="AD1977" i="20"/>
  <c r="AC1977" i="20"/>
  <c r="AF1977" i="20" s="1"/>
  <c r="AG1977" i="20" s="1"/>
  <c r="AC4085" i="20"/>
  <c r="AD4085" i="20"/>
  <c r="AF4649" i="20"/>
  <c r="AG4649" i="20" s="1"/>
  <c r="AE4649" i="20"/>
  <c r="AE1161" i="20"/>
  <c r="AF1735" i="20"/>
  <c r="AG1735" i="20" s="1"/>
  <c r="AE1735" i="20"/>
  <c r="AC1316" i="20"/>
  <c r="AD1316" i="20"/>
  <c r="AD4757" i="20"/>
  <c r="AC4757" i="20"/>
  <c r="AE2956" i="20"/>
  <c r="AF2956" i="20"/>
  <c r="AG2956" i="20" s="1"/>
  <c r="AC1881" i="20"/>
  <c r="AD1881" i="20"/>
  <c r="AC1226" i="20"/>
  <c r="AD1226" i="20"/>
  <c r="AF158" i="20"/>
  <c r="AG158" i="20" s="1"/>
  <c r="AE158" i="20"/>
  <c r="AC4412" i="20"/>
  <c r="AF4412" i="20" s="1"/>
  <c r="AG4412" i="20" s="1"/>
  <c r="AD4412" i="20"/>
  <c r="AD1762" i="20"/>
  <c r="AC1762" i="20"/>
  <c r="O1978" i="20"/>
  <c r="AC1978" i="20"/>
  <c r="AD1978" i="20"/>
  <c r="AD4396" i="20"/>
  <c r="AC4396" i="20"/>
  <c r="AC3851" i="20"/>
  <c r="AD3851" i="20"/>
  <c r="AE4385" i="20"/>
  <c r="AF3210" i="20"/>
  <c r="AG3210" i="20" s="1"/>
  <c r="AE3210" i="20"/>
  <c r="AE666" i="20"/>
  <c r="AD4145" i="20"/>
  <c r="AC4145" i="20"/>
  <c r="AF4145" i="20" s="1"/>
  <c r="AG4145" i="20" s="1"/>
  <c r="AC4748" i="20"/>
  <c r="AD4748" i="20"/>
  <c r="AC2199" i="20"/>
  <c r="AD2199" i="20"/>
  <c r="AE1916" i="20"/>
  <c r="AC3830" i="20"/>
  <c r="AD3830" i="20"/>
  <c r="AF4187" i="20"/>
  <c r="AG4187" i="20" s="1"/>
  <c r="AE4187" i="20"/>
  <c r="AF1865" i="20"/>
  <c r="AG1865" i="20" s="1"/>
  <c r="AE1865" i="20"/>
  <c r="O4386" i="20"/>
  <c r="AC4386" i="20"/>
  <c r="AD4386" i="20"/>
  <c r="AF3622" i="20"/>
  <c r="AG3622" i="20" s="1"/>
  <c r="AE3622" i="20"/>
  <c r="AD2550" i="20"/>
  <c r="AC2550" i="20"/>
  <c r="AC3726" i="20"/>
  <c r="AD3726" i="20"/>
  <c r="AF2918" i="20"/>
  <c r="AG2918" i="20" s="1"/>
  <c r="AE2918" i="20"/>
  <c r="AF2584" i="20"/>
  <c r="AG2584" i="20" s="1"/>
  <c r="AE2584" i="20"/>
  <c r="AC2637" i="20"/>
  <c r="AD2637" i="20"/>
  <c r="AC2328" i="20"/>
  <c r="AD2328" i="20"/>
  <c r="AD4400" i="20"/>
  <c r="AC4400" i="20"/>
  <c r="AC2378" i="20"/>
  <c r="AD2378" i="20"/>
  <c r="AC3141" i="20"/>
  <c r="AD3141" i="20"/>
  <c r="AF3938" i="20"/>
  <c r="AG3938" i="20" s="1"/>
  <c r="AE3938" i="20"/>
  <c r="AF3316" i="20"/>
  <c r="AG3316" i="20" s="1"/>
  <c r="AE3316" i="20"/>
  <c r="AF702" i="20"/>
  <c r="AG702" i="20" s="1"/>
  <c r="AE702" i="20"/>
  <c r="R3804" i="20"/>
  <c r="O1977" i="20"/>
  <c r="N1977" i="20"/>
  <c r="AE4412" i="20" l="1"/>
  <c r="AE1226" i="20"/>
  <c r="AE4066" i="20"/>
  <c r="AE3969" i="20"/>
  <c r="AE3287" i="20"/>
  <c r="AE4646" i="20"/>
  <c r="AE4748" i="20"/>
  <c r="AF4748" i="20"/>
  <c r="AG4748" i="20" s="1"/>
  <c r="AC1032" i="20"/>
  <c r="AD1032" i="20"/>
  <c r="AD4211" i="20"/>
  <c r="AC4211" i="20"/>
  <c r="AF2053" i="20"/>
  <c r="AG2053" i="20" s="1"/>
  <c r="AE2053" i="20"/>
  <c r="AE2328" i="20"/>
  <c r="AF2328" i="20"/>
  <c r="AG2328" i="20" s="1"/>
  <c r="AF891" i="20"/>
  <c r="AG891" i="20" s="1"/>
  <c r="AE891" i="20"/>
  <c r="AC4630" i="20"/>
  <c r="AF4630" i="20" s="1"/>
  <c r="AG4630" i="20" s="1"/>
  <c r="AD4630" i="20"/>
  <c r="AE4757" i="20"/>
  <c r="AF4757" i="20"/>
  <c r="AG4757" i="20" s="1"/>
  <c r="AF2378" i="20"/>
  <c r="AG2378" i="20" s="1"/>
  <c r="AE2378" i="20"/>
  <c r="AE4145" i="20"/>
  <c r="AD1843" i="20"/>
  <c r="AC1843" i="20"/>
  <c r="AC2593" i="20"/>
  <c r="AD2593" i="20"/>
  <c r="AF1226" i="20"/>
  <c r="AG1226" i="20" s="1"/>
  <c r="AF1881" i="20"/>
  <c r="AG1881" i="20" s="1"/>
  <c r="AE1881" i="20"/>
  <c r="AE1400" i="20"/>
  <c r="AF1400" i="20"/>
  <c r="AG1400" i="20" s="1"/>
  <c r="AF4085" i="20"/>
  <c r="AG4085" i="20" s="1"/>
  <c r="AE4085" i="20"/>
  <c r="AC2944" i="20"/>
  <c r="AD2944" i="20"/>
  <c r="AE1977" i="20"/>
  <c r="AF2637" i="20"/>
  <c r="AG2637" i="20" s="1"/>
  <c r="AE2637" i="20"/>
  <c r="AE2512" i="20"/>
  <c r="AF2512" i="20"/>
  <c r="AG2512" i="20" s="1"/>
  <c r="AE3851" i="20"/>
  <c r="AF3851" i="20"/>
  <c r="AG3851" i="20" s="1"/>
  <c r="AF4382" i="20"/>
  <c r="AG4382" i="20" s="1"/>
  <c r="AE4382" i="20"/>
  <c r="AF710" i="20"/>
  <c r="AG710" i="20" s="1"/>
  <c r="AE710" i="20"/>
  <c r="AF3830" i="20"/>
  <c r="AG3830" i="20" s="1"/>
  <c r="AE3830" i="20"/>
  <c r="AF4241" i="20"/>
  <c r="AG4241" i="20" s="1"/>
  <c r="AE4241" i="20"/>
  <c r="AF3726" i="20"/>
  <c r="AG3726" i="20" s="1"/>
  <c r="AE3726" i="20"/>
  <c r="AE1316" i="20"/>
  <c r="AF1316" i="20"/>
  <c r="AG1316" i="20" s="1"/>
  <c r="AF1925" i="20"/>
  <c r="AG1925" i="20" s="1"/>
  <c r="AE1925" i="20"/>
  <c r="AF3826" i="20"/>
  <c r="AG3826" i="20" s="1"/>
  <c r="AE3826" i="20"/>
  <c r="AF49" i="20"/>
  <c r="AG49" i="20" s="1"/>
  <c r="AE49" i="20"/>
  <c r="AC3804" i="20"/>
  <c r="AD3804" i="20"/>
  <c r="AF4386" i="20"/>
  <c r="AG4386" i="20" s="1"/>
  <c r="AE4386" i="20"/>
  <c r="AE2550" i="20"/>
  <c r="AF2550" i="20"/>
  <c r="AG2550" i="20" s="1"/>
  <c r="AE2199" i="20"/>
  <c r="AF2199" i="20"/>
  <c r="AG2199" i="20" s="1"/>
  <c r="AE1762" i="20"/>
  <c r="AF1762" i="20"/>
  <c r="AG1762" i="20" s="1"/>
  <c r="AE3621" i="20"/>
  <c r="AF3621" i="20"/>
  <c r="AG3621" i="20" s="1"/>
  <c r="AF1015" i="20"/>
  <c r="AG1015" i="20" s="1"/>
  <c r="AE1015" i="20"/>
  <c r="AF4400" i="20"/>
  <c r="AG4400" i="20" s="1"/>
  <c r="AE4400" i="20"/>
  <c r="AF4142" i="20"/>
  <c r="AG4142" i="20" s="1"/>
  <c r="AE4142" i="20"/>
  <c r="AF2938" i="20"/>
  <c r="AG2938" i="20" s="1"/>
  <c r="AE2938" i="20"/>
  <c r="AE687" i="20"/>
  <c r="AF687" i="20"/>
  <c r="AG687" i="20" s="1"/>
  <c r="AF4396" i="20"/>
  <c r="AG4396" i="20" s="1"/>
  <c r="AE4396" i="20"/>
  <c r="AF1978" i="20"/>
  <c r="AG1978" i="20" s="1"/>
  <c r="AE1978" i="20"/>
  <c r="AE3141" i="20"/>
  <c r="AF3141" i="20"/>
  <c r="AG3141" i="20" s="1"/>
  <c r="AF2524" i="20"/>
  <c r="AG2524" i="20" s="1"/>
  <c r="AE2524" i="20"/>
  <c r="J4181" i="24"/>
  <c r="J4175" i="24"/>
  <c r="U2044" i="20"/>
  <c r="T4132" i="20"/>
  <c r="O4400" i="20"/>
  <c r="N4400" i="20"/>
  <c r="J4165" i="24"/>
  <c r="J4179" i="24"/>
  <c r="Q3176" i="20"/>
  <c r="P1838" i="20"/>
  <c r="U720" i="20"/>
  <c r="AE4630" i="20" l="1"/>
  <c r="AD3212" i="20"/>
  <c r="AC3212" i="20"/>
  <c r="AC1838" i="20"/>
  <c r="AF1838" i="20" s="1"/>
  <c r="AG1838" i="20" s="1"/>
  <c r="AD1838" i="20"/>
  <c r="AE4211" i="20"/>
  <c r="AF4211" i="20"/>
  <c r="AG4211" i="20" s="1"/>
  <c r="AC752" i="20"/>
  <c r="AD752" i="20"/>
  <c r="AF3804" i="20"/>
  <c r="AG3804" i="20" s="1"/>
  <c r="AE3804" i="20"/>
  <c r="AC3176" i="20"/>
  <c r="AD3176" i="20"/>
  <c r="AC3846" i="20"/>
  <c r="AD3846" i="20"/>
  <c r="AC4344" i="20"/>
  <c r="AD4344" i="20"/>
  <c r="AD3608" i="20"/>
  <c r="AC3608" i="20"/>
  <c r="AC2044" i="20"/>
  <c r="AD2044" i="20"/>
  <c r="AF1843" i="20"/>
  <c r="AG1843" i="20" s="1"/>
  <c r="AE1843" i="20"/>
  <c r="AC720" i="20"/>
  <c r="AD720" i="20"/>
  <c r="AC4240" i="20"/>
  <c r="AF4240" i="20" s="1"/>
  <c r="AG4240" i="20" s="1"/>
  <c r="AD4240" i="20"/>
  <c r="AF2593" i="20"/>
  <c r="AG2593" i="20" s="1"/>
  <c r="AE2593" i="20"/>
  <c r="AD1528" i="20"/>
  <c r="AC1528" i="20"/>
  <c r="AE2944" i="20"/>
  <c r="AF2944" i="20"/>
  <c r="AG2944" i="20" s="1"/>
  <c r="AD1859" i="20"/>
  <c r="AC1859" i="20"/>
  <c r="AD4330" i="20"/>
  <c r="AC4330" i="20"/>
  <c r="AF1032" i="20"/>
  <c r="AG1032" i="20" s="1"/>
  <c r="AE1032" i="20"/>
  <c r="AD2589" i="20"/>
  <c r="AC2589" i="20"/>
  <c r="AD3847" i="20"/>
  <c r="AC3847" i="20"/>
  <c r="AD4132" i="20"/>
  <c r="AC4132" i="20"/>
  <c r="J4168" i="24"/>
  <c r="J4173" i="24"/>
  <c r="U4392" i="20"/>
  <c r="P2019" i="20"/>
  <c r="P658" i="20"/>
  <c r="P612" i="20"/>
  <c r="AE1838" i="20" l="1"/>
  <c r="AE4240" i="20"/>
  <c r="AF4132" i="20"/>
  <c r="AG4132" i="20" s="1"/>
  <c r="AE4132" i="20"/>
  <c r="AD1891" i="20"/>
  <c r="AC1891" i="20"/>
  <c r="AF1891" i="20" s="1"/>
  <c r="AG1891" i="20" s="1"/>
  <c r="AD569" i="20"/>
  <c r="AC569" i="20"/>
  <c r="AF3846" i="20"/>
  <c r="AG3846" i="20" s="1"/>
  <c r="AE3846" i="20"/>
  <c r="AE1528" i="20"/>
  <c r="AF1528" i="20"/>
  <c r="AG1528" i="20" s="1"/>
  <c r="AC4599" i="20"/>
  <c r="AD4599" i="20"/>
  <c r="AF3176" i="20"/>
  <c r="AG3176" i="20" s="1"/>
  <c r="AE3176" i="20"/>
  <c r="AD612" i="20"/>
  <c r="AC612" i="20"/>
  <c r="AF752" i="20"/>
  <c r="AG752" i="20" s="1"/>
  <c r="AE752" i="20"/>
  <c r="AF4330" i="20"/>
  <c r="AG4330" i="20" s="1"/>
  <c r="AE4330" i="20"/>
  <c r="AC1636" i="20"/>
  <c r="AD1636" i="20"/>
  <c r="AF1859" i="20"/>
  <c r="AG1859" i="20" s="1"/>
  <c r="AE1859" i="20"/>
  <c r="AF4344" i="20"/>
  <c r="AG4344" i="20" s="1"/>
  <c r="AE4344" i="20"/>
  <c r="AC1928" i="20"/>
  <c r="AD1928" i="20"/>
  <c r="AE3847" i="20"/>
  <c r="AF3847" i="20"/>
  <c r="AG3847" i="20" s="1"/>
  <c r="AC658" i="20"/>
  <c r="AD658" i="20"/>
  <c r="AD2019" i="20"/>
  <c r="AC2019" i="20"/>
  <c r="AC4615" i="20"/>
  <c r="AD4615" i="20"/>
  <c r="AC1738" i="20"/>
  <c r="AD1738" i="20"/>
  <c r="AD1971" i="20"/>
  <c r="AC1971" i="20"/>
  <c r="AD3180" i="20"/>
  <c r="AC3180" i="20"/>
  <c r="AE3608" i="20"/>
  <c r="AF3608" i="20"/>
  <c r="AG3608" i="20" s="1"/>
  <c r="AF3212" i="20"/>
  <c r="AG3212" i="20" s="1"/>
  <c r="AE3212" i="20"/>
  <c r="AF2589" i="20"/>
  <c r="AG2589" i="20" s="1"/>
  <c r="AE2589" i="20"/>
  <c r="AE720" i="20"/>
  <c r="AF720" i="20"/>
  <c r="AG720" i="20" s="1"/>
  <c r="AF2044" i="20"/>
  <c r="AG2044" i="20" s="1"/>
  <c r="AE2044" i="20"/>
  <c r="AC4392" i="20"/>
  <c r="AD4392" i="20"/>
  <c r="O4407" i="20"/>
  <c r="N4407" i="20"/>
  <c r="Q4056" i="20"/>
  <c r="P1902" i="20"/>
  <c r="U1902" i="20"/>
  <c r="K4174" i="24"/>
  <c r="K4175" i="24"/>
  <c r="K4176" i="24"/>
  <c r="K4177" i="24"/>
  <c r="K4178" i="24"/>
  <c r="K4179" i="24"/>
  <c r="K4180" i="24"/>
  <c r="K4181" i="24"/>
  <c r="K4182" i="24"/>
  <c r="K4199" i="24"/>
  <c r="J4172" i="24"/>
  <c r="N753" i="20"/>
  <c r="Q4664" i="20"/>
  <c r="U2612" i="20"/>
  <c r="J4170" i="24"/>
  <c r="J4164" i="24"/>
  <c r="R2953" i="20"/>
  <c r="AC539" i="20" l="1"/>
  <c r="AD539" i="20"/>
  <c r="AD3091" i="20"/>
  <c r="AC3091" i="20"/>
  <c r="AF3180" i="20"/>
  <c r="AG3180" i="20" s="1"/>
  <c r="AE3180" i="20"/>
  <c r="AF4615" i="20"/>
  <c r="AG4615" i="20" s="1"/>
  <c r="AE4615" i="20"/>
  <c r="AF4599" i="20"/>
  <c r="AG4599" i="20" s="1"/>
  <c r="AE4599" i="20"/>
  <c r="AF1738" i="20"/>
  <c r="AG1738" i="20" s="1"/>
  <c r="AE1738" i="20"/>
  <c r="AC3872" i="20"/>
  <c r="AD3872" i="20"/>
  <c r="AC1184" i="20"/>
  <c r="AD1184" i="20"/>
  <c r="AF569" i="20"/>
  <c r="AG569" i="20" s="1"/>
  <c r="AE569" i="20"/>
  <c r="AF2019" i="20"/>
  <c r="AG2019" i="20" s="1"/>
  <c r="AE2019" i="20"/>
  <c r="AE1891" i="20"/>
  <c r="AC4664" i="20"/>
  <c r="AD4664" i="20"/>
  <c r="AF1928" i="20"/>
  <c r="AG1928" i="20" s="1"/>
  <c r="AE1928" i="20"/>
  <c r="AF1971" i="20"/>
  <c r="AG1971" i="20" s="1"/>
  <c r="AE1971" i="20"/>
  <c r="AF4392" i="20"/>
  <c r="AG4392" i="20" s="1"/>
  <c r="AE4392" i="20"/>
  <c r="AC3379" i="20"/>
  <c r="AF3379" i="20" s="1"/>
  <c r="AG3379" i="20" s="1"/>
  <c r="AD3379" i="20"/>
  <c r="AF658" i="20"/>
  <c r="AG658" i="20" s="1"/>
  <c r="AE658" i="20"/>
  <c r="AF612" i="20"/>
  <c r="AG612" i="20" s="1"/>
  <c r="AE612" i="20"/>
  <c r="AC1902" i="20"/>
  <c r="AD1902" i="20"/>
  <c r="AC4056" i="20"/>
  <c r="AD4056" i="20"/>
  <c r="AC4130" i="20"/>
  <c r="AD4130" i="20"/>
  <c r="AC2953" i="20"/>
  <c r="AF2953" i="20" s="1"/>
  <c r="AG2953" i="20" s="1"/>
  <c r="AD2953" i="20"/>
  <c r="AE1636" i="20"/>
  <c r="AF1636" i="20"/>
  <c r="AG1636" i="20" s="1"/>
  <c r="AD2311" i="20"/>
  <c r="AC2311" i="20"/>
  <c r="AC2612" i="20"/>
  <c r="AD2612" i="20"/>
  <c r="AC4771" i="20"/>
  <c r="AD4771" i="20"/>
  <c r="O753" i="20"/>
  <c r="U2633" i="20"/>
  <c r="Q4539" i="20"/>
  <c r="J4166" i="24"/>
  <c r="K4168" i="24"/>
  <c r="K4169" i="24"/>
  <c r="K4170" i="24"/>
  <c r="K4171" i="24"/>
  <c r="K4172" i="24"/>
  <c r="K4173" i="24"/>
  <c r="J4167" i="24"/>
  <c r="J4163" i="24"/>
  <c r="O4412" i="20"/>
  <c r="O3804" i="20"/>
  <c r="N3804" i="20"/>
  <c r="N4412" i="20"/>
  <c r="J4161" i="24"/>
  <c r="O3847" i="20"/>
  <c r="N3847" i="20"/>
  <c r="AE2953" i="20" l="1"/>
  <c r="AE4056" i="20"/>
  <c r="AF4056" i="20"/>
  <c r="AG4056" i="20" s="1"/>
  <c r="AC4539" i="20"/>
  <c r="AD4539" i="20"/>
  <c r="AC4215" i="20"/>
  <c r="AD4215" i="20"/>
  <c r="AC923" i="20"/>
  <c r="AD923" i="20"/>
  <c r="AC2633" i="20"/>
  <c r="AD2633" i="20"/>
  <c r="AF1902" i="20"/>
  <c r="AG1902" i="20" s="1"/>
  <c r="AE1902" i="20"/>
  <c r="AD3438" i="20"/>
  <c r="AC3438" i="20"/>
  <c r="AE4130" i="20"/>
  <c r="AF4130" i="20"/>
  <c r="AG4130" i="20" s="1"/>
  <c r="AF4771" i="20"/>
  <c r="AG4771" i="20" s="1"/>
  <c r="AE4771" i="20"/>
  <c r="AF2612" i="20"/>
  <c r="AG2612" i="20" s="1"/>
  <c r="AE2612" i="20"/>
  <c r="AF3872" i="20"/>
  <c r="AG3872" i="20" s="1"/>
  <c r="AE3872" i="20"/>
  <c r="AC3181" i="20"/>
  <c r="AD3181" i="20"/>
  <c r="AE4664" i="20"/>
  <c r="AF4664" i="20"/>
  <c r="AG4664" i="20" s="1"/>
  <c r="AC4629" i="20"/>
  <c r="AD4629" i="20"/>
  <c r="AF3091" i="20"/>
  <c r="AG3091" i="20" s="1"/>
  <c r="AE3091" i="20"/>
  <c r="AE2311" i="20"/>
  <c r="AF2311" i="20"/>
  <c r="AG2311" i="20" s="1"/>
  <c r="AE3379" i="20"/>
  <c r="AE1184" i="20"/>
  <c r="AF1184" i="20"/>
  <c r="AG1184" i="20" s="1"/>
  <c r="AF539" i="20"/>
  <c r="AG539" i="20" s="1"/>
  <c r="AE539" i="20"/>
  <c r="N4331" i="20"/>
  <c r="O4331" i="20"/>
  <c r="P893" i="20"/>
  <c r="P1746" i="20"/>
  <c r="O4330" i="20"/>
  <c r="N4330" i="20"/>
  <c r="P1900" i="20"/>
  <c r="J4157" i="24"/>
  <c r="U1950" i="20"/>
  <c r="O1950" i="20" s="1"/>
  <c r="O4296" i="20"/>
  <c r="V4375" i="20"/>
  <c r="U4247" i="20"/>
  <c r="Q3760" i="20"/>
  <c r="U804" i="20"/>
  <c r="J4154" i="24"/>
  <c r="R4637" i="20"/>
  <c r="V1780" i="20"/>
  <c r="N4375" i="20"/>
  <c r="J4160" i="24"/>
  <c r="J4158" i="24"/>
  <c r="J4159" i="24"/>
  <c r="J4156" i="24"/>
  <c r="J4149" i="24"/>
  <c r="U3243" i="20"/>
  <c r="AC4637" i="20" l="1"/>
  <c r="AD4637" i="20"/>
  <c r="AD3243" i="20"/>
  <c r="AC3243" i="20"/>
  <c r="AF3243" i="20" s="1"/>
  <c r="AG3243" i="20" s="1"/>
  <c r="AD893" i="20"/>
  <c r="AC893" i="20"/>
  <c r="AE3438" i="20"/>
  <c r="AF3438" i="20"/>
  <c r="AG3438" i="20" s="1"/>
  <c r="AC1635" i="20"/>
  <c r="AD1635" i="20"/>
  <c r="AF4629" i="20"/>
  <c r="AG4629" i="20" s="1"/>
  <c r="AE4629" i="20"/>
  <c r="AC4135" i="20"/>
  <c r="AD4135" i="20"/>
  <c r="O4375" i="20"/>
  <c r="AC4375" i="20"/>
  <c r="AD4375" i="20"/>
  <c r="AD804" i="20"/>
  <c r="AC804" i="20"/>
  <c r="AD2496" i="20"/>
  <c r="AC2496" i="20"/>
  <c r="AF923" i="20"/>
  <c r="AG923" i="20" s="1"/>
  <c r="AE923" i="20"/>
  <c r="AC1900" i="20"/>
  <c r="AD1900" i="20"/>
  <c r="AC3760" i="20"/>
  <c r="AD3760" i="20"/>
  <c r="AC3615" i="20"/>
  <c r="AD3615" i="20"/>
  <c r="AC2267" i="20"/>
  <c r="AD2267" i="20"/>
  <c r="AD4247" i="20"/>
  <c r="AC4247" i="20"/>
  <c r="AE3181" i="20"/>
  <c r="AF3181" i="20"/>
  <c r="AG3181" i="20" s="1"/>
  <c r="AF4215" i="20"/>
  <c r="AG4215" i="20" s="1"/>
  <c r="AE4215" i="20"/>
  <c r="AC1808" i="20"/>
  <c r="AD1808" i="20"/>
  <c r="AC4296" i="20"/>
  <c r="AD4296" i="20"/>
  <c r="AF4539" i="20"/>
  <c r="AG4539" i="20" s="1"/>
  <c r="AE4539" i="20"/>
  <c r="AC1780" i="20"/>
  <c r="AD1780" i="20"/>
  <c r="AC1746" i="20"/>
  <c r="AD1746" i="20"/>
  <c r="AC4328" i="20"/>
  <c r="AD4328" i="20"/>
  <c r="AD4329" i="20"/>
  <c r="AC4329" i="20"/>
  <c r="AC1950" i="20"/>
  <c r="AD1950" i="20"/>
  <c r="AC1361" i="20"/>
  <c r="AD1361" i="20"/>
  <c r="AC4826" i="20"/>
  <c r="AF4826" i="20" s="1"/>
  <c r="AG4826" i="20" s="1"/>
  <c r="AD4826" i="20"/>
  <c r="AF2633" i="20"/>
  <c r="AG2633" i="20" s="1"/>
  <c r="AE2633" i="20"/>
  <c r="AC4401" i="20"/>
  <c r="AD4401" i="20"/>
  <c r="O4615" i="20"/>
  <c r="N4615" i="20"/>
  <c r="O4646" i="20"/>
  <c r="N4646" i="20"/>
  <c r="U3547" i="20"/>
  <c r="O3379" i="20"/>
  <c r="N3379" i="20"/>
  <c r="U1742" i="20"/>
  <c r="O4408" i="20"/>
  <c r="N4408" i="20"/>
  <c r="AE4826" i="20" l="1"/>
  <c r="AF4401" i="20"/>
  <c r="AG4401" i="20" s="1"/>
  <c r="AE4401" i="20"/>
  <c r="AC4298" i="20"/>
  <c r="AF4298" i="20" s="1"/>
  <c r="AG4298" i="20" s="1"/>
  <c r="AD4298" i="20"/>
  <c r="AE4135" i="20"/>
  <c r="AF4135" i="20"/>
  <c r="AG4135" i="20" s="1"/>
  <c r="AD1742" i="20"/>
  <c r="AC1742" i="20"/>
  <c r="AF1635" i="20"/>
  <c r="AG1635" i="20" s="1"/>
  <c r="AE1635" i="20"/>
  <c r="AE3615" i="20"/>
  <c r="AF3615" i="20"/>
  <c r="AG3615" i="20" s="1"/>
  <c r="AC1919" i="20"/>
  <c r="AD1919" i="20"/>
  <c r="AE4296" i="20"/>
  <c r="AF4296" i="20"/>
  <c r="AG4296" i="20" s="1"/>
  <c r="AF1950" i="20"/>
  <c r="AG1950" i="20" s="1"/>
  <c r="AE1950" i="20"/>
  <c r="AF1808" i="20"/>
  <c r="AG1808" i="20" s="1"/>
  <c r="AE1808" i="20"/>
  <c r="AE2496" i="20"/>
  <c r="AF2496" i="20"/>
  <c r="AG2496" i="20" s="1"/>
  <c r="AE4329" i="20"/>
  <c r="AF4329" i="20"/>
  <c r="AG4329" i="20" s="1"/>
  <c r="AE3243" i="20"/>
  <c r="AF4247" i="20"/>
  <c r="AG4247" i="20" s="1"/>
  <c r="AE4247" i="20"/>
  <c r="AF4375" i="20"/>
  <c r="AG4375" i="20" s="1"/>
  <c r="AE4375" i="20"/>
  <c r="AE2267" i="20"/>
  <c r="AF2267" i="20"/>
  <c r="AG2267" i="20" s="1"/>
  <c r="AE1780" i="20"/>
  <c r="AF1780" i="20"/>
  <c r="AG1780" i="20" s="1"/>
  <c r="AC2912" i="20"/>
  <c r="AF2912" i="20" s="1"/>
  <c r="AG2912" i="20" s="1"/>
  <c r="AD2912" i="20"/>
  <c r="AF3760" i="20"/>
  <c r="AG3760" i="20" s="1"/>
  <c r="AE3760" i="20"/>
  <c r="AE1361" i="20"/>
  <c r="AF1361" i="20"/>
  <c r="AG1361" i="20" s="1"/>
  <c r="AF1900" i="20"/>
  <c r="AG1900" i="20" s="1"/>
  <c r="AE1900" i="20"/>
  <c r="AE893" i="20"/>
  <c r="AF893" i="20"/>
  <c r="AG893" i="20" s="1"/>
  <c r="AD3547" i="20"/>
  <c r="AC3547" i="20"/>
  <c r="AC3881" i="20"/>
  <c r="AF3881" i="20" s="1"/>
  <c r="AG3881" i="20" s="1"/>
  <c r="AD3881" i="20"/>
  <c r="AE804" i="20"/>
  <c r="AF804" i="20"/>
  <c r="AG804" i="20" s="1"/>
  <c r="AF4328" i="20"/>
  <c r="AG4328" i="20" s="1"/>
  <c r="AE4328" i="20"/>
  <c r="AF1746" i="20"/>
  <c r="AG1746" i="20" s="1"/>
  <c r="AE1746" i="20"/>
  <c r="AE4637" i="20"/>
  <c r="AF4637" i="20"/>
  <c r="AG4637" i="20" s="1"/>
  <c r="K4160" i="24"/>
  <c r="K4161" i="24"/>
  <c r="K4162" i="24"/>
  <c r="K4163" i="24"/>
  <c r="K4164" i="24"/>
  <c r="K4165" i="24"/>
  <c r="K4166" i="24"/>
  <c r="K4167" i="24"/>
  <c r="R4012" i="20"/>
  <c r="O4394" i="20"/>
  <c r="N2862" i="20"/>
  <c r="P1572" i="20"/>
  <c r="N1738" i="20"/>
  <c r="O3475" i="20"/>
  <c r="U1551" i="20"/>
  <c r="V2759" i="20"/>
  <c r="N4381" i="20"/>
  <c r="J4140" i="24"/>
  <c r="J4153" i="24"/>
  <c r="Q2772" i="20"/>
  <c r="O4392" i="20"/>
  <c r="N4392" i="20"/>
  <c r="N3475" i="20"/>
  <c r="J4151" i="24"/>
  <c r="J4155" i="24"/>
  <c r="O2862" i="20"/>
  <c r="J4130" i="24"/>
  <c r="N4394" i="20"/>
  <c r="N4385" i="20"/>
  <c r="N4387" i="20"/>
  <c r="O658" i="20"/>
  <c r="N658" i="20"/>
  <c r="AE4298" i="20" l="1"/>
  <c r="AE2912" i="20"/>
  <c r="AC733" i="20"/>
  <c r="AD733" i="20"/>
  <c r="AD1572" i="20"/>
  <c r="AC1572" i="20"/>
  <c r="AE3547" i="20"/>
  <c r="AF3547" i="20"/>
  <c r="AG3547" i="20" s="1"/>
  <c r="AD1551" i="20"/>
  <c r="AC1551" i="20"/>
  <c r="AC4384" i="20"/>
  <c r="AD4384" i="20"/>
  <c r="AC305" i="20"/>
  <c r="AD305" i="20"/>
  <c r="AD1110" i="20"/>
  <c r="AC1110" i="20"/>
  <c r="AC3970" i="20"/>
  <c r="AD3970" i="20"/>
  <c r="AC2294" i="20"/>
  <c r="AD2294" i="20"/>
  <c r="AF1919" i="20"/>
  <c r="AG1919" i="20" s="1"/>
  <c r="AE1919" i="20"/>
  <c r="AC986" i="20"/>
  <c r="AD986" i="20"/>
  <c r="O1957" i="20"/>
  <c r="AC1957" i="20"/>
  <c r="AD1957" i="20"/>
  <c r="AF1742" i="20"/>
  <c r="AG1742" i="20" s="1"/>
  <c r="AE1742" i="20"/>
  <c r="AD1937" i="20"/>
  <c r="AC1937" i="20"/>
  <c r="AF1937" i="20" s="1"/>
  <c r="AG1937" i="20" s="1"/>
  <c r="AD4012" i="20"/>
  <c r="AC4012" i="20"/>
  <c r="AC4791" i="20"/>
  <c r="AD4791" i="20"/>
  <c r="O4381" i="20"/>
  <c r="AD4381" i="20"/>
  <c r="AC4381" i="20"/>
  <c r="AC2772" i="20"/>
  <c r="AD2772" i="20"/>
  <c r="AE3881" i="20"/>
  <c r="O1738" i="20"/>
  <c r="O4240" i="20"/>
  <c r="O3547" i="20"/>
  <c r="N3547" i="20"/>
  <c r="N4303" i="20"/>
  <c r="K4151" i="24"/>
  <c r="K4152" i="24"/>
  <c r="K4153" i="24"/>
  <c r="K4154" i="24"/>
  <c r="K4155" i="24"/>
  <c r="K4156" i="24"/>
  <c r="K4157" i="24"/>
  <c r="K4158" i="24"/>
  <c r="K4159" i="24"/>
  <c r="J4147" i="24"/>
  <c r="J4139" i="24"/>
  <c r="N4240" i="20"/>
  <c r="O4303" i="20"/>
  <c r="J4150" i="24"/>
  <c r="J4145" i="24"/>
  <c r="J4141" i="24"/>
  <c r="N1619" i="20"/>
  <c r="S4280" i="20"/>
  <c r="T4325" i="20"/>
  <c r="R3431" i="20"/>
  <c r="N4410" i="20"/>
  <c r="AD1895" i="20" l="1"/>
  <c r="AC1895" i="20"/>
  <c r="AF1895" i="20" s="1"/>
  <c r="AG1895" i="20" s="1"/>
  <c r="AE4012" i="20"/>
  <c r="AF4012" i="20"/>
  <c r="AG4012" i="20" s="1"/>
  <c r="AC3696" i="20"/>
  <c r="AD3696" i="20"/>
  <c r="AF3970" i="20"/>
  <c r="AG3970" i="20" s="1"/>
  <c r="AE3970" i="20"/>
  <c r="AE1937" i="20"/>
  <c r="O4410" i="20"/>
  <c r="AC4410" i="20"/>
  <c r="AD4410" i="20"/>
  <c r="AF1551" i="20"/>
  <c r="AG1551" i="20" s="1"/>
  <c r="AE1551" i="20"/>
  <c r="AE1957" i="20"/>
  <c r="AF1957" i="20"/>
  <c r="AG1957" i="20" s="1"/>
  <c r="AC3408" i="20"/>
  <c r="AD3408" i="20"/>
  <c r="AC3431" i="20"/>
  <c r="AF3431" i="20" s="1"/>
  <c r="AG3431" i="20" s="1"/>
  <c r="AD3431" i="20"/>
  <c r="AF4384" i="20"/>
  <c r="AG4384" i="20" s="1"/>
  <c r="AE4384" i="20"/>
  <c r="AC3763" i="20"/>
  <c r="AF3763" i="20" s="1"/>
  <c r="AG3763" i="20" s="1"/>
  <c r="AD3763" i="20"/>
  <c r="AC4276" i="20"/>
  <c r="AD4276" i="20"/>
  <c r="AC4280" i="20"/>
  <c r="AD4280" i="20"/>
  <c r="AC3013" i="20"/>
  <c r="AF3013" i="20" s="1"/>
  <c r="AG3013" i="20" s="1"/>
  <c r="AD3013" i="20"/>
  <c r="O1619" i="20"/>
  <c r="AC1619" i="20"/>
  <c r="AD1619" i="20"/>
  <c r="AF986" i="20"/>
  <c r="AG986" i="20" s="1"/>
  <c r="AE986" i="20"/>
  <c r="AF4381" i="20"/>
  <c r="AG4381" i="20" s="1"/>
  <c r="AE4381" i="20"/>
  <c r="AF2294" i="20"/>
  <c r="AG2294" i="20" s="1"/>
  <c r="AE2294" i="20"/>
  <c r="AF1110" i="20"/>
  <c r="AG1110" i="20" s="1"/>
  <c r="AE1110" i="20"/>
  <c r="AF305" i="20"/>
  <c r="AG305" i="20" s="1"/>
  <c r="AE305" i="20"/>
  <c r="AF2772" i="20"/>
  <c r="AG2772" i="20" s="1"/>
  <c r="AE2772" i="20"/>
  <c r="AE1572" i="20"/>
  <c r="AF1572" i="20"/>
  <c r="AG1572" i="20" s="1"/>
  <c r="AF4791" i="20"/>
  <c r="AG4791" i="20" s="1"/>
  <c r="AE4791" i="20"/>
  <c r="AF733" i="20"/>
  <c r="AG733" i="20" s="1"/>
  <c r="AE733" i="20"/>
  <c r="J4142" i="24"/>
  <c r="K4142" i="24" s="1"/>
  <c r="P3812" i="20"/>
  <c r="O4232" i="20"/>
  <c r="N4232" i="20"/>
  <c r="O4397" i="20"/>
  <c r="N4397" i="20"/>
  <c r="J4144" i="24"/>
  <c r="K4144" i="24" s="1"/>
  <c r="J4134" i="24"/>
  <c r="O4402" i="20"/>
  <c r="N4402" i="20"/>
  <c r="R3542" i="20"/>
  <c r="O4409" i="20"/>
  <c r="O4399" i="20"/>
  <c r="P1260" i="20"/>
  <c r="J4143" i="24"/>
  <c r="K4143" i="24" s="1"/>
  <c r="J4135" i="24"/>
  <c r="N4399" i="20"/>
  <c r="J4137" i="24"/>
  <c r="J4138" i="24"/>
  <c r="O4385" i="20"/>
  <c r="R4109" i="20"/>
  <c r="K4141" i="24"/>
  <c r="K4145" i="24"/>
  <c r="K4146" i="24"/>
  <c r="K4147" i="24"/>
  <c r="K4148" i="24"/>
  <c r="K4149" i="24"/>
  <c r="K4150" i="24"/>
  <c r="N4409" i="20"/>
  <c r="U4388" i="20"/>
  <c r="P713" i="20"/>
  <c r="N285" i="20"/>
  <c r="Q1924" i="20"/>
  <c r="O411" i="20"/>
  <c r="N411" i="20"/>
  <c r="AE3431" i="20" l="1"/>
  <c r="AE3763" i="20"/>
  <c r="AE3013" i="20"/>
  <c r="AD1137" i="20"/>
  <c r="AC1137" i="20"/>
  <c r="AD1596" i="20"/>
  <c r="AC1596" i="20"/>
  <c r="AC4109" i="20"/>
  <c r="AD4109" i="20"/>
  <c r="AD1924" i="20"/>
  <c r="AC1924" i="20"/>
  <c r="AF1924" i="20" s="1"/>
  <c r="AG1924" i="20" s="1"/>
  <c r="AC1002" i="20"/>
  <c r="AD1002" i="20"/>
  <c r="AC757" i="20"/>
  <c r="AD757" i="20"/>
  <c r="AD2786" i="20"/>
  <c r="AC2786" i="20"/>
  <c r="AC3812" i="20"/>
  <c r="AD3812" i="20"/>
  <c r="AD713" i="20"/>
  <c r="AC713" i="20"/>
  <c r="AE3696" i="20"/>
  <c r="AF3696" i="20"/>
  <c r="AG3696" i="20" s="1"/>
  <c r="AC3542" i="20"/>
  <c r="AD3542" i="20"/>
  <c r="AE4280" i="20"/>
  <c r="AF4280" i="20"/>
  <c r="AG4280" i="20" s="1"/>
  <c r="AF4410" i="20"/>
  <c r="AG4410" i="20" s="1"/>
  <c r="AE4410" i="20"/>
  <c r="AD1031" i="20"/>
  <c r="AC1031" i="20"/>
  <c r="AF4276" i="20"/>
  <c r="AG4276" i="20" s="1"/>
  <c r="AE4276" i="20"/>
  <c r="AC3452" i="20"/>
  <c r="AD3452" i="20"/>
  <c r="AC4388" i="20"/>
  <c r="AD4388" i="20"/>
  <c r="AD1260" i="20"/>
  <c r="AC1260" i="20"/>
  <c r="AF1619" i="20"/>
  <c r="AG1619" i="20" s="1"/>
  <c r="AE1619" i="20"/>
  <c r="AF3408" i="20"/>
  <c r="AG3408" i="20" s="1"/>
  <c r="AE3408" i="20"/>
  <c r="AE1895" i="20"/>
  <c r="O285" i="20"/>
  <c r="O4406" i="20"/>
  <c r="O4396" i="20"/>
  <c r="O1976" i="20"/>
  <c r="N1976" i="20"/>
  <c r="N4401" i="20"/>
  <c r="O4401" i="20"/>
  <c r="Q4325" i="20"/>
  <c r="N4406" i="20"/>
  <c r="N4109" i="20"/>
  <c r="O4109" i="20"/>
  <c r="N4404" i="20"/>
  <c r="N4405" i="20"/>
  <c r="N4448" i="20"/>
  <c r="N4490" i="20"/>
  <c r="N4491" i="20"/>
  <c r="N4492" i="20"/>
  <c r="O4448" i="20"/>
  <c r="U1444" i="20"/>
  <c r="P1945" i="20"/>
  <c r="K4134" i="24"/>
  <c r="K4135" i="24"/>
  <c r="K4136" i="24"/>
  <c r="K4137" i="24"/>
  <c r="K4138" i="24"/>
  <c r="K4139" i="24"/>
  <c r="N4396" i="20"/>
  <c r="AF3812" i="20" l="1"/>
  <c r="AG3812" i="20" s="1"/>
  <c r="AE3812" i="20"/>
  <c r="AF1031" i="20"/>
  <c r="AG1031" i="20" s="1"/>
  <c r="AE1031" i="20"/>
  <c r="AF3452" i="20"/>
  <c r="AG3452" i="20" s="1"/>
  <c r="AE3452" i="20"/>
  <c r="AC4143" i="20"/>
  <c r="AD4143" i="20"/>
  <c r="AC1444" i="20"/>
  <c r="AD1444" i="20"/>
  <c r="AD3056" i="20"/>
  <c r="AC3056" i="20"/>
  <c r="O4404" i="20"/>
  <c r="AD4404" i="20"/>
  <c r="AC4404" i="20"/>
  <c r="AF1260" i="20"/>
  <c r="AG1260" i="20" s="1"/>
  <c r="AE1260" i="20"/>
  <c r="AC1431" i="20"/>
  <c r="AD1431" i="20"/>
  <c r="AF757" i="20"/>
  <c r="AG757" i="20" s="1"/>
  <c r="AE757" i="20"/>
  <c r="AC2484" i="20"/>
  <c r="AD2484" i="20"/>
  <c r="AF4109" i="20"/>
  <c r="AG4109" i="20" s="1"/>
  <c r="AE4109" i="20"/>
  <c r="AE713" i="20"/>
  <c r="AF713" i="20"/>
  <c r="AG713" i="20" s="1"/>
  <c r="AE1137" i="20"/>
  <c r="AF1137" i="20"/>
  <c r="AG1137" i="20" s="1"/>
  <c r="AE2786" i="20"/>
  <c r="AF2786" i="20"/>
  <c r="AG2786" i="20" s="1"/>
  <c r="AC1945" i="20"/>
  <c r="AF1945" i="20" s="1"/>
  <c r="AG1945" i="20" s="1"/>
  <c r="AD1945" i="20"/>
  <c r="AF1002" i="20"/>
  <c r="AG1002" i="20" s="1"/>
  <c r="AE1002" i="20"/>
  <c r="AE1924" i="20"/>
  <c r="O4405" i="20"/>
  <c r="AC4405" i="20"/>
  <c r="AD4405" i="20"/>
  <c r="AD4325" i="20"/>
  <c r="AC4325" i="20"/>
  <c r="AE3542" i="20"/>
  <c r="AF3542" i="20"/>
  <c r="AG3542" i="20" s="1"/>
  <c r="AE1596" i="20"/>
  <c r="AF1596" i="20"/>
  <c r="AG1596" i="20" s="1"/>
  <c r="AF4388" i="20"/>
  <c r="AG4388" i="20" s="1"/>
  <c r="AE4388" i="20"/>
  <c r="AC1666" i="20"/>
  <c r="AF1666" i="20" s="1"/>
  <c r="AG1666" i="20" s="1"/>
  <c r="AD1666" i="20"/>
  <c r="J4125" i="24"/>
  <c r="Q3376" i="20"/>
  <c r="N4175" i="20"/>
  <c r="O4175" i="20"/>
  <c r="AE1666" i="20" l="1"/>
  <c r="AF4404" i="20"/>
  <c r="AG4404" i="20" s="1"/>
  <c r="AE4404" i="20"/>
  <c r="AE2484" i="20"/>
  <c r="AF2484" i="20"/>
  <c r="AG2484" i="20" s="1"/>
  <c r="AE1444" i="20"/>
  <c r="AF1444" i="20"/>
  <c r="AG1444" i="20" s="1"/>
  <c r="AC3376" i="20"/>
  <c r="AD3376" i="20"/>
  <c r="AF1431" i="20"/>
  <c r="AG1431" i="20" s="1"/>
  <c r="AE1431" i="20"/>
  <c r="AE3056" i="20"/>
  <c r="AF3056" i="20"/>
  <c r="AG3056" i="20" s="1"/>
  <c r="AE4325" i="20"/>
  <c r="AF4325" i="20"/>
  <c r="AG4325" i="20" s="1"/>
  <c r="AE4143" i="20"/>
  <c r="AF4143" i="20"/>
  <c r="AG4143" i="20" s="1"/>
  <c r="AF4405" i="20"/>
  <c r="AG4405" i="20" s="1"/>
  <c r="AE4405" i="20"/>
  <c r="AE1945" i="20"/>
  <c r="O1904" i="20"/>
  <c r="N1904" i="20"/>
  <c r="O3995" i="20"/>
  <c r="N3995" i="20"/>
  <c r="AF3376" i="20" l="1"/>
  <c r="AG3376" i="20" s="1"/>
  <c r="AE3376" i="20"/>
  <c r="U4193" i="20"/>
  <c r="O4736" i="20"/>
  <c r="T4804" i="20"/>
  <c r="N4736" i="20"/>
  <c r="AD4804" i="20" l="1"/>
  <c r="AC4804" i="20"/>
  <c r="AC3784" i="20"/>
  <c r="AD3784" i="20"/>
  <c r="AC1579" i="20"/>
  <c r="AD1579" i="20"/>
  <c r="AD4205" i="20"/>
  <c r="AC4205" i="20"/>
  <c r="AF4205" i="20" s="1"/>
  <c r="AG4205" i="20" s="1"/>
  <c r="AC4193" i="20"/>
  <c r="AF4193" i="20" s="1"/>
  <c r="AG4193" i="20" s="1"/>
  <c r="AD4193" i="20"/>
  <c r="O3784" i="20"/>
  <c r="N3784" i="20"/>
  <c r="J4126" i="24"/>
  <c r="T4697" i="20"/>
  <c r="N4103" i="20"/>
  <c r="P1839" i="20"/>
  <c r="AE4193" i="20" l="1"/>
  <c r="AE4205" i="20"/>
  <c r="AC3565" i="20"/>
  <c r="AF3565" i="20" s="1"/>
  <c r="AG3565" i="20" s="1"/>
  <c r="AD3565" i="20"/>
  <c r="AC4084" i="20"/>
  <c r="AF4084" i="20" s="1"/>
  <c r="AG4084" i="20" s="1"/>
  <c r="AD4084" i="20"/>
  <c r="AF1579" i="20"/>
  <c r="AG1579" i="20" s="1"/>
  <c r="AE1579" i="20"/>
  <c r="AC4251" i="20"/>
  <c r="AD4251" i="20"/>
  <c r="AC1839" i="20"/>
  <c r="AD1839" i="20"/>
  <c r="AF3784" i="20"/>
  <c r="AG3784" i="20" s="1"/>
  <c r="AE3784" i="20"/>
  <c r="AC1669" i="20"/>
  <c r="AD1669" i="20"/>
  <c r="AF4804" i="20"/>
  <c r="AG4804" i="20" s="1"/>
  <c r="AE4804" i="20"/>
  <c r="O4103" i="20"/>
  <c r="U4172" i="20"/>
  <c r="AA1660" i="20"/>
  <c r="J4128" i="24"/>
  <c r="P1887" i="20"/>
  <c r="N1888" i="20"/>
  <c r="AE4084" i="20" l="1"/>
  <c r="AE3565" i="20"/>
  <c r="AC1887" i="20"/>
  <c r="AF1887" i="20" s="1"/>
  <c r="AG1887" i="20" s="1"/>
  <c r="AD1887" i="20"/>
  <c r="AD894" i="20"/>
  <c r="AC894" i="20"/>
  <c r="AF4251" i="20"/>
  <c r="AG4251" i="20" s="1"/>
  <c r="AE4251" i="20"/>
  <c r="AE1669" i="20"/>
  <c r="AF1669" i="20"/>
  <c r="AG1669" i="20" s="1"/>
  <c r="AC1476" i="20"/>
  <c r="AD1476" i="20"/>
  <c r="AD4342" i="20"/>
  <c r="AC4342" i="20"/>
  <c r="AC4250" i="20"/>
  <c r="AD4250" i="20"/>
  <c r="AF1839" i="20"/>
  <c r="AG1839" i="20" s="1"/>
  <c r="AE1839" i="20"/>
  <c r="AC1660" i="20"/>
  <c r="AD1660" i="20"/>
  <c r="AC4172" i="20"/>
  <c r="AD4172" i="20"/>
  <c r="O1888" i="20"/>
  <c r="AF4342" i="20" l="1"/>
  <c r="AG4342" i="20" s="1"/>
  <c r="AE4342" i="20"/>
  <c r="AF894" i="20"/>
  <c r="AG894" i="20" s="1"/>
  <c r="AE894" i="20"/>
  <c r="AF4172" i="20"/>
  <c r="AG4172" i="20" s="1"/>
  <c r="AE4172" i="20"/>
  <c r="AE1660" i="20"/>
  <c r="AF1660" i="20"/>
  <c r="AG1660" i="20" s="1"/>
  <c r="AE1887" i="20"/>
  <c r="AE4250" i="20"/>
  <c r="AF4250" i="20"/>
  <c r="AG4250" i="20" s="1"/>
  <c r="AE1476" i="20"/>
  <c r="AF1476" i="20"/>
  <c r="AG1476" i="20" s="1"/>
  <c r="K4126" i="24"/>
  <c r="K4127" i="24"/>
  <c r="K4128" i="24"/>
  <c r="K4129" i="24"/>
  <c r="K4130" i="24"/>
  <c r="K4131" i="24"/>
  <c r="K4132" i="24"/>
  <c r="K4133" i="24"/>
  <c r="K4140" i="24"/>
  <c r="V4387" i="20"/>
  <c r="P1745" i="20"/>
  <c r="Q4390" i="20"/>
  <c r="V3493" i="20"/>
  <c r="N4734" i="20"/>
  <c r="N4395" i="20"/>
  <c r="O3184" i="20"/>
  <c r="N3184" i="20"/>
  <c r="O4032" i="20"/>
  <c r="N4032" i="20"/>
  <c r="U1537" i="20"/>
  <c r="AC4720" i="20" l="1"/>
  <c r="AD4720" i="20"/>
  <c r="AD4729" i="20"/>
  <c r="AC4729" i="20"/>
  <c r="O4395" i="20"/>
  <c r="AC4395" i="20"/>
  <c r="AD4395" i="20"/>
  <c r="AD3968" i="20"/>
  <c r="AC3968" i="20"/>
  <c r="AC1745" i="20"/>
  <c r="AD1745" i="20"/>
  <c r="AC3977" i="20"/>
  <c r="AF3977" i="20" s="1"/>
  <c r="AG3977" i="20" s="1"/>
  <c r="AD3977" i="20"/>
  <c r="AC2868" i="20"/>
  <c r="AF2868" i="20" s="1"/>
  <c r="AG2868" i="20" s="1"/>
  <c r="AD2868" i="20"/>
  <c r="AC3493" i="20"/>
  <c r="AF3493" i="20" s="1"/>
  <c r="AG3493" i="20" s="1"/>
  <c r="AD3493" i="20"/>
  <c r="AC4390" i="20"/>
  <c r="AD4390" i="20"/>
  <c r="O4387" i="20"/>
  <c r="AD4387" i="20"/>
  <c r="AC4387" i="20"/>
  <c r="AC1537" i="20"/>
  <c r="AD1537" i="20"/>
  <c r="AC4248" i="20"/>
  <c r="AF4248" i="20" s="1"/>
  <c r="AG4248" i="20" s="1"/>
  <c r="AD4248" i="20"/>
  <c r="O4734" i="20"/>
  <c r="O713" i="20"/>
  <c r="N713" i="20"/>
  <c r="AE3977" i="20" l="1"/>
  <c r="AE4248" i="20"/>
  <c r="AE2868" i="20"/>
  <c r="AF4729" i="20"/>
  <c r="AG4729" i="20" s="1"/>
  <c r="AE4729" i="20"/>
  <c r="AF3968" i="20"/>
  <c r="AG3968" i="20" s="1"/>
  <c r="AE3968" i="20"/>
  <c r="AF4395" i="20"/>
  <c r="AG4395" i="20" s="1"/>
  <c r="AE4395" i="20"/>
  <c r="AF1745" i="20"/>
  <c r="AG1745" i="20" s="1"/>
  <c r="AE1745" i="20"/>
  <c r="AF1537" i="20"/>
  <c r="AG1537" i="20" s="1"/>
  <c r="AE1537" i="20"/>
  <c r="AF4387" i="20"/>
  <c r="AG4387" i="20" s="1"/>
  <c r="AE4387" i="20"/>
  <c r="AF4390" i="20"/>
  <c r="AG4390" i="20" s="1"/>
  <c r="AE4390" i="20"/>
  <c r="AE3493" i="20"/>
  <c r="AF4720" i="20"/>
  <c r="AG4720" i="20" s="1"/>
  <c r="AE4720" i="20"/>
  <c r="O3452" i="20"/>
  <c r="J4119" i="24"/>
  <c r="N3452" i="20"/>
  <c r="J4115" i="24"/>
  <c r="V2905" i="20"/>
  <c r="AD4125" i="20" l="1"/>
  <c r="AC4125" i="20"/>
  <c r="AC1972" i="20"/>
  <c r="AF1972" i="20" s="1"/>
  <c r="AG1972" i="20" s="1"/>
  <c r="AD1972" i="20"/>
  <c r="AD2514" i="20"/>
  <c r="AC2514" i="20"/>
  <c r="AC2905" i="20"/>
  <c r="AD2905" i="20"/>
  <c r="O1960" i="20"/>
  <c r="N4771" i="20"/>
  <c r="N1960" i="20"/>
  <c r="AE1972" i="20" l="1"/>
  <c r="AF2905" i="20"/>
  <c r="AG2905" i="20" s="1"/>
  <c r="AE2905" i="20"/>
  <c r="AF2514" i="20"/>
  <c r="AG2514" i="20" s="1"/>
  <c r="AE2514" i="20"/>
  <c r="AF4125" i="20"/>
  <c r="AG4125" i="20" s="1"/>
  <c r="AE4125" i="20"/>
  <c r="O4771" i="20"/>
  <c r="U4670" i="20"/>
  <c r="O4057" i="20"/>
  <c r="N4057" i="20"/>
  <c r="O4149" i="20"/>
  <c r="N4149" i="20"/>
  <c r="O3587" i="20"/>
  <c r="N3587" i="20"/>
  <c r="O1974" i="20"/>
  <c r="O3978" i="20"/>
  <c r="N1974" i="20"/>
  <c r="U4207" i="20"/>
  <c r="N778" i="20"/>
  <c r="N3978" i="20"/>
  <c r="U2759" i="20"/>
  <c r="O4390" i="20"/>
  <c r="J4112" i="24"/>
  <c r="N4390" i="20"/>
  <c r="J4116" i="24"/>
  <c r="P1155" i="20"/>
  <c r="AD1155" i="20" l="1"/>
  <c r="AC1155" i="20"/>
  <c r="AD2759" i="20"/>
  <c r="AC2759" i="20"/>
  <c r="AD4207" i="20"/>
  <c r="AC4207" i="20"/>
  <c r="AC4692" i="20"/>
  <c r="AD4692" i="20"/>
  <c r="AD740" i="20"/>
  <c r="AC740" i="20"/>
  <c r="AD2583" i="20"/>
  <c r="AC2583" i="20"/>
  <c r="AD4670" i="20"/>
  <c r="AC4670" i="20"/>
  <c r="AC1328" i="20"/>
  <c r="AD1328" i="20"/>
  <c r="AC4529" i="20"/>
  <c r="AD4529" i="20"/>
  <c r="O778" i="20"/>
  <c r="P1757" i="20"/>
  <c r="K4115" i="24"/>
  <c r="K4116" i="24"/>
  <c r="K4117" i="24"/>
  <c r="K4118" i="24"/>
  <c r="K4119" i="24"/>
  <c r="K4120" i="24"/>
  <c r="K4121" i="24"/>
  <c r="K4122" i="24"/>
  <c r="K4123" i="24"/>
  <c r="K4124" i="24"/>
  <c r="K4125" i="24"/>
  <c r="AE2583" i="20" l="1"/>
  <c r="AF2583" i="20"/>
  <c r="AG2583" i="20" s="1"/>
  <c r="AF4670" i="20"/>
  <c r="AG4670" i="20" s="1"/>
  <c r="AE4670" i="20"/>
  <c r="AF740" i="20"/>
  <c r="AG740" i="20" s="1"/>
  <c r="AE740" i="20"/>
  <c r="AE4692" i="20"/>
  <c r="AF4692" i="20"/>
  <c r="AG4692" i="20" s="1"/>
  <c r="AE4207" i="20"/>
  <c r="AF4207" i="20"/>
  <c r="AG4207" i="20" s="1"/>
  <c r="AE1328" i="20"/>
  <c r="AF1328" i="20"/>
  <c r="AG1328" i="20" s="1"/>
  <c r="AD1757" i="20"/>
  <c r="AC1757" i="20"/>
  <c r="AE1155" i="20"/>
  <c r="AF1155" i="20"/>
  <c r="AG1155" i="20" s="1"/>
  <c r="AF2759" i="20"/>
  <c r="AG2759" i="20" s="1"/>
  <c r="AE2759" i="20"/>
  <c r="AF4529" i="20"/>
  <c r="AG4529" i="20" s="1"/>
  <c r="AE4529" i="20"/>
  <c r="P574" i="20"/>
  <c r="N1968" i="20"/>
  <c r="J4113" i="24"/>
  <c r="O1968" i="20"/>
  <c r="AD574" i="20" l="1"/>
  <c r="AC574" i="20"/>
  <c r="AF1757" i="20"/>
  <c r="AG1757" i="20" s="1"/>
  <c r="AE1757" i="20"/>
  <c r="Q4389" i="20"/>
  <c r="O1155" i="20"/>
  <c r="N1155" i="20"/>
  <c r="N4389" i="20"/>
  <c r="AC3771" i="20" l="1"/>
  <c r="AF3771" i="20" s="1"/>
  <c r="AG3771" i="20" s="1"/>
  <c r="AD3771" i="20"/>
  <c r="O4389" i="20"/>
  <c r="AD4389" i="20"/>
  <c r="AC4389" i="20"/>
  <c r="AF4389" i="20" s="1"/>
  <c r="AG4389" i="20" s="1"/>
  <c r="AE574" i="20"/>
  <c r="AF574" i="20"/>
  <c r="AG574" i="20" s="1"/>
  <c r="J4110" i="24"/>
  <c r="AE3771" i="20" l="1"/>
  <c r="AE4389" i="20"/>
  <c r="O4388" i="20"/>
  <c r="N4388" i="20"/>
  <c r="R4596" i="20"/>
  <c r="O4380" i="20"/>
  <c r="N4380" i="20"/>
  <c r="AC4596" i="20" l="1"/>
  <c r="AD4596" i="20"/>
  <c r="Q4697" i="20"/>
  <c r="AE4596" i="20" l="1"/>
  <c r="AF4596" i="20"/>
  <c r="AG4596" i="20" s="1"/>
  <c r="AD4697" i="20"/>
  <c r="AC4697" i="20"/>
  <c r="J4107" i="24"/>
  <c r="J4105" i="24"/>
  <c r="O3993" i="20"/>
  <c r="N3993" i="20"/>
  <c r="O4364" i="20"/>
  <c r="N4364" i="20"/>
  <c r="O4278" i="20"/>
  <c r="N4278" i="20"/>
  <c r="K4108" i="24"/>
  <c r="K4109" i="24"/>
  <c r="K4110" i="24"/>
  <c r="K4111" i="24"/>
  <c r="K4112" i="24"/>
  <c r="K4113" i="24"/>
  <c r="O4081" i="20"/>
  <c r="N4081" i="20"/>
  <c r="N4082" i="20"/>
  <c r="O4082" i="20"/>
  <c r="O3284" i="20"/>
  <c r="N3284" i="20"/>
  <c r="J4101" i="24"/>
  <c r="J4104" i="24"/>
  <c r="V3962" i="20"/>
  <c r="U3712" i="20"/>
  <c r="AC3712" i="20" l="1"/>
  <c r="AD3712" i="20"/>
  <c r="AC3544" i="20"/>
  <c r="AD3544" i="20"/>
  <c r="AC3962" i="20"/>
  <c r="AD3962" i="20"/>
  <c r="AF4697" i="20"/>
  <c r="AG4697" i="20" s="1"/>
  <c r="AE4697" i="20"/>
  <c r="J4103" i="24"/>
  <c r="N1945" i="20"/>
  <c r="AC853" i="20" l="1"/>
  <c r="AD853" i="20"/>
  <c r="AF3962" i="20"/>
  <c r="AG3962" i="20" s="1"/>
  <c r="AE3962" i="20"/>
  <c r="AF3544" i="20"/>
  <c r="AG3544" i="20" s="1"/>
  <c r="AE3544" i="20"/>
  <c r="AE3712" i="20"/>
  <c r="AF3712" i="20"/>
  <c r="AG3712" i="20" s="1"/>
  <c r="O1945" i="20"/>
  <c r="O2867" i="20"/>
  <c r="N2867" i="20"/>
  <c r="U3911" i="20"/>
  <c r="AC3911" i="20" l="1"/>
  <c r="AD3911" i="20"/>
  <c r="AC4047" i="20"/>
  <c r="AD4047" i="20"/>
  <c r="AC3957" i="20"/>
  <c r="AF3957" i="20" s="1"/>
  <c r="AG3957" i="20" s="1"/>
  <c r="AD3957" i="20"/>
  <c r="AE853" i="20"/>
  <c r="AF853" i="20"/>
  <c r="AG853" i="20" s="1"/>
  <c r="O3181" i="20"/>
  <c r="N3181" i="20"/>
  <c r="N4603" i="20"/>
  <c r="U2769" i="20"/>
  <c r="P1938" i="20"/>
  <c r="N20" i="20"/>
  <c r="O4251" i="20"/>
  <c r="R4100" i="20"/>
  <c r="V4343" i="20"/>
  <c r="N4251" i="20"/>
  <c r="P1099" i="20"/>
  <c r="P1633" i="20"/>
  <c r="J4099" i="24"/>
  <c r="O4015" i="20"/>
  <c r="N4015" i="20"/>
  <c r="O3586" i="20"/>
  <c r="N3586" i="20"/>
  <c r="O4733" i="20"/>
  <c r="J4040" i="24"/>
  <c r="Q3345" i="20"/>
  <c r="N1573" i="20"/>
  <c r="O4365" i="20"/>
  <c r="N4365" i="20"/>
  <c r="O4280" i="20"/>
  <c r="N4280" i="20"/>
  <c r="V4361" i="20"/>
  <c r="P4213" i="20"/>
  <c r="N4733" i="20"/>
  <c r="O1737" i="20"/>
  <c r="N1737" i="20"/>
  <c r="O1735" i="20"/>
  <c r="N1735" i="20"/>
  <c r="AE3957" i="20" l="1"/>
  <c r="AC4213" i="20"/>
  <c r="AD4213" i="20"/>
  <c r="AC1099" i="20"/>
  <c r="AD1099" i="20"/>
  <c r="AD2769" i="20"/>
  <c r="AC2769" i="20"/>
  <c r="AC4023" i="20"/>
  <c r="AD4023" i="20"/>
  <c r="AC4343" i="20"/>
  <c r="AF4343" i="20" s="1"/>
  <c r="AG4343" i="20" s="1"/>
  <c r="AD4343" i="20"/>
  <c r="AF4047" i="20"/>
  <c r="AG4047" i="20" s="1"/>
  <c r="AE4047" i="20"/>
  <c r="AC530" i="20"/>
  <c r="AD530" i="20"/>
  <c r="AD1633" i="20"/>
  <c r="AC1633" i="20"/>
  <c r="AC1942" i="20"/>
  <c r="AD1942" i="20"/>
  <c r="AC1763" i="20"/>
  <c r="AD1763" i="20"/>
  <c r="AC4100" i="20"/>
  <c r="AF4100" i="20" s="1"/>
  <c r="AG4100" i="20" s="1"/>
  <c r="AD4100" i="20"/>
  <c r="AD1938" i="20"/>
  <c r="AC1938" i="20"/>
  <c r="AD4361" i="20"/>
  <c r="AC4361" i="20"/>
  <c r="AD1407" i="20"/>
  <c r="AC1407" i="20"/>
  <c r="AD3345" i="20"/>
  <c r="AC3345" i="20"/>
  <c r="AD4234" i="20"/>
  <c r="AC4234" i="20"/>
  <c r="AE3911" i="20"/>
  <c r="AF3911" i="20"/>
  <c r="AG3911" i="20" s="1"/>
  <c r="O4603" i="20"/>
  <c r="O1573" i="20"/>
  <c r="O4630" i="20"/>
  <c r="P1399" i="20"/>
  <c r="J4074" i="24"/>
  <c r="O1099" i="20"/>
  <c r="N1099" i="20"/>
  <c r="O4631" i="20"/>
  <c r="N4631" i="20"/>
  <c r="N4630" i="20"/>
  <c r="Q4379" i="20"/>
  <c r="N1399" i="20"/>
  <c r="J4096" i="24"/>
  <c r="J4097" i="24"/>
  <c r="N4379" i="20"/>
  <c r="AE4100" i="20" l="1"/>
  <c r="AE4343" i="20"/>
  <c r="AE4234" i="20"/>
  <c r="AF4234" i="20"/>
  <c r="AG4234" i="20" s="1"/>
  <c r="AF530" i="20"/>
  <c r="AG530" i="20" s="1"/>
  <c r="AE530" i="20"/>
  <c r="AC4785" i="20"/>
  <c r="AD4785" i="20"/>
  <c r="AC4156" i="20"/>
  <c r="AD4156" i="20"/>
  <c r="AF1763" i="20"/>
  <c r="AG1763" i="20" s="1"/>
  <c r="AE1763" i="20"/>
  <c r="AF1099" i="20"/>
  <c r="AG1099" i="20" s="1"/>
  <c r="AE1099" i="20"/>
  <c r="AE1633" i="20"/>
  <c r="AF1633" i="20"/>
  <c r="AG1633" i="20" s="1"/>
  <c r="AE3345" i="20"/>
  <c r="AF3345" i="20"/>
  <c r="AG3345" i="20" s="1"/>
  <c r="AF1407" i="20"/>
  <c r="AG1407" i="20" s="1"/>
  <c r="AE1407" i="20"/>
  <c r="AF1938" i="20"/>
  <c r="AG1938" i="20" s="1"/>
  <c r="AE1938" i="20"/>
  <c r="AE2769" i="20"/>
  <c r="AF2769" i="20"/>
  <c r="AG2769" i="20" s="1"/>
  <c r="O4379" i="20"/>
  <c r="AD4379" i="20"/>
  <c r="AC4379" i="20"/>
  <c r="AF4361" i="20"/>
  <c r="AG4361" i="20" s="1"/>
  <c r="AE4361" i="20"/>
  <c r="O1399" i="20"/>
  <c r="AC1399" i="20"/>
  <c r="AD1399" i="20"/>
  <c r="AF4023" i="20"/>
  <c r="AG4023" i="20" s="1"/>
  <c r="AE4023" i="20"/>
  <c r="AC4726" i="20"/>
  <c r="AF4726" i="20" s="1"/>
  <c r="AG4726" i="20" s="1"/>
  <c r="AD4726" i="20"/>
  <c r="AF1942" i="20"/>
  <c r="AG1942" i="20" s="1"/>
  <c r="AE1942" i="20"/>
  <c r="AF4213" i="20"/>
  <c r="AG4213" i="20" s="1"/>
  <c r="AE4213" i="20"/>
  <c r="P1849" i="20"/>
  <c r="O1958" i="20"/>
  <c r="N1958" i="20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14" i="24"/>
  <c r="AE4726" i="20" l="1"/>
  <c r="AC1931" i="20"/>
  <c r="AD1931" i="20"/>
  <c r="AF1399" i="20"/>
  <c r="AG1399" i="20" s="1"/>
  <c r="AE1399" i="20"/>
  <c r="AF4379" i="20"/>
  <c r="AG4379" i="20" s="1"/>
  <c r="AE4379" i="20"/>
  <c r="AF4156" i="20"/>
  <c r="AG4156" i="20" s="1"/>
  <c r="AE4156" i="20"/>
  <c r="AC4239" i="20"/>
  <c r="AD4239" i="20"/>
  <c r="AC3041" i="20"/>
  <c r="AF3041" i="20" s="1"/>
  <c r="AG3041" i="20" s="1"/>
  <c r="AD3041" i="20"/>
  <c r="AE4785" i="20"/>
  <c r="AF4785" i="20"/>
  <c r="AG4785" i="20" s="1"/>
  <c r="AC1849" i="20"/>
  <c r="AD1849" i="20"/>
  <c r="U3023" i="20"/>
  <c r="AF1849" i="20" l="1"/>
  <c r="AG1849" i="20" s="1"/>
  <c r="AE1849" i="20"/>
  <c r="AE3041" i="20"/>
  <c r="AF4239" i="20"/>
  <c r="AG4239" i="20" s="1"/>
  <c r="AE4239" i="20"/>
  <c r="AC3023" i="20"/>
  <c r="AD3023" i="20"/>
  <c r="AE1931" i="20"/>
  <c r="AF1931" i="20"/>
  <c r="AG1931" i="20" s="1"/>
  <c r="O4376" i="20"/>
  <c r="Q4285" i="20"/>
  <c r="N4366" i="20"/>
  <c r="N4378" i="20"/>
  <c r="O4378" i="20"/>
  <c r="N4376" i="20"/>
  <c r="J4094" i="24"/>
  <c r="O4360" i="20"/>
  <c r="N4360" i="20"/>
  <c r="N173" i="20"/>
  <c r="O4377" i="20"/>
  <c r="N4377" i="20"/>
  <c r="J4093" i="24"/>
  <c r="O4006" i="20"/>
  <c r="U3767" i="20"/>
  <c r="P1314" i="20"/>
  <c r="P1753" i="20"/>
  <c r="N1938" i="20"/>
  <c r="O1938" i="20"/>
  <c r="J4087" i="24"/>
  <c r="N4006" i="20"/>
  <c r="N1691" i="20"/>
  <c r="J4091" i="24"/>
  <c r="P4681" i="20"/>
  <c r="P4687" i="20"/>
  <c r="Q3873" i="20"/>
  <c r="Q1779" i="20"/>
  <c r="AC4285" i="20" l="1"/>
  <c r="AD4285" i="20"/>
  <c r="AC1753" i="20"/>
  <c r="AD1753" i="20"/>
  <c r="O173" i="20"/>
  <c r="AC173" i="20"/>
  <c r="AD173" i="20"/>
  <c r="AC1779" i="20"/>
  <c r="AD1779" i="20"/>
  <c r="AD3873" i="20"/>
  <c r="AC3873" i="20"/>
  <c r="AF3873" i="20" s="1"/>
  <c r="AG3873" i="20" s="1"/>
  <c r="AE3023" i="20"/>
  <c r="AF3023" i="20"/>
  <c r="AG3023" i="20" s="1"/>
  <c r="AD4681" i="20"/>
  <c r="AC4681" i="20"/>
  <c r="AC1314" i="20"/>
  <c r="AF1314" i="20" s="1"/>
  <c r="AG1314" i="20" s="1"/>
  <c r="AD1314" i="20"/>
  <c r="AC3805" i="20"/>
  <c r="AF3805" i="20" s="1"/>
  <c r="AG3805" i="20" s="1"/>
  <c r="AD3805" i="20"/>
  <c r="AC3017" i="20"/>
  <c r="AF3017" i="20" s="1"/>
  <c r="AG3017" i="20" s="1"/>
  <c r="AD3017" i="20"/>
  <c r="AC3767" i="20"/>
  <c r="AD3767" i="20"/>
  <c r="AD4242" i="20"/>
  <c r="AC4242" i="20"/>
  <c r="O1691" i="20"/>
  <c r="O4362" i="20"/>
  <c r="N4362" i="20"/>
  <c r="Q4338" i="20"/>
  <c r="V3522" i="20"/>
  <c r="U781" i="20"/>
  <c r="J4089" i="24"/>
  <c r="O1753" i="20"/>
  <c r="N1753" i="20"/>
  <c r="AE3017" i="20" l="1"/>
  <c r="AE3805" i="20"/>
  <c r="AE1314" i="20"/>
  <c r="AE3873" i="20"/>
  <c r="AF1779" i="20"/>
  <c r="AG1779" i="20" s="1"/>
  <c r="AE1779" i="20"/>
  <c r="AF173" i="20"/>
  <c r="AG173" i="20" s="1"/>
  <c r="AE173" i="20"/>
  <c r="AF1753" i="20"/>
  <c r="AG1753" i="20" s="1"/>
  <c r="AE1753" i="20"/>
  <c r="AE3767" i="20"/>
  <c r="AF3767" i="20"/>
  <c r="AG3767" i="20" s="1"/>
  <c r="AC3522" i="20"/>
  <c r="AD3522" i="20"/>
  <c r="AC4338" i="20"/>
  <c r="AD4338" i="20"/>
  <c r="AE4242" i="20"/>
  <c r="AF4242" i="20"/>
  <c r="AG4242" i="20" s="1"/>
  <c r="AC781" i="20"/>
  <c r="AD781" i="20"/>
  <c r="AF4681" i="20"/>
  <c r="AG4681" i="20" s="1"/>
  <c r="AE4681" i="20"/>
  <c r="AF4285" i="20"/>
  <c r="AG4285" i="20" s="1"/>
  <c r="AE4285" i="20"/>
  <c r="V4359" i="20"/>
  <c r="K4091" i="24"/>
  <c r="K4092" i="24"/>
  <c r="K4093" i="24"/>
  <c r="K4094" i="24"/>
  <c r="K4095" i="24"/>
  <c r="Q4140" i="20"/>
  <c r="N4338" i="20"/>
  <c r="R4654" i="20"/>
  <c r="O1407" i="20"/>
  <c r="N1407" i="20"/>
  <c r="AF4338" i="20" l="1"/>
  <c r="AG4338" i="20" s="1"/>
  <c r="AE4338" i="20"/>
  <c r="AF3522" i="20"/>
  <c r="AG3522" i="20" s="1"/>
  <c r="AE3522" i="20"/>
  <c r="AD1678" i="20"/>
  <c r="AC1678" i="20"/>
  <c r="AF1678" i="20" s="1"/>
  <c r="AG1678" i="20" s="1"/>
  <c r="AC4654" i="20"/>
  <c r="AD4654" i="20"/>
  <c r="AD4140" i="20"/>
  <c r="AC4140" i="20"/>
  <c r="AC4359" i="20"/>
  <c r="AD4359" i="20"/>
  <c r="AC1625" i="20"/>
  <c r="AD1625" i="20"/>
  <c r="AD3518" i="20"/>
  <c r="AC3518" i="20"/>
  <c r="AE781" i="20"/>
  <c r="AF781" i="20"/>
  <c r="AG781" i="20" s="1"/>
  <c r="J4084" i="24"/>
  <c r="J4085" i="24"/>
  <c r="J4066" i="24"/>
  <c r="J4080" i="24"/>
  <c r="U1898" i="20"/>
  <c r="N3185" i="20"/>
  <c r="AF1625" i="20" l="1"/>
  <c r="AG1625" i="20" s="1"/>
  <c r="AE1625" i="20"/>
  <c r="AF4359" i="20"/>
  <c r="AG4359" i="20" s="1"/>
  <c r="AE4359" i="20"/>
  <c r="AC1898" i="20"/>
  <c r="AD1898" i="20"/>
  <c r="AE1678" i="20"/>
  <c r="AF3518" i="20"/>
  <c r="AG3518" i="20" s="1"/>
  <c r="AE3518" i="20"/>
  <c r="AE4654" i="20"/>
  <c r="AF4654" i="20"/>
  <c r="AG4654" i="20" s="1"/>
  <c r="AF4140" i="20"/>
  <c r="AG4140" i="20" s="1"/>
  <c r="AE4140" i="20"/>
  <c r="O3185" i="20"/>
  <c r="U1402" i="20"/>
  <c r="O2762" i="20"/>
  <c r="N2762" i="20"/>
  <c r="T2725" i="20"/>
  <c r="AC1402" i="20" l="1"/>
  <c r="AF1402" i="20" s="1"/>
  <c r="AG1402" i="20" s="1"/>
  <c r="AD1402" i="20"/>
  <c r="AD2725" i="20"/>
  <c r="AC2725" i="20"/>
  <c r="AF1898" i="20"/>
  <c r="AG1898" i="20" s="1"/>
  <c r="AE1898" i="20"/>
  <c r="N4344" i="20"/>
  <c r="U1708" i="20"/>
  <c r="K4084" i="24"/>
  <c r="K4085" i="24"/>
  <c r="K4086" i="24"/>
  <c r="K4087" i="24"/>
  <c r="K4088" i="24"/>
  <c r="K4089" i="24"/>
  <c r="K4090" i="24"/>
  <c r="AE1402" i="20" l="1"/>
  <c r="AC1708" i="20"/>
  <c r="AD1708" i="20"/>
  <c r="AE2725" i="20"/>
  <c r="AF2725" i="20"/>
  <c r="AG2725" i="20" s="1"/>
  <c r="J4082" i="24"/>
  <c r="J4079" i="24"/>
  <c r="AC4341" i="20" l="1"/>
  <c r="AD4341" i="20"/>
  <c r="AD2012" i="20"/>
  <c r="AC2012" i="20"/>
  <c r="AC962" i="20"/>
  <c r="AD962" i="20"/>
  <c r="AE1708" i="20"/>
  <c r="AF1708" i="20"/>
  <c r="AG1708" i="20" s="1"/>
  <c r="P1866" i="20"/>
  <c r="K4078" i="24"/>
  <c r="K4079" i="24"/>
  <c r="K4080" i="24"/>
  <c r="K4081" i="24"/>
  <c r="K4082" i="24"/>
  <c r="K4083" i="24"/>
  <c r="N4373" i="20"/>
  <c r="AC1866" i="20" l="1"/>
  <c r="AD1866" i="20"/>
  <c r="AF962" i="20"/>
  <c r="AG962" i="20" s="1"/>
  <c r="AE962" i="20"/>
  <c r="AE2012" i="20"/>
  <c r="AF2012" i="20"/>
  <c r="AG2012" i="20" s="1"/>
  <c r="AE4341" i="20"/>
  <c r="AF4341" i="20"/>
  <c r="AG4341" i="20" s="1"/>
  <c r="U4721" i="20"/>
  <c r="J4077" i="24"/>
  <c r="Q3892" i="20"/>
  <c r="U4374" i="20"/>
  <c r="O4373" i="20" l="1"/>
  <c r="AC4374" i="20"/>
  <c r="AD4374" i="20"/>
  <c r="AD4721" i="20"/>
  <c r="AC4721" i="20"/>
  <c r="AC4705" i="20"/>
  <c r="AD4705" i="20"/>
  <c r="AC3892" i="20"/>
  <c r="AD3892" i="20"/>
  <c r="AE1866" i="20"/>
  <c r="AF1866" i="20"/>
  <c r="AG1866" i="20" s="1"/>
  <c r="U4356" i="20"/>
  <c r="AC4356" i="20" l="1"/>
  <c r="AF4356" i="20" s="1"/>
  <c r="AG4356" i="20" s="1"/>
  <c r="AD4356" i="20"/>
  <c r="AF3892" i="20"/>
  <c r="AG3892" i="20" s="1"/>
  <c r="AE3892" i="20"/>
  <c r="AF4705" i="20"/>
  <c r="AG4705" i="20" s="1"/>
  <c r="AE4705" i="20"/>
  <c r="AF4721" i="20"/>
  <c r="AG4721" i="20" s="1"/>
  <c r="AE4721" i="20"/>
  <c r="AE4374" i="20"/>
  <c r="AF4374" i="20"/>
  <c r="AG4374" i="20" s="1"/>
  <c r="O1875" i="20"/>
  <c r="N1875" i="20"/>
  <c r="Q4244" i="20"/>
  <c r="AE4356" i="20" l="1"/>
  <c r="AC4244" i="20"/>
  <c r="AF4244" i="20" s="1"/>
  <c r="AG4244" i="20" s="1"/>
  <c r="AD4244" i="20"/>
  <c r="O4372" i="20"/>
  <c r="N4372" i="20"/>
  <c r="O4374" i="20"/>
  <c r="N4374" i="20"/>
  <c r="AE4244" i="20" l="1"/>
  <c r="Q1631" i="20"/>
  <c r="AC1631" i="20" l="1"/>
  <c r="AD1631" i="20"/>
  <c r="P421" i="20"/>
  <c r="O2130" i="20"/>
  <c r="N2130" i="20"/>
  <c r="N1159" i="20"/>
  <c r="AC421" i="20" l="1"/>
  <c r="AD421" i="20"/>
  <c r="AF1631" i="20"/>
  <c r="AG1631" i="20" s="1"/>
  <c r="AE1631" i="20"/>
  <c r="O1159" i="20"/>
  <c r="O4369" i="20"/>
  <c r="U4368" i="20"/>
  <c r="U4367" i="20"/>
  <c r="J4070" i="24"/>
  <c r="K4073" i="24"/>
  <c r="K4074" i="24"/>
  <c r="K4075" i="24"/>
  <c r="K4076" i="24"/>
  <c r="K4077" i="24"/>
  <c r="N4368" i="20"/>
  <c r="N4367" i="20"/>
  <c r="U1953" i="20"/>
  <c r="N4369" i="20"/>
  <c r="N4132" i="20"/>
  <c r="O4368" i="20" l="1"/>
  <c r="AC4368" i="20"/>
  <c r="AF4368" i="20" s="1"/>
  <c r="AG4368" i="20" s="1"/>
  <c r="AD4368" i="20"/>
  <c r="AC1953" i="20"/>
  <c r="AD1953" i="20"/>
  <c r="AD4367" i="20"/>
  <c r="AC4367" i="20"/>
  <c r="AE421" i="20"/>
  <c r="AF421" i="20"/>
  <c r="AG421" i="20" s="1"/>
  <c r="O4367" i="20"/>
  <c r="O4366" i="20"/>
  <c r="O4132" i="20"/>
  <c r="AE4368" i="20" l="1"/>
  <c r="AF4367" i="20"/>
  <c r="AG4367" i="20" s="1"/>
  <c r="AE4367" i="20"/>
  <c r="AE1953" i="20"/>
  <c r="AF1953" i="20"/>
  <c r="AG1953" i="20" s="1"/>
  <c r="R3244" i="20"/>
  <c r="U4333" i="20"/>
  <c r="U4334" i="20"/>
  <c r="U4335" i="20"/>
  <c r="O3761" i="20"/>
  <c r="N3761" i="20"/>
  <c r="AC4334" i="20" l="1"/>
  <c r="AD4334" i="20"/>
  <c r="AD4336" i="20"/>
  <c r="AC4336" i="20"/>
  <c r="AC4335" i="20"/>
  <c r="AF4335" i="20" s="1"/>
  <c r="AG4335" i="20" s="1"/>
  <c r="AD4335" i="20"/>
  <c r="AD4333" i="20"/>
  <c r="AC4333" i="20"/>
  <c r="AD3244" i="20"/>
  <c r="AC3244" i="20"/>
  <c r="O4358" i="20"/>
  <c r="N4334" i="20"/>
  <c r="N4333" i="20"/>
  <c r="V4123" i="20"/>
  <c r="N4358" i="20"/>
  <c r="AE4335" i="20" l="1"/>
  <c r="AC4123" i="20"/>
  <c r="AD4123" i="20"/>
  <c r="AF3244" i="20"/>
  <c r="AG3244" i="20" s="1"/>
  <c r="AE3244" i="20"/>
  <c r="AE4333" i="20"/>
  <c r="AF4333" i="20"/>
  <c r="AG4333" i="20" s="1"/>
  <c r="AF4336" i="20"/>
  <c r="AG4336" i="20" s="1"/>
  <c r="AE4336" i="20"/>
  <c r="AF4334" i="20"/>
  <c r="AG4334" i="20" s="1"/>
  <c r="AE4334" i="20"/>
  <c r="O4333" i="20"/>
  <c r="O4334" i="20"/>
  <c r="J4065" i="24"/>
  <c r="AF4123" i="20" l="1"/>
  <c r="AG4123" i="20" s="1"/>
  <c r="AE4123" i="20"/>
  <c r="AC4864" i="20"/>
  <c r="AF4864" i="20" s="1"/>
  <c r="AG4864" i="20" s="1"/>
  <c r="AD4864" i="20"/>
  <c r="AC4865" i="20"/>
  <c r="AD4865" i="20"/>
  <c r="AC4866" i="20"/>
  <c r="AF4866" i="20" s="1"/>
  <c r="AG4866" i="20" s="1"/>
  <c r="AD4866" i="20"/>
  <c r="AC4867" i="20"/>
  <c r="AD4867" i="20"/>
  <c r="AC4871" i="20"/>
  <c r="AF4871" i="20" s="1"/>
  <c r="AD4871" i="20"/>
  <c r="AC4872" i="20"/>
  <c r="AF4872" i="20" s="1"/>
  <c r="AG4872" i="20" s="1"/>
  <c r="AD4872" i="20"/>
  <c r="AC4873" i="20"/>
  <c r="AF4873" i="20" s="1"/>
  <c r="AG4873" i="20" s="1"/>
  <c r="AD4873" i="20"/>
  <c r="AC4874" i="20"/>
  <c r="AD4874" i="20"/>
  <c r="AC4875" i="20"/>
  <c r="AF4875" i="20" s="1"/>
  <c r="AG4875" i="20" s="1"/>
  <c r="AD4875" i="20"/>
  <c r="AC4876" i="20"/>
  <c r="AF4876" i="20" s="1"/>
  <c r="AG4876" i="20" s="1"/>
  <c r="AD4876" i="20"/>
  <c r="AC4877" i="20"/>
  <c r="AF4877" i="20" s="1"/>
  <c r="AG4877" i="20" s="1"/>
  <c r="AD4877" i="20"/>
  <c r="AC4878" i="20"/>
  <c r="AD4878" i="20"/>
  <c r="AC4879" i="20"/>
  <c r="AF4879" i="20" s="1"/>
  <c r="AD4879" i="20"/>
  <c r="AC4880" i="20"/>
  <c r="AF4880" i="20" s="1"/>
  <c r="AG4880" i="20" s="1"/>
  <c r="AD4880" i="20"/>
  <c r="O4371" i="20"/>
  <c r="N4371" i="20"/>
  <c r="J4067" i="24"/>
  <c r="U4349" i="20"/>
  <c r="AC4318" i="20" l="1"/>
  <c r="AD4318" i="20"/>
  <c r="AC4349" i="20"/>
  <c r="AD4349" i="20"/>
  <c r="AE4864" i="20"/>
  <c r="AE4873" i="20"/>
  <c r="AE4874" i="20"/>
  <c r="AE4878" i="20"/>
  <c r="AE4872" i="20"/>
  <c r="AE4865" i="20"/>
  <c r="AE4877" i="20"/>
  <c r="AE4876" i="20"/>
  <c r="AF4874" i="20"/>
  <c r="AG4874" i="20" s="1"/>
  <c r="AE4866" i="20"/>
  <c r="AE4880" i="20"/>
  <c r="AF4878" i="20"/>
  <c r="AG4878" i="20" s="1"/>
  <c r="AF4865" i="20"/>
  <c r="AG4865" i="20" s="1"/>
  <c r="AG4871" i="20"/>
  <c r="AE4871" i="20"/>
  <c r="AE4867" i="20"/>
  <c r="AG4879" i="20"/>
  <c r="AE4879" i="20"/>
  <c r="AE4875" i="20"/>
  <c r="AF4867" i="20"/>
  <c r="AG4867" i="20" s="1"/>
  <c r="J4061" i="24"/>
  <c r="U4308" i="20"/>
  <c r="AC4308" i="20" l="1"/>
  <c r="AD4308" i="20"/>
  <c r="AC1680" i="20"/>
  <c r="AD1680" i="20"/>
  <c r="AE4349" i="20"/>
  <c r="AF4349" i="20"/>
  <c r="AG4349" i="20" s="1"/>
  <c r="AF4318" i="20"/>
  <c r="AG4318" i="20" s="1"/>
  <c r="AE4318" i="20"/>
  <c r="P4685" i="20"/>
  <c r="K4065" i="24"/>
  <c r="K4066" i="24"/>
  <c r="K4067" i="24"/>
  <c r="K4068" i="24"/>
  <c r="K4069" i="24"/>
  <c r="K4070" i="24"/>
  <c r="K4071" i="24"/>
  <c r="K4072" i="24"/>
  <c r="O4349" i="20"/>
  <c r="N4349" i="20"/>
  <c r="J4062" i="24"/>
  <c r="N4265" i="20"/>
  <c r="O4336" i="20"/>
  <c r="N4336" i="20"/>
  <c r="O4335" i="20"/>
  <c r="N4335" i="20"/>
  <c r="N4363" i="20"/>
  <c r="N4113" i="20"/>
  <c r="O740" i="20"/>
  <c r="N740" i="20"/>
  <c r="Q4716" i="20"/>
  <c r="U3829" i="20"/>
  <c r="P948" i="20"/>
  <c r="O1943" i="20"/>
  <c r="N1943" i="20"/>
  <c r="O1952" i="20"/>
  <c r="N1952" i="20"/>
  <c r="O4319" i="20"/>
  <c r="N4319" i="20"/>
  <c r="O4297" i="20"/>
  <c r="N4297" i="20"/>
  <c r="J4057" i="24"/>
  <c r="J4052" i="24"/>
  <c r="Q4583" i="20"/>
  <c r="AD948" i="20" l="1"/>
  <c r="AC948" i="20"/>
  <c r="AC4583" i="20"/>
  <c r="AD4583" i="20"/>
  <c r="AC4716" i="20"/>
  <c r="AD4716" i="20"/>
  <c r="AE1680" i="20"/>
  <c r="AF1680" i="20"/>
  <c r="AG1680" i="20" s="1"/>
  <c r="AD3829" i="20"/>
  <c r="AC3829" i="20"/>
  <c r="AF3829" i="20" s="1"/>
  <c r="AG3829" i="20" s="1"/>
  <c r="AC4685" i="20"/>
  <c r="AD4685" i="20"/>
  <c r="AC1896" i="20"/>
  <c r="AD1896" i="20"/>
  <c r="AF4308" i="20"/>
  <c r="AG4308" i="20" s="1"/>
  <c r="AE4308" i="20"/>
  <c r="O4363" i="20"/>
  <c r="O4265" i="20"/>
  <c r="O4113" i="20"/>
  <c r="AF4685" i="20" l="1"/>
  <c r="AG4685" i="20" s="1"/>
  <c r="AE4685" i="20"/>
  <c r="AE948" i="20"/>
  <c r="AF948" i="20"/>
  <c r="AG948" i="20" s="1"/>
  <c r="AF1896" i="20"/>
  <c r="AG1896" i="20" s="1"/>
  <c r="AE1896" i="20"/>
  <c r="AE3829" i="20"/>
  <c r="AE4716" i="20"/>
  <c r="AF4716" i="20"/>
  <c r="AG4716" i="20" s="1"/>
  <c r="AF4583" i="20"/>
  <c r="AG4583" i="20" s="1"/>
  <c r="AE4583" i="20"/>
  <c r="O4361" i="20"/>
  <c r="N4361" i="20"/>
  <c r="J4056" i="24" l="1"/>
  <c r="J4060" i="24"/>
  <c r="O4685" i="20"/>
  <c r="N4685" i="20"/>
  <c r="R4816" i="20" l="1"/>
  <c r="AC4816" i="20" l="1"/>
  <c r="AD4816" i="20"/>
  <c r="J4058" i="24"/>
  <c r="N4350" i="20"/>
  <c r="AE4816" i="20" l="1"/>
  <c r="AF4816" i="20"/>
  <c r="AG4816" i="20" s="1"/>
  <c r="O4350" i="20"/>
  <c r="K4060" i="24"/>
  <c r="K4061" i="24"/>
  <c r="K4062" i="24"/>
  <c r="K4063" i="24"/>
  <c r="K4064" i="24"/>
  <c r="O1807" i="20"/>
  <c r="N1807" i="20"/>
  <c r="J4049" i="24"/>
  <c r="J4053" i="24"/>
  <c r="V3939" i="20"/>
  <c r="V4299" i="20"/>
  <c r="V4714" i="20"/>
  <c r="V4704" i="20"/>
  <c r="Q4728" i="20"/>
  <c r="N4730" i="20"/>
  <c r="O4359" i="20"/>
  <c r="N4359" i="20"/>
  <c r="AC4299" i="20" l="1"/>
  <c r="AD4299" i="20"/>
  <c r="AC4714" i="20"/>
  <c r="AD4714" i="20"/>
  <c r="AC4704" i="20"/>
  <c r="AD4704" i="20"/>
  <c r="AC3939" i="20"/>
  <c r="AD3939" i="20"/>
  <c r="AD4728" i="20"/>
  <c r="AC4728" i="20"/>
  <c r="O4730" i="20"/>
  <c r="O3585" i="20"/>
  <c r="J4059" i="24"/>
  <c r="P1811" i="20"/>
  <c r="N3585" i="20"/>
  <c r="P405" i="20"/>
  <c r="U4354" i="20"/>
  <c r="T3800" i="20"/>
  <c r="AC1811" i="20" l="1"/>
  <c r="AD1811" i="20"/>
  <c r="AE3939" i="20"/>
  <c r="AF3939" i="20"/>
  <c r="AG3939" i="20" s="1"/>
  <c r="AC405" i="20"/>
  <c r="AD405" i="20"/>
  <c r="AE4728" i="20"/>
  <c r="AF4728" i="20"/>
  <c r="AG4728" i="20" s="1"/>
  <c r="AF4704" i="20"/>
  <c r="AG4704" i="20" s="1"/>
  <c r="AE4704" i="20"/>
  <c r="AF4714" i="20"/>
  <c r="AG4714" i="20" s="1"/>
  <c r="AE4714" i="20"/>
  <c r="AC3800" i="20"/>
  <c r="AD3800" i="20"/>
  <c r="AC4354" i="20"/>
  <c r="AD4354" i="20"/>
  <c r="AF4299" i="20"/>
  <c r="AG4299" i="20" s="1"/>
  <c r="AE4299" i="20"/>
  <c r="J4048" i="24"/>
  <c r="J4039" i="24"/>
  <c r="N4355" i="20"/>
  <c r="O4355" i="20"/>
  <c r="N4356" i="20"/>
  <c r="N4357" i="20"/>
  <c r="N4370" i="20"/>
  <c r="O4354" i="20"/>
  <c r="N4354" i="20"/>
  <c r="O4728" i="20"/>
  <c r="N4728" i="20"/>
  <c r="N4218" i="20"/>
  <c r="O4217" i="20"/>
  <c r="N4217" i="20"/>
  <c r="U4357" i="20"/>
  <c r="K4053" i="24"/>
  <c r="K4054" i="24"/>
  <c r="K4055" i="24"/>
  <c r="K4056" i="24"/>
  <c r="K4057" i="24"/>
  <c r="K4058" i="24"/>
  <c r="K4059" i="24"/>
  <c r="N1572" i="20"/>
  <c r="O3800" i="20"/>
  <c r="N3800" i="20"/>
  <c r="T3208" i="20"/>
  <c r="O4343" i="20"/>
  <c r="N4343" i="20"/>
  <c r="J4050" i="24"/>
  <c r="AF3800" i="20" l="1"/>
  <c r="AG3800" i="20" s="1"/>
  <c r="AE3800" i="20"/>
  <c r="AE405" i="20"/>
  <c r="AF405" i="20"/>
  <c r="AG405" i="20" s="1"/>
  <c r="AE4354" i="20"/>
  <c r="AF4354" i="20"/>
  <c r="AG4354" i="20" s="1"/>
  <c r="AC3208" i="20"/>
  <c r="AD3208" i="20"/>
  <c r="AD1062" i="20"/>
  <c r="AC1062" i="20"/>
  <c r="AC4357" i="20"/>
  <c r="AD4357" i="20"/>
  <c r="AF1811" i="20"/>
  <c r="AG1811" i="20" s="1"/>
  <c r="AE1811" i="20"/>
  <c r="O4356" i="20"/>
  <c r="O4357" i="20"/>
  <c r="O1572" i="20"/>
  <c r="O1953" i="20"/>
  <c r="N1953" i="20"/>
  <c r="AF4357" i="20" l="1"/>
  <c r="AG4357" i="20" s="1"/>
  <c r="AE4357" i="20"/>
  <c r="AF1062" i="20"/>
  <c r="AG1062" i="20" s="1"/>
  <c r="AE1062" i="20"/>
  <c r="AF3208" i="20"/>
  <c r="AG3208" i="20" s="1"/>
  <c r="AE3208" i="20"/>
  <c r="U4317" i="20"/>
  <c r="AC4317" i="20" l="1"/>
  <c r="AD4317" i="20"/>
  <c r="J4041" i="24"/>
  <c r="N1905" i="20"/>
  <c r="O1905" i="20"/>
  <c r="N1906" i="20"/>
  <c r="U3539" i="20"/>
  <c r="R3999" i="20"/>
  <c r="U3643" i="20"/>
  <c r="O1811" i="20"/>
  <c r="N1811" i="20"/>
  <c r="J4042" i="24"/>
  <c r="AC3643" i="20" l="1"/>
  <c r="AD3643" i="20"/>
  <c r="AC3999" i="20"/>
  <c r="AD3999" i="20"/>
  <c r="AC3539" i="20"/>
  <c r="AD3539" i="20"/>
  <c r="AE4317" i="20"/>
  <c r="AF4317" i="20"/>
  <c r="AG4317" i="20" s="1"/>
  <c r="J4046" i="24"/>
  <c r="K4046" i="24" s="1"/>
  <c r="J4045" i="24"/>
  <c r="O4721" i="20"/>
  <c r="N4721" i="20"/>
  <c r="U4346" i="20"/>
  <c r="K4047" i="24"/>
  <c r="K4048" i="24"/>
  <c r="K4049" i="24"/>
  <c r="K4050" i="24"/>
  <c r="K4051" i="24"/>
  <c r="K4052" i="24"/>
  <c r="AD4346" i="20" l="1"/>
  <c r="AC4346" i="20"/>
  <c r="AF3999" i="20"/>
  <c r="AG3999" i="20" s="1"/>
  <c r="AE3999" i="20"/>
  <c r="AE3539" i="20"/>
  <c r="AF3539" i="20"/>
  <c r="AG3539" i="20" s="1"/>
  <c r="AE3643" i="20"/>
  <c r="AF3643" i="20"/>
  <c r="AG3643" i="20" s="1"/>
  <c r="O4250" i="20"/>
  <c r="N4250" i="20"/>
  <c r="Q4236" i="20"/>
  <c r="J4035" i="24"/>
  <c r="N1947" i="20"/>
  <c r="AD4236" i="20" l="1"/>
  <c r="AC4236" i="20"/>
  <c r="AF4236" i="20" s="1"/>
  <c r="AG4236" i="20" s="1"/>
  <c r="AF4346" i="20"/>
  <c r="AG4346" i="20" s="1"/>
  <c r="AE4346" i="20"/>
  <c r="O1947" i="20"/>
  <c r="J4029" i="24"/>
  <c r="J4043" i="24"/>
  <c r="N4346" i="20"/>
  <c r="O4346" i="20"/>
  <c r="N4347" i="20"/>
  <c r="J4038" i="24"/>
  <c r="R3746" i="20"/>
  <c r="J4030" i="24"/>
  <c r="P1961" i="20"/>
  <c r="AA1661" i="20"/>
  <c r="O4313" i="20"/>
  <c r="N4313" i="20"/>
  <c r="R4687" i="20"/>
  <c r="P1889" i="20"/>
  <c r="N4351" i="20"/>
  <c r="AC1961" i="20" l="1"/>
  <c r="AD1961" i="20"/>
  <c r="AC1889" i="20"/>
  <c r="AD1889" i="20"/>
  <c r="AC3746" i="20"/>
  <c r="AF3746" i="20" s="1"/>
  <c r="AG3746" i="20" s="1"/>
  <c r="AD3746" i="20"/>
  <c r="AD1661" i="20"/>
  <c r="AC1661" i="20"/>
  <c r="AC4687" i="20"/>
  <c r="AD4687" i="20"/>
  <c r="AE4236" i="20"/>
  <c r="O4351" i="20"/>
  <c r="Q4087" i="20"/>
  <c r="U1932" i="20"/>
  <c r="AE3746" i="20" l="1"/>
  <c r="AD1932" i="20"/>
  <c r="AC1932" i="20"/>
  <c r="AF1661" i="20"/>
  <c r="AG1661" i="20" s="1"/>
  <c r="AE1661" i="20"/>
  <c r="AC4661" i="20"/>
  <c r="AD4661" i="20"/>
  <c r="AC4087" i="20"/>
  <c r="AD4087" i="20"/>
  <c r="AF4687" i="20"/>
  <c r="AG4687" i="20" s="1"/>
  <c r="AE4687" i="20"/>
  <c r="AE1889" i="20"/>
  <c r="AF1889" i="20"/>
  <c r="AG1889" i="20" s="1"/>
  <c r="AE1961" i="20"/>
  <c r="AF1961" i="20"/>
  <c r="AG1961" i="20" s="1"/>
  <c r="O1961" i="20"/>
  <c r="N1961" i="20"/>
  <c r="AF4087" i="20" l="1"/>
  <c r="AG4087" i="20" s="1"/>
  <c r="AE4087" i="20"/>
  <c r="AF4661" i="20"/>
  <c r="AG4661" i="20" s="1"/>
  <c r="AE4661" i="20"/>
  <c r="AF1932" i="20"/>
  <c r="AG1932" i="20" s="1"/>
  <c r="AE1932" i="20"/>
  <c r="O4341" i="20"/>
  <c r="N4687" i="20"/>
  <c r="J4033" i="24"/>
  <c r="J4034" i="24"/>
  <c r="P1645" i="20"/>
  <c r="K4037" i="24"/>
  <c r="K4038" i="24"/>
  <c r="K4039" i="24"/>
  <c r="K4040" i="24"/>
  <c r="K4041" i="24"/>
  <c r="K4042" i="24"/>
  <c r="K4043" i="24"/>
  <c r="K4044" i="24"/>
  <c r="K4045" i="24"/>
  <c r="N4341" i="20"/>
  <c r="N4729" i="20"/>
  <c r="N4325" i="20"/>
  <c r="O4325" i="20"/>
  <c r="N4326" i="20"/>
  <c r="AD1645" i="20" l="1"/>
  <c r="AC1645" i="20"/>
  <c r="O4729" i="20"/>
  <c r="O4687" i="20"/>
  <c r="J4031" i="24"/>
  <c r="Q2779" i="20"/>
  <c r="J4032" i="24"/>
  <c r="R2705" i="20"/>
  <c r="AC2779" i="20" l="1"/>
  <c r="AF2779" i="20" s="1"/>
  <c r="AG2779" i="20" s="1"/>
  <c r="AD2779" i="20"/>
  <c r="AE1645" i="20"/>
  <c r="AF1645" i="20"/>
  <c r="AG1645" i="20" s="1"/>
  <c r="AC2705" i="20"/>
  <c r="AD2705" i="20"/>
  <c r="N964" i="20"/>
  <c r="AE2779" i="20" l="1"/>
  <c r="AE2705" i="20"/>
  <c r="AF2705" i="20"/>
  <c r="AG2705" i="20" s="1"/>
  <c r="O964" i="20"/>
  <c r="J4026" i="24"/>
  <c r="N3142" i="20"/>
  <c r="AC2671" i="20" l="1"/>
  <c r="AD2671" i="20"/>
  <c r="O3142" i="20"/>
  <c r="Q4262" i="20"/>
  <c r="O4704" i="20"/>
  <c r="N4704" i="20"/>
  <c r="O1937" i="20"/>
  <c r="K4029" i="24"/>
  <c r="K4030" i="24"/>
  <c r="K4031" i="24"/>
  <c r="K4032" i="24"/>
  <c r="K4033" i="24"/>
  <c r="K4034" i="24"/>
  <c r="K4035" i="24"/>
  <c r="K4036" i="24"/>
  <c r="J4027" i="24"/>
  <c r="P1687" i="20"/>
  <c r="N1937" i="20"/>
  <c r="O4727" i="20"/>
  <c r="N4727" i="20"/>
  <c r="J4023" i="24"/>
  <c r="U4348" i="20"/>
  <c r="N3851" i="20"/>
  <c r="J4028" i="24"/>
  <c r="J4024" i="24"/>
  <c r="AD4348" i="20" l="1"/>
  <c r="AC4348" i="20"/>
  <c r="AC4262" i="20"/>
  <c r="AD4262" i="20"/>
  <c r="AD1687" i="20"/>
  <c r="AC1687" i="20"/>
  <c r="AF2671" i="20"/>
  <c r="AG2671" i="20" s="1"/>
  <c r="AE2671" i="20"/>
  <c r="O4347" i="20"/>
  <c r="O3851" i="20"/>
  <c r="N2600" i="20"/>
  <c r="O4348" i="20"/>
  <c r="N4348" i="20"/>
  <c r="J4020" i="24"/>
  <c r="J4021" i="24"/>
  <c r="U4322" i="20"/>
  <c r="U4339" i="20"/>
  <c r="AF1687" i="20" l="1"/>
  <c r="AG1687" i="20" s="1"/>
  <c r="AE1687" i="20"/>
  <c r="AF4262" i="20"/>
  <c r="AG4262" i="20" s="1"/>
  <c r="AE4262" i="20"/>
  <c r="O4338" i="20"/>
  <c r="AC4339" i="20"/>
  <c r="AF4339" i="20" s="1"/>
  <c r="AG4339" i="20" s="1"/>
  <c r="AD4339" i="20"/>
  <c r="AF4348" i="20"/>
  <c r="AG4348" i="20" s="1"/>
  <c r="AE4348" i="20"/>
  <c r="AC4322" i="20"/>
  <c r="AD4322" i="20"/>
  <c r="O2600" i="20"/>
  <c r="K4024" i="24"/>
  <c r="K4025" i="24"/>
  <c r="K4026" i="24"/>
  <c r="K4027" i="24"/>
  <c r="K4028" i="24"/>
  <c r="O4322" i="20"/>
  <c r="N4322" i="20"/>
  <c r="AE4339" i="20" l="1"/>
  <c r="AF4322" i="20"/>
  <c r="AG4322" i="20" s="1"/>
  <c r="AE4322" i="20"/>
  <c r="J4022" i="24"/>
  <c r="K4022" i="24" s="1"/>
  <c r="K4020" i="24"/>
  <c r="P1778" i="20"/>
  <c r="J4013" i="24"/>
  <c r="U4316" i="20"/>
  <c r="K4019" i="24"/>
  <c r="K4021" i="24"/>
  <c r="K4023" i="24"/>
  <c r="N4306" i="20"/>
  <c r="N3084" i="20"/>
  <c r="AC1778" i="20" l="1"/>
  <c r="AD1778" i="20"/>
  <c r="AC4316" i="20"/>
  <c r="AD4316" i="20"/>
  <c r="AD2473" i="20"/>
  <c r="AC2473" i="20"/>
  <c r="AF2473" i="20" s="1"/>
  <c r="AG2473" i="20" s="1"/>
  <c r="O3084" i="20"/>
  <c r="AE2473" i="20" l="1"/>
  <c r="AF4316" i="20"/>
  <c r="AG4316" i="20" s="1"/>
  <c r="AE4316" i="20"/>
  <c r="AE1778" i="20"/>
  <c r="AF1778" i="20"/>
  <c r="AG1778" i="20" s="1"/>
  <c r="J4008" i="24"/>
  <c r="J4016" i="24"/>
  <c r="J4017" i="24" l="1"/>
  <c r="R4660" i="20"/>
  <c r="P1634" i="20"/>
  <c r="U3704" i="20"/>
  <c r="O4344" i="20"/>
  <c r="N4342" i="20"/>
  <c r="N1865" i="20"/>
  <c r="O4342" i="20"/>
  <c r="N4345" i="20"/>
  <c r="J4010" i="24"/>
  <c r="AC4619" i="20" l="1"/>
  <c r="AD4619" i="20"/>
  <c r="AC3704" i="20"/>
  <c r="AD3704" i="20"/>
  <c r="AD1634" i="20"/>
  <c r="AC1634" i="20"/>
  <c r="AF1634" i="20" s="1"/>
  <c r="AG1634" i="20" s="1"/>
  <c r="AC4660" i="20"/>
  <c r="AD4660" i="20"/>
  <c r="O4345" i="20"/>
  <c r="O1865" i="20"/>
  <c r="J4014" i="24"/>
  <c r="U1074" i="20"/>
  <c r="U4168" i="20"/>
  <c r="J4005" i="24"/>
  <c r="N2053" i="20"/>
  <c r="N4084" i="20"/>
  <c r="Q4340" i="20"/>
  <c r="AC4168" i="20" l="1"/>
  <c r="AD4168" i="20"/>
  <c r="AE4660" i="20"/>
  <c r="AF4660" i="20"/>
  <c r="AG4660" i="20" s="1"/>
  <c r="AD1074" i="20"/>
  <c r="AC1074" i="20"/>
  <c r="AE1634" i="20"/>
  <c r="AE3704" i="20"/>
  <c r="AF3704" i="20"/>
  <c r="AG3704" i="20" s="1"/>
  <c r="AC4340" i="20"/>
  <c r="AD4340" i="20"/>
  <c r="AF4619" i="20"/>
  <c r="AG4619" i="20" s="1"/>
  <c r="AE4619" i="20"/>
  <c r="O4084" i="20"/>
  <c r="O2053" i="20"/>
  <c r="O1928" i="20"/>
  <c r="N1928" i="20"/>
  <c r="N4323" i="20"/>
  <c r="O4323" i="20"/>
  <c r="N4324" i="20"/>
  <c r="O4324" i="20"/>
  <c r="O3697" i="20"/>
  <c r="N3697" i="20"/>
  <c r="AF4340" i="20" l="1"/>
  <c r="AG4340" i="20" s="1"/>
  <c r="AE4340" i="20"/>
  <c r="AF1074" i="20"/>
  <c r="AG1074" i="20" s="1"/>
  <c r="AE1074" i="20"/>
  <c r="AF4168" i="20"/>
  <c r="AG4168" i="20" s="1"/>
  <c r="AE4168" i="20"/>
  <c r="O4340" i="20"/>
  <c r="N4340" i="20"/>
  <c r="O4168" i="20"/>
  <c r="N4168" i="20"/>
  <c r="J4009" i="24" l="1"/>
  <c r="J4011" i="24"/>
  <c r="O1672" i="20"/>
  <c r="N1672" i="20"/>
  <c r="R4709" i="20"/>
  <c r="K4012" i="24"/>
  <c r="K4013" i="24"/>
  <c r="K4014" i="24"/>
  <c r="K4015" i="24"/>
  <c r="K4016" i="24"/>
  <c r="K4017" i="24"/>
  <c r="K4018" i="24"/>
  <c r="AC4709" i="20" l="1"/>
  <c r="AD4709" i="20"/>
  <c r="O2512" i="20"/>
  <c r="N2512" i="20"/>
  <c r="N2513" i="20"/>
  <c r="O2513" i="20"/>
  <c r="N4337" i="20"/>
  <c r="O4337" i="20"/>
  <c r="N4320" i="20"/>
  <c r="O4320" i="20"/>
  <c r="J4007" i="24"/>
  <c r="U4311" i="20"/>
  <c r="N1959" i="20"/>
  <c r="AC4311" i="20" l="1"/>
  <c r="AF4311" i="20" s="1"/>
  <c r="AG4311" i="20" s="1"/>
  <c r="AD4311" i="20"/>
  <c r="AF4709" i="20"/>
  <c r="AG4709" i="20" s="1"/>
  <c r="AE4709" i="20"/>
  <c r="O1959" i="20"/>
  <c r="O4339" i="20"/>
  <c r="N4339" i="20"/>
  <c r="Q1792" i="20"/>
  <c r="K4008" i="24"/>
  <c r="K4009" i="24"/>
  <c r="K4010" i="24"/>
  <c r="K4011" i="24"/>
  <c r="R3344" i="20"/>
  <c r="J4006" i="24"/>
  <c r="AE4311" i="20" l="1"/>
  <c r="AC1792" i="20"/>
  <c r="AD1792" i="20"/>
  <c r="AC3344" i="20"/>
  <c r="AD3344" i="20"/>
  <c r="T2982" i="20"/>
  <c r="T2968" i="20"/>
  <c r="T2658" i="20"/>
  <c r="T4246" i="20"/>
  <c r="J4004" i="24"/>
  <c r="O2588" i="20"/>
  <c r="N2588" i="20"/>
  <c r="AC2968" i="20" l="1"/>
  <c r="AD2968" i="20"/>
  <c r="AC2658" i="20"/>
  <c r="AD2658" i="20"/>
  <c r="AC2982" i="20"/>
  <c r="AD2982" i="20"/>
  <c r="AF3344" i="20"/>
  <c r="AG3344" i="20" s="1"/>
  <c r="AE3344" i="20"/>
  <c r="AF1792" i="20"/>
  <c r="AG1792" i="20" s="1"/>
  <c r="AE1792" i="20"/>
  <c r="J3997" i="24"/>
  <c r="V3381" i="20"/>
  <c r="K4003" i="24"/>
  <c r="K4004" i="24"/>
  <c r="K4005" i="24"/>
  <c r="K4006" i="24"/>
  <c r="K4007" i="24"/>
  <c r="AC3381" i="20" l="1"/>
  <c r="AD3381" i="20"/>
  <c r="AF2658" i="20"/>
  <c r="AG2658" i="20" s="1"/>
  <c r="AE2658" i="20"/>
  <c r="AF2982" i="20"/>
  <c r="AG2982" i="20" s="1"/>
  <c r="AE2982" i="20"/>
  <c r="AC257" i="20"/>
  <c r="AD257" i="20"/>
  <c r="AE2968" i="20"/>
  <c r="AF2968" i="20"/>
  <c r="AG2968" i="20" s="1"/>
  <c r="V4117" i="20"/>
  <c r="N3901" i="20"/>
  <c r="O4332" i="20"/>
  <c r="N4332" i="20"/>
  <c r="O3901" i="20"/>
  <c r="J3998" i="24"/>
  <c r="J4000" i="24"/>
  <c r="J4001" i="24"/>
  <c r="Q3500" i="20"/>
  <c r="AD1001" i="20" l="1"/>
  <c r="AC1001" i="20"/>
  <c r="AF257" i="20"/>
  <c r="AG257" i="20" s="1"/>
  <c r="AE257" i="20"/>
  <c r="AC3500" i="20"/>
  <c r="AD3500" i="20"/>
  <c r="AC4117" i="20"/>
  <c r="AD4117" i="20"/>
  <c r="AE3381" i="20"/>
  <c r="AF3381" i="20"/>
  <c r="AG3381" i="20" s="1"/>
  <c r="J3991" i="24"/>
  <c r="K3999" i="24"/>
  <c r="K4000" i="24"/>
  <c r="K4001" i="24"/>
  <c r="K4002" i="24"/>
  <c r="AF4117" i="20" l="1"/>
  <c r="AG4117" i="20" s="1"/>
  <c r="AE4117" i="20"/>
  <c r="AE3500" i="20"/>
  <c r="AF3500" i="20"/>
  <c r="AG3500" i="20" s="1"/>
  <c r="AF1001" i="20"/>
  <c r="AG1001" i="20" s="1"/>
  <c r="AE1001" i="20"/>
  <c r="O1944" i="20"/>
  <c r="N1944" i="20"/>
  <c r="O4104" i="20"/>
  <c r="N4104" i="20"/>
  <c r="J3996" i="24"/>
  <c r="N2955" i="20" l="1"/>
  <c r="O4329" i="20"/>
  <c r="N4329" i="20"/>
  <c r="O4328" i="20"/>
  <c r="N4328" i="20"/>
  <c r="O4725" i="20"/>
  <c r="N4725" i="20"/>
  <c r="J3992" i="24"/>
  <c r="J3990" i="24"/>
  <c r="O2955" i="20" l="1"/>
  <c r="J3995" i="24" l="1"/>
  <c r="J3987" i="24"/>
  <c r="N4059" i="20" l="1"/>
  <c r="O4059" i="20" l="1"/>
  <c r="U1939" i="20"/>
  <c r="O1806" i="20"/>
  <c r="N1806" i="20"/>
  <c r="N4714" i="20"/>
  <c r="AC1939" i="20" l="1"/>
  <c r="AD1939" i="20"/>
  <c r="P1554" i="20"/>
  <c r="AC4673" i="20" l="1"/>
  <c r="AD4673" i="20"/>
  <c r="AC1554" i="20"/>
  <c r="AF1554" i="20" s="1"/>
  <c r="AG1554" i="20" s="1"/>
  <c r="AD1554" i="20"/>
  <c r="AE1939" i="20"/>
  <c r="AF1939" i="20"/>
  <c r="AG1939" i="20" s="1"/>
  <c r="J3983" i="24"/>
  <c r="J3989" i="24"/>
  <c r="J3985" i="24"/>
  <c r="K3990" i="24"/>
  <c r="K3991" i="24"/>
  <c r="K3992" i="24"/>
  <c r="K3993" i="24"/>
  <c r="K3994" i="24"/>
  <c r="K3995" i="24"/>
  <c r="K3996" i="24"/>
  <c r="K3997" i="24"/>
  <c r="K3998" i="24"/>
  <c r="AE1554" i="20" l="1"/>
  <c r="AE4673" i="20"/>
  <c r="AF4673" i="20"/>
  <c r="AG4673" i="20" s="1"/>
  <c r="U4161" i="20"/>
  <c r="AD4161" i="20" l="1"/>
  <c r="AC4161" i="20"/>
  <c r="AF4161" i="20" s="1"/>
  <c r="AG4161" i="20" s="1"/>
  <c r="O4726" i="20"/>
  <c r="N4726" i="20"/>
  <c r="O1939" i="20"/>
  <c r="N1939" i="20"/>
  <c r="AE4161" i="20" l="1"/>
  <c r="O4321" i="20"/>
  <c r="N4321" i="20"/>
  <c r="J3968" i="24"/>
  <c r="U4310" i="20"/>
  <c r="R3997" i="20"/>
  <c r="AC3997" i="20" l="1"/>
  <c r="AD3997" i="20"/>
  <c r="AC4310" i="20"/>
  <c r="AD4310" i="20"/>
  <c r="AC4314" i="20"/>
  <c r="AD4314" i="20"/>
  <c r="AC1673" i="20"/>
  <c r="AD1673" i="20"/>
  <c r="O4724" i="20"/>
  <c r="N4724" i="20"/>
  <c r="AF1673" i="20" l="1"/>
  <c r="AG1673" i="20" s="1"/>
  <c r="AE1673" i="20"/>
  <c r="AF4314" i="20"/>
  <c r="AG4314" i="20" s="1"/>
  <c r="AE4314" i="20"/>
  <c r="AF4310" i="20"/>
  <c r="AG4310" i="20" s="1"/>
  <c r="AE4310" i="20"/>
  <c r="AF3997" i="20"/>
  <c r="AG3997" i="20" s="1"/>
  <c r="AE3997" i="20"/>
  <c r="J3982" i="24"/>
  <c r="K3982" i="24" s="1"/>
  <c r="J3980" i="24"/>
  <c r="K3980" i="24" s="1"/>
  <c r="O4043" i="20"/>
  <c r="R3146" i="20"/>
  <c r="S4370" i="20"/>
  <c r="O4310" i="20"/>
  <c r="N4310" i="20"/>
  <c r="N4043" i="20"/>
  <c r="K3981" i="24"/>
  <c r="K3983" i="24"/>
  <c r="K3984" i="24"/>
  <c r="K3985" i="24"/>
  <c r="K3986" i="24"/>
  <c r="K3987" i="24"/>
  <c r="K3988" i="24"/>
  <c r="K3989" i="24"/>
  <c r="O4282" i="20"/>
  <c r="N4282" i="20"/>
  <c r="J3978" i="24"/>
  <c r="J3975" i="24"/>
  <c r="J3979" i="24"/>
  <c r="N4327" i="20"/>
  <c r="AC1418" i="20" l="1"/>
  <c r="AF1418" i="20" s="1"/>
  <c r="AG1418" i="20" s="1"/>
  <c r="AD1418" i="20"/>
  <c r="AD4327" i="20"/>
  <c r="AC4327" i="20"/>
  <c r="AF4327" i="20" s="1"/>
  <c r="AG4327" i="20" s="1"/>
  <c r="AC3146" i="20"/>
  <c r="AF3146" i="20" s="1"/>
  <c r="AG3146" i="20" s="1"/>
  <c r="AD3146" i="20"/>
  <c r="AD1927" i="20"/>
  <c r="AC1927" i="20"/>
  <c r="AC4370" i="20"/>
  <c r="AD4370" i="20"/>
  <c r="O4326" i="20"/>
  <c r="O1906" i="20"/>
  <c r="O4370" i="20"/>
  <c r="O4327" i="20"/>
  <c r="N4078" i="20"/>
  <c r="J3973" i="24"/>
  <c r="J3977" i="24"/>
  <c r="J3976" i="24"/>
  <c r="O3249" i="20"/>
  <c r="N3249" i="20"/>
  <c r="AE1418" i="20" l="1"/>
  <c r="AE3146" i="20"/>
  <c r="AE4370" i="20"/>
  <c r="AF4370" i="20"/>
  <c r="AG4370" i="20" s="1"/>
  <c r="AE1927" i="20"/>
  <c r="AF1927" i="20"/>
  <c r="AG1927" i="20" s="1"/>
  <c r="AE4327" i="20"/>
  <c r="AC1334" i="20"/>
  <c r="AF1334" i="20" s="1"/>
  <c r="AG1334" i="20" s="1"/>
  <c r="AD1334" i="20"/>
  <c r="O4078" i="20"/>
  <c r="Q3347" i="20"/>
  <c r="AE1334" i="20" l="1"/>
  <c r="AC3347" i="20"/>
  <c r="AF3347" i="20" s="1"/>
  <c r="AG3347" i="20" s="1"/>
  <c r="AD3347" i="20"/>
  <c r="J3962" i="24"/>
  <c r="O4318" i="20"/>
  <c r="N4318" i="20"/>
  <c r="V3839" i="20"/>
  <c r="J3974" i="24"/>
  <c r="J3972" i="24"/>
  <c r="J3971" i="24"/>
  <c r="AE3347" i="20" l="1"/>
  <c r="AC3839" i="20"/>
  <c r="AD3839" i="20"/>
  <c r="AD1089" i="20"/>
  <c r="AC1089" i="20"/>
  <c r="J3965" i="24"/>
  <c r="O4177" i="20"/>
  <c r="O1946" i="20"/>
  <c r="U3484" i="20"/>
  <c r="K3971" i="24"/>
  <c r="K3972" i="24"/>
  <c r="K3973" i="24"/>
  <c r="K3974" i="24"/>
  <c r="K3975" i="24"/>
  <c r="K3976" i="24"/>
  <c r="K3977" i="24"/>
  <c r="K3978" i="24"/>
  <c r="K3979" i="24"/>
  <c r="J3967" i="24"/>
  <c r="O1739" i="20"/>
  <c r="N1739" i="20"/>
  <c r="U1468" i="20"/>
  <c r="N1946" i="20"/>
  <c r="N4177" i="20"/>
  <c r="N4183" i="20"/>
  <c r="N4184" i="20"/>
  <c r="N4185" i="20"/>
  <c r="J3970" i="24"/>
  <c r="J3951" i="24"/>
  <c r="J3969" i="24"/>
  <c r="P872" i="20"/>
  <c r="AD1468" i="20" l="1"/>
  <c r="AC1468" i="20"/>
  <c r="AC3484" i="20"/>
  <c r="AD3484" i="20"/>
  <c r="AD872" i="20"/>
  <c r="AC872" i="20"/>
  <c r="AE1089" i="20"/>
  <c r="AF1089" i="20"/>
  <c r="AG1089" i="20" s="1"/>
  <c r="AE3839" i="20"/>
  <c r="AF3839" i="20"/>
  <c r="AG3839" i="20" s="1"/>
  <c r="J3966" i="24"/>
  <c r="U4259" i="20"/>
  <c r="V4315" i="20"/>
  <c r="AC4259" i="20" l="1"/>
  <c r="AD4259" i="20"/>
  <c r="AD4315" i="20"/>
  <c r="AC4315" i="20"/>
  <c r="AF4315" i="20" s="1"/>
  <c r="AG4315" i="20" s="1"/>
  <c r="AE872" i="20"/>
  <c r="AF872" i="20"/>
  <c r="AG872" i="20" s="1"/>
  <c r="AE3484" i="20"/>
  <c r="AF3484" i="20"/>
  <c r="AG3484" i="20" s="1"/>
  <c r="AE1468" i="20"/>
  <c r="AF1468" i="20"/>
  <c r="AG1468" i="20" s="1"/>
  <c r="O4259" i="20"/>
  <c r="N4259" i="20"/>
  <c r="Q1675" i="20"/>
  <c r="J3963" i="24"/>
  <c r="K3966" i="24"/>
  <c r="K3967" i="24"/>
  <c r="K3968" i="24"/>
  <c r="K3969" i="24"/>
  <c r="K3970" i="24"/>
  <c r="J3942" i="24"/>
  <c r="J3958" i="24"/>
  <c r="J3956" i="24"/>
  <c r="J3949" i="24"/>
  <c r="AE4315" i="20" l="1"/>
  <c r="AC1675" i="20"/>
  <c r="AD1675" i="20"/>
  <c r="AE4259" i="20"/>
  <c r="AF4259" i="20"/>
  <c r="AG4259" i="20" s="1"/>
  <c r="J3964" i="24"/>
  <c r="J3959" i="24"/>
  <c r="N4681" i="20"/>
  <c r="N3542" i="20"/>
  <c r="Q4717" i="20"/>
  <c r="AC1397" i="20" l="1"/>
  <c r="AD1397" i="20"/>
  <c r="AD4717" i="20"/>
  <c r="AC4717" i="20"/>
  <c r="AF1675" i="20"/>
  <c r="AG1675" i="20" s="1"/>
  <c r="AE1675" i="20"/>
  <c r="O4681" i="20"/>
  <c r="O3542" i="20"/>
  <c r="AE4717" i="20" l="1"/>
  <c r="AF4717" i="20"/>
  <c r="AG4717" i="20" s="1"/>
  <c r="AE1397" i="20"/>
  <c r="AF1397" i="20"/>
  <c r="AG1397" i="20" s="1"/>
  <c r="N1927" i="20"/>
  <c r="O1927" i="20"/>
  <c r="N1929" i="20"/>
  <c r="N1931" i="20"/>
  <c r="O1931" i="20"/>
  <c r="N1584" i="20" l="1"/>
  <c r="K3962" i="24"/>
  <c r="K3963" i="24"/>
  <c r="K3964" i="24"/>
  <c r="K3965" i="24"/>
  <c r="J3960" i="24"/>
  <c r="J3948" i="24"/>
  <c r="J3955" i="24"/>
  <c r="S4647" i="20"/>
  <c r="N4314" i="20"/>
  <c r="O4314" i="20"/>
  <c r="AC4647" i="20" l="1"/>
  <c r="AD4647" i="20"/>
  <c r="O1584" i="20"/>
  <c r="J3950" i="24"/>
  <c r="J3957" i="24"/>
  <c r="AF4647" i="20" l="1"/>
  <c r="AG4647" i="20" s="1"/>
  <c r="AE4647" i="20"/>
  <c r="K3957" i="24"/>
  <c r="K3958" i="24"/>
  <c r="K3959" i="24"/>
  <c r="K3960" i="24"/>
  <c r="K3961" i="24"/>
  <c r="N4071" i="20" l="1"/>
  <c r="N4073" i="20"/>
  <c r="O4073" i="20"/>
  <c r="N4074" i="20"/>
  <c r="O4074" i="20"/>
  <c r="J3954" i="24"/>
  <c r="J3953" i="24"/>
  <c r="N1941" i="20"/>
  <c r="N1942" i="20"/>
  <c r="T2136" i="20"/>
  <c r="AC2136" i="20" l="1"/>
  <c r="AD2136" i="20"/>
  <c r="O4071" i="20"/>
  <c r="O4311" i="20"/>
  <c r="U4307" i="20"/>
  <c r="N4722" i="20"/>
  <c r="N4316" i="20"/>
  <c r="O4316" i="20"/>
  <c r="N4317" i="20"/>
  <c r="N4311" i="20"/>
  <c r="AD4307" i="20" l="1"/>
  <c r="AC4307" i="20"/>
  <c r="AF4307" i="20" s="1"/>
  <c r="AG4307" i="20" s="1"/>
  <c r="AE2136" i="20"/>
  <c r="AF2136" i="20"/>
  <c r="AG2136" i="20" s="1"/>
  <c r="O4306" i="20"/>
  <c r="O4317" i="20"/>
  <c r="O4722" i="20"/>
  <c r="K3954" i="24"/>
  <c r="K3955" i="24"/>
  <c r="K3956" i="24"/>
  <c r="J3947" i="24"/>
  <c r="N4089" i="20"/>
  <c r="O4089" i="20"/>
  <c r="N4090" i="20"/>
  <c r="O4090" i="20"/>
  <c r="AE4307" i="20" l="1"/>
  <c r="N1348" i="20"/>
  <c r="O1348" i="20"/>
  <c r="K3947" i="24"/>
  <c r="K3948" i="24"/>
  <c r="K3949" i="24"/>
  <c r="K3950" i="24"/>
  <c r="K3951" i="24"/>
  <c r="K3952" i="24"/>
  <c r="K3953" i="24"/>
  <c r="J3946" i="24" l="1"/>
  <c r="J3945" i="24"/>
  <c r="O4688" i="20"/>
  <c r="N4688" i="20"/>
  <c r="J3944" i="24"/>
  <c r="O4270" i="20" l="1"/>
  <c r="AD4270" i="20" l="1"/>
  <c r="AC4270" i="20"/>
  <c r="J3940" i="24"/>
  <c r="O1431" i="20"/>
  <c r="P1101" i="20"/>
  <c r="N1431" i="20"/>
  <c r="O4299" i="20"/>
  <c r="N4299" i="20"/>
  <c r="AC1101" i="20" l="1"/>
  <c r="AD1101" i="20"/>
  <c r="AE4270" i="20"/>
  <c r="AF4270" i="20"/>
  <c r="AG4270" i="20" s="1"/>
  <c r="J3941" i="24"/>
  <c r="N1102" i="20"/>
  <c r="O1102" i="20"/>
  <c r="N1103" i="20"/>
  <c r="O1103" i="20"/>
  <c r="AD3951" i="20" l="1"/>
  <c r="AC3951" i="20"/>
  <c r="AF1101" i="20"/>
  <c r="AG1101" i="20" s="1"/>
  <c r="AE1101" i="20"/>
  <c r="K3940" i="24"/>
  <c r="K3941" i="24"/>
  <c r="K3942" i="24"/>
  <c r="K3943" i="24"/>
  <c r="K3944" i="24"/>
  <c r="K3945" i="24"/>
  <c r="K3946" i="24"/>
  <c r="O3863" i="20"/>
  <c r="N3863" i="20"/>
  <c r="J3937" i="24"/>
  <c r="N4244" i="20"/>
  <c r="AE3951" i="20" l="1"/>
  <c r="AF3951" i="20"/>
  <c r="AG3951" i="20" s="1"/>
  <c r="J3939" i="24"/>
  <c r="U1010" i="20"/>
  <c r="O1942" i="20"/>
  <c r="O4309" i="20"/>
  <c r="N4309" i="20"/>
  <c r="J3935" i="24"/>
  <c r="J3930" i="24"/>
  <c r="AC1010" i="20" l="1"/>
  <c r="AD1010" i="20"/>
  <c r="J3933" i="24"/>
  <c r="O1917" i="20"/>
  <c r="N1917" i="20"/>
  <c r="N3740" i="20"/>
  <c r="J3929" i="24"/>
  <c r="J3924" i="24"/>
  <c r="S3952" i="20"/>
  <c r="AC3952" i="20" l="1"/>
  <c r="AD3952" i="20"/>
  <c r="AF1010" i="20"/>
  <c r="AG1010" i="20" s="1"/>
  <c r="AE1010" i="20"/>
  <c r="O3740" i="20"/>
  <c r="O4308" i="20"/>
  <c r="N4308" i="20"/>
  <c r="O4307" i="20"/>
  <c r="N4307" i="20"/>
  <c r="J3926" i="24"/>
  <c r="J3917" i="24"/>
  <c r="J3925" i="24"/>
  <c r="J3928" i="24"/>
  <c r="O1941" i="20"/>
  <c r="N2868" i="20"/>
  <c r="R4639" i="20"/>
  <c r="O4312" i="20"/>
  <c r="N4312" i="20"/>
  <c r="V3731" i="20"/>
  <c r="J3927" i="24"/>
  <c r="J3921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AD4639" i="20" l="1"/>
  <c r="AC4639" i="20"/>
  <c r="AC3731" i="20"/>
  <c r="AD3731" i="20"/>
  <c r="AC4768" i="20"/>
  <c r="AD4768" i="20"/>
  <c r="AC3403" i="20"/>
  <c r="AF3403" i="20" s="1"/>
  <c r="AG3403" i="20" s="1"/>
  <c r="AD3403" i="20"/>
  <c r="AF3952" i="20"/>
  <c r="AG3952" i="20" s="1"/>
  <c r="AE3952" i="20"/>
  <c r="O2868" i="20"/>
  <c r="AE3403" i="20" l="1"/>
  <c r="AF4768" i="20"/>
  <c r="AG4768" i="20" s="1"/>
  <c r="AE4768" i="20"/>
  <c r="AE3731" i="20"/>
  <c r="AF3731" i="20"/>
  <c r="AG3731" i="20" s="1"/>
  <c r="AF4639" i="20"/>
  <c r="AG4639" i="20" s="1"/>
  <c r="AE4639" i="20"/>
  <c r="J3923" i="24"/>
  <c r="P1676" i="20"/>
  <c r="O4315" i="20"/>
  <c r="N4315" i="20"/>
  <c r="J3920" i="24"/>
  <c r="N1920" i="20"/>
  <c r="O1920" i="20"/>
  <c r="N1921" i="20"/>
  <c r="O1921" i="20"/>
  <c r="AC1676" i="20" l="1"/>
  <c r="AD1676" i="20"/>
  <c r="J3922" i="24"/>
  <c r="AE1676" i="20" l="1"/>
  <c r="AF1676" i="20"/>
  <c r="AG1676" i="20" s="1"/>
  <c r="Q4272" i="20"/>
  <c r="K3922" i="24"/>
  <c r="J3918" i="24"/>
  <c r="J3913" i="24"/>
  <c r="U1884" i="20"/>
  <c r="R3989" i="20"/>
  <c r="K3920" i="24"/>
  <c r="K3921" i="24"/>
  <c r="K3923" i="24"/>
  <c r="K3924" i="24"/>
  <c r="K3925" i="24"/>
  <c r="K3926" i="24"/>
  <c r="K3927" i="24"/>
  <c r="K3928" i="24"/>
  <c r="V3031" i="20"/>
  <c r="AD1884" i="20" l="1"/>
  <c r="AC1884" i="20"/>
  <c r="AD3989" i="20"/>
  <c r="AC3989" i="20"/>
  <c r="AC4272" i="20"/>
  <c r="AF4272" i="20" s="1"/>
  <c r="AG4272" i="20" s="1"/>
  <c r="AD4272" i="20"/>
  <c r="AD3031" i="20"/>
  <c r="AC3031" i="20"/>
  <c r="J3916" i="24"/>
  <c r="K3916" i="24" s="1"/>
  <c r="J3919" i="24"/>
  <c r="K3919" i="24" s="1"/>
  <c r="K3917" i="24"/>
  <c r="J3910" i="24"/>
  <c r="U1897" i="20"/>
  <c r="U1899" i="20"/>
  <c r="Q1715" i="20"/>
  <c r="N4298" i="20"/>
  <c r="O4298" i="20"/>
  <c r="N4300" i="20"/>
  <c r="N898" i="20"/>
  <c r="K3913" i="24"/>
  <c r="K3914" i="24"/>
  <c r="K3915" i="24"/>
  <c r="K3918" i="24"/>
  <c r="O898" i="20"/>
  <c r="AE4272" i="20" l="1"/>
  <c r="AD1897" i="20"/>
  <c r="AC1897" i="20"/>
  <c r="AC1899" i="20"/>
  <c r="AF1899" i="20" s="1"/>
  <c r="AG1899" i="20" s="1"/>
  <c r="AD1899" i="20"/>
  <c r="AD1715" i="20"/>
  <c r="AC1715" i="20"/>
  <c r="AF1884" i="20"/>
  <c r="AG1884" i="20" s="1"/>
  <c r="AE1884" i="20"/>
  <c r="AE3031" i="20"/>
  <c r="AF3031" i="20"/>
  <c r="AG3031" i="20" s="1"/>
  <c r="AF3989" i="20"/>
  <c r="AG3989" i="20" s="1"/>
  <c r="AE3989" i="20"/>
  <c r="J3909" i="24"/>
  <c r="J3911" i="24"/>
  <c r="AE1899" i="20" l="1"/>
  <c r="AF1715" i="20"/>
  <c r="AG1715" i="20" s="1"/>
  <c r="AE1715" i="20"/>
  <c r="AE1897" i="20"/>
  <c r="AF1897" i="20"/>
  <c r="AG1897" i="20" s="1"/>
  <c r="N4256" i="20"/>
  <c r="O4256" i="20"/>
  <c r="J3912" i="24"/>
  <c r="K3912" i="24" s="1"/>
  <c r="O4300" i="20"/>
  <c r="J3907" i="24" l="1"/>
  <c r="J3906" i="24" l="1"/>
  <c r="O1940" i="20"/>
  <c r="N1940" i="20"/>
  <c r="J3905" i="24"/>
  <c r="O4690" i="20" l="1"/>
  <c r="N4690" i="20"/>
  <c r="O4683" i="20"/>
  <c r="N4683" i="20"/>
  <c r="J3904" i="24" l="1"/>
  <c r="J3903" i="24" l="1"/>
  <c r="Q4233" i="20"/>
  <c r="AC4233" i="20" l="1"/>
  <c r="AD4233" i="20"/>
  <c r="K3906" i="24"/>
  <c r="K3907" i="24"/>
  <c r="K3908" i="24"/>
  <c r="K3909" i="24"/>
  <c r="K3910" i="24"/>
  <c r="K3911" i="24"/>
  <c r="J3901" i="24"/>
  <c r="AF4233" i="20" l="1"/>
  <c r="AG4233" i="20" s="1"/>
  <c r="AE4233" i="20"/>
  <c r="R4281" i="20"/>
  <c r="O3584" i="20"/>
  <c r="N3584" i="20"/>
  <c r="AC4281" i="20" l="1"/>
  <c r="AD4281" i="20"/>
  <c r="Q2785" i="20"/>
  <c r="O3464" i="20"/>
  <c r="N3464" i="20"/>
  <c r="J3900" i="24"/>
  <c r="Q3786" i="20"/>
  <c r="U3568" i="20"/>
  <c r="U1714" i="20"/>
  <c r="J3902" i="24"/>
  <c r="O4184" i="20"/>
  <c r="O1932" i="20"/>
  <c r="N1932" i="20"/>
  <c r="J3898" i="24"/>
  <c r="AC3568" i="20" l="1"/>
  <c r="AD3568" i="20"/>
  <c r="AC1714" i="20"/>
  <c r="AF1714" i="20" s="1"/>
  <c r="AG1714" i="20" s="1"/>
  <c r="AD1714" i="20"/>
  <c r="AC3786" i="20"/>
  <c r="AD3786" i="20"/>
  <c r="AD2785" i="20"/>
  <c r="AC2785" i="20"/>
  <c r="AF4281" i="20"/>
  <c r="AG4281" i="20" s="1"/>
  <c r="AE4281" i="20"/>
  <c r="O4139" i="20"/>
  <c r="N4139" i="20"/>
  <c r="AE1714" i="20" l="1"/>
  <c r="AF3786" i="20"/>
  <c r="AG3786" i="20" s="1"/>
  <c r="AE3786" i="20"/>
  <c r="AE2785" i="20"/>
  <c r="AF2785" i="20"/>
  <c r="AG2785" i="20" s="1"/>
  <c r="AE3568" i="20"/>
  <c r="AF3568" i="20"/>
  <c r="AG3568" i="20" s="1"/>
  <c r="J3888" i="24"/>
  <c r="J3892" i="24"/>
  <c r="J3899" i="24"/>
  <c r="O768" i="20" l="1"/>
  <c r="N768" i="20"/>
  <c r="N4720" i="20"/>
  <c r="O4720" i="20"/>
  <c r="N4723" i="20"/>
  <c r="O4723" i="20"/>
  <c r="N4301" i="20" l="1"/>
  <c r="O4301" i="20"/>
  <c r="N4302" i="20"/>
  <c r="K3896" i="24" l="1"/>
  <c r="K3897" i="24"/>
  <c r="K3898" i="24"/>
  <c r="K3899" i="24"/>
  <c r="K3900" i="24"/>
  <c r="K3901" i="24"/>
  <c r="K3902" i="24"/>
  <c r="K3903" i="24"/>
  <c r="K3904" i="24"/>
  <c r="K3905" i="24"/>
  <c r="J3891" i="24"/>
  <c r="AD1497" i="20" l="1"/>
  <c r="AC1497" i="20"/>
  <c r="O4302" i="20"/>
  <c r="J3860" i="24"/>
  <c r="J3885" i="24"/>
  <c r="J3889" i="24"/>
  <c r="R4163" i="20"/>
  <c r="S1837" i="20"/>
  <c r="N4292" i="20"/>
  <c r="O4292" i="20"/>
  <c r="AC1837" i="20" l="1"/>
  <c r="AD1837" i="20"/>
  <c r="AD4163" i="20"/>
  <c r="AC4163" i="20"/>
  <c r="AF1497" i="20"/>
  <c r="AG1497" i="20" s="1"/>
  <c r="AE1497" i="20"/>
  <c r="P1935" i="20"/>
  <c r="O4163" i="20"/>
  <c r="N4163" i="20"/>
  <c r="K3888" i="24"/>
  <c r="K3889" i="24"/>
  <c r="K3890" i="24"/>
  <c r="K3891" i="24"/>
  <c r="K3892" i="24"/>
  <c r="K3893" i="24"/>
  <c r="K3894" i="24"/>
  <c r="K3895" i="24"/>
  <c r="J3880" i="24"/>
  <c r="J3882" i="24"/>
  <c r="J3883" i="24"/>
  <c r="J3872" i="24"/>
  <c r="O1935" i="20" l="1"/>
  <c r="AD1935" i="20"/>
  <c r="AC1935" i="20"/>
  <c r="AE4163" i="20"/>
  <c r="AF4163" i="20"/>
  <c r="AG4163" i="20" s="1"/>
  <c r="AF1837" i="20"/>
  <c r="AG1837" i="20" s="1"/>
  <c r="AE1837" i="20"/>
  <c r="Q4185" i="20"/>
  <c r="Q3661" i="20"/>
  <c r="K3883" i="24"/>
  <c r="K3884" i="24"/>
  <c r="K3885" i="24"/>
  <c r="K3886" i="24"/>
  <c r="K3887" i="24"/>
  <c r="J3881" i="24"/>
  <c r="AC3661" i="20" l="1"/>
  <c r="AD3661" i="20"/>
  <c r="AC4185" i="20"/>
  <c r="AD4185" i="20"/>
  <c r="AE1935" i="20"/>
  <c r="AF1935" i="20"/>
  <c r="AG1935" i="20" s="1"/>
  <c r="O4185" i="20"/>
  <c r="S4810" i="20"/>
  <c r="J3868" i="24"/>
  <c r="N4810" i="20"/>
  <c r="N4288" i="20"/>
  <c r="O4288" i="20"/>
  <c r="AC4810" i="20" l="1"/>
  <c r="AD4810" i="20"/>
  <c r="AF4185" i="20"/>
  <c r="AG4185" i="20" s="1"/>
  <c r="AE4185" i="20"/>
  <c r="AE3661" i="20"/>
  <c r="AF3661" i="20"/>
  <c r="AG3661" i="20" s="1"/>
  <c r="O4810" i="20"/>
  <c r="J3865" i="24"/>
  <c r="J3877" i="24"/>
  <c r="Q4246" i="20"/>
  <c r="AC4246" i="20" l="1"/>
  <c r="AD4246" i="20"/>
  <c r="AF4810" i="20"/>
  <c r="AG4810" i="20" s="1"/>
  <c r="AE4810" i="20"/>
  <c r="J3878" i="24"/>
  <c r="Q1903" i="20"/>
  <c r="AC1903" i="20" l="1"/>
  <c r="AF1903" i="20" s="1"/>
  <c r="AG1903" i="20" s="1"/>
  <c r="AD1903" i="20"/>
  <c r="AE4246" i="20"/>
  <c r="AF4246" i="20"/>
  <c r="AG4246" i="20" s="1"/>
  <c r="O4160" i="20"/>
  <c r="N4160" i="20"/>
  <c r="U1585" i="20"/>
  <c r="N4252" i="20"/>
  <c r="O4252" i="20"/>
  <c r="V4273" i="20"/>
  <c r="P1797" i="20"/>
  <c r="AE1903" i="20" l="1"/>
  <c r="AC1797" i="20"/>
  <c r="AD1797" i="20"/>
  <c r="AC4273" i="20"/>
  <c r="AD4273" i="20"/>
  <c r="AD1585" i="20"/>
  <c r="AC1585" i="20"/>
  <c r="J3871" i="24"/>
  <c r="J3864" i="24"/>
  <c r="AE1585" i="20" l="1"/>
  <c r="AF1585" i="20"/>
  <c r="AG1585" i="20" s="1"/>
  <c r="AF4273" i="20"/>
  <c r="AG4273" i="20" s="1"/>
  <c r="AE4273" i="20"/>
  <c r="AF1797" i="20"/>
  <c r="AG1797" i="20" s="1"/>
  <c r="AE1797" i="20"/>
  <c r="J3870" i="24"/>
  <c r="O3073" i="20" l="1"/>
  <c r="N3073" i="20"/>
  <c r="V3986" i="20"/>
  <c r="U1759" i="20"/>
  <c r="AC1759" i="20" l="1"/>
  <c r="AD1759" i="20"/>
  <c r="AC3986" i="20"/>
  <c r="AF3986" i="20" s="1"/>
  <c r="AG3986" i="20" s="1"/>
  <c r="AD3986" i="20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V3965" i="20"/>
  <c r="R4815" i="20"/>
  <c r="O4011" i="20"/>
  <c r="N4011" i="20"/>
  <c r="O4816" i="20"/>
  <c r="N4816" i="20"/>
  <c r="N4277" i="20"/>
  <c r="O4277" i="20"/>
  <c r="O4141" i="20"/>
  <c r="N4141" i="20"/>
  <c r="J3866" i="24"/>
  <c r="AE3986" i="20" l="1"/>
  <c r="AC3965" i="20"/>
  <c r="AF3965" i="20" s="1"/>
  <c r="AG3965" i="20" s="1"/>
  <c r="AD3965" i="20"/>
  <c r="AD4815" i="20"/>
  <c r="AC4815" i="20"/>
  <c r="AF1759" i="20"/>
  <c r="AG1759" i="20" s="1"/>
  <c r="AE1759" i="20"/>
  <c r="O1925" i="20"/>
  <c r="N1925" i="20"/>
  <c r="AE3965" i="20" l="1"/>
  <c r="AF4815" i="20"/>
  <c r="AG4815" i="20" s="1"/>
  <c r="AE4815" i="20"/>
  <c r="J3858" i="24"/>
  <c r="J3861" i="24"/>
  <c r="J3863" i="24"/>
  <c r="Q4166" i="20"/>
  <c r="AC4166" i="20" l="1"/>
  <c r="AD4166" i="20"/>
  <c r="O4289" i="20"/>
  <c r="N4289" i="20"/>
  <c r="U1907" i="20"/>
  <c r="O1924" i="20"/>
  <c r="N1924" i="20"/>
  <c r="Q3348" i="20"/>
  <c r="T4257" i="20"/>
  <c r="N4246" i="20"/>
  <c r="O4246" i="20"/>
  <c r="N4247" i="20"/>
  <c r="AC1907" i="20" l="1"/>
  <c r="AF1907" i="20" s="1"/>
  <c r="AG1907" i="20" s="1"/>
  <c r="AD1907" i="20"/>
  <c r="AC4257" i="20"/>
  <c r="AF4257" i="20" s="1"/>
  <c r="AG4257" i="20" s="1"/>
  <c r="AD4257" i="20"/>
  <c r="AC3348" i="20"/>
  <c r="AD3348" i="20"/>
  <c r="AF4166" i="20"/>
  <c r="AG4166" i="20" s="1"/>
  <c r="AE4166" i="20"/>
  <c r="K3860" i="24"/>
  <c r="K3861" i="24"/>
  <c r="K3862" i="24"/>
  <c r="K3863" i="24"/>
  <c r="K3864" i="24"/>
  <c r="K3865" i="24"/>
  <c r="K3866" i="24"/>
  <c r="K3867" i="24"/>
  <c r="K3868" i="24"/>
  <c r="K3869" i="24"/>
  <c r="U3595" i="20"/>
  <c r="O1907" i="20"/>
  <c r="N1907" i="20"/>
  <c r="AE4257" i="20" l="1"/>
  <c r="AE1907" i="20"/>
  <c r="AC3595" i="20"/>
  <c r="AD3595" i="20"/>
  <c r="AF3348" i="20"/>
  <c r="AG3348" i="20" s="1"/>
  <c r="AE3348" i="20"/>
  <c r="Q4287" i="20"/>
  <c r="J3857" i="24"/>
  <c r="AC4287" i="20" l="1"/>
  <c r="AD4287" i="20"/>
  <c r="AC4286" i="20"/>
  <c r="AF4286" i="20" s="1"/>
  <c r="AG4286" i="20" s="1"/>
  <c r="AD4286" i="20"/>
  <c r="AE3595" i="20"/>
  <c r="AF3595" i="20"/>
  <c r="AG3595" i="20" s="1"/>
  <c r="N4287" i="20"/>
  <c r="O4287" i="20"/>
  <c r="O4719" i="20"/>
  <c r="O4286" i="20"/>
  <c r="N4286" i="20"/>
  <c r="J3854" i="24"/>
  <c r="K3854" i="24" s="1"/>
  <c r="J3853" i="24"/>
  <c r="K3853" i="24" s="1"/>
  <c r="N4285" i="20"/>
  <c r="N4195" i="20"/>
  <c r="O4263" i="20"/>
  <c r="N4263" i="20"/>
  <c r="U4718" i="20"/>
  <c r="N4719" i="20"/>
  <c r="T3831" i="20"/>
  <c r="J3852" i="24"/>
  <c r="K3852" i="24" s="1"/>
  <c r="N1877" i="20"/>
  <c r="N4718" i="20"/>
  <c r="N1879" i="20"/>
  <c r="O1879" i="20"/>
  <c r="P3526" i="20"/>
  <c r="K3855" i="24"/>
  <c r="K3856" i="24"/>
  <c r="K3857" i="24"/>
  <c r="K3858" i="24"/>
  <c r="K3859" i="24"/>
  <c r="N4255" i="20"/>
  <c r="N1923" i="20"/>
  <c r="O4255" i="20"/>
  <c r="AE4286" i="20" l="1"/>
  <c r="AC3526" i="20"/>
  <c r="AD3526" i="20"/>
  <c r="AC3831" i="20"/>
  <c r="AD3831" i="20"/>
  <c r="AD4718" i="20"/>
  <c r="AC4718" i="20"/>
  <c r="AF4287" i="20"/>
  <c r="AG4287" i="20" s="1"/>
  <c r="AE4287" i="20"/>
  <c r="O4195" i="20"/>
  <c r="O1923" i="20"/>
  <c r="O4718" i="20"/>
  <c r="O4285" i="20"/>
  <c r="O4247" i="20"/>
  <c r="O1877" i="20"/>
  <c r="J3850" i="24"/>
  <c r="J3847" i="24"/>
  <c r="O4274" i="20"/>
  <c r="O4276" i="20"/>
  <c r="N4276" i="20"/>
  <c r="J3849" i="24"/>
  <c r="N4274" i="20"/>
  <c r="J3848" i="24"/>
  <c r="R4612" i="20"/>
  <c r="J3844" i="24"/>
  <c r="U1141" i="20"/>
  <c r="AC1141" i="20" l="1"/>
  <c r="AD1141" i="20"/>
  <c r="AE4718" i="20"/>
  <c r="AF4718" i="20"/>
  <c r="AG4718" i="20" s="1"/>
  <c r="AD4612" i="20"/>
  <c r="AC4612" i="20"/>
  <c r="AE3831" i="20"/>
  <c r="AF3831" i="20"/>
  <c r="AG3831" i="20" s="1"/>
  <c r="AE3526" i="20"/>
  <c r="AF3526" i="20"/>
  <c r="AG3526" i="20" s="1"/>
  <c r="O1929" i="20"/>
  <c r="O4281" i="20"/>
  <c r="N4281" i="20"/>
  <c r="J3843" i="24"/>
  <c r="N4099" i="20"/>
  <c r="O4273" i="20"/>
  <c r="N4273" i="20"/>
  <c r="K3845" i="24"/>
  <c r="K3846" i="24"/>
  <c r="K3847" i="24"/>
  <c r="K3848" i="24"/>
  <c r="K3849" i="24"/>
  <c r="K3850" i="24"/>
  <c r="K3851" i="24"/>
  <c r="AE4612" i="20" l="1"/>
  <c r="AF4612" i="20"/>
  <c r="AG4612" i="20" s="1"/>
  <c r="AE1141" i="20"/>
  <c r="AF1141" i="20"/>
  <c r="AG1141" i="20" s="1"/>
  <c r="O4099" i="20"/>
  <c r="J3842" i="24"/>
  <c r="Q14" i="20" l="1"/>
  <c r="AC14" i="20" l="1"/>
  <c r="AD14" i="20"/>
  <c r="U332" i="20"/>
  <c r="O1350" i="20"/>
  <c r="N1350" i="20"/>
  <c r="O1349" i="20"/>
  <c r="N1349" i="20"/>
  <c r="O4271" i="20"/>
  <c r="N4271" i="20"/>
  <c r="O4674" i="20"/>
  <c r="N4674" i="20"/>
  <c r="N332" i="20"/>
  <c r="AC332" i="20" l="1"/>
  <c r="AD332" i="20"/>
  <c r="AF14" i="20"/>
  <c r="AG14" i="20" s="1"/>
  <c r="AE14" i="20"/>
  <c r="O332" i="20"/>
  <c r="O1922" i="20"/>
  <c r="O4205" i="20"/>
  <c r="N4205" i="20"/>
  <c r="N1922" i="20"/>
  <c r="Q4698" i="20"/>
  <c r="AC4698" i="20" l="1"/>
  <c r="AD4698" i="20"/>
  <c r="AE332" i="20"/>
  <c r="AF332" i="20"/>
  <c r="AG332" i="20" s="1"/>
  <c r="O4272" i="20"/>
  <c r="O4267" i="20"/>
  <c r="N4267" i="20"/>
  <c r="O4264" i="20"/>
  <c r="N4264" i="20"/>
  <c r="N4272" i="20"/>
  <c r="AF4698" i="20" l="1"/>
  <c r="AG4698" i="20" s="1"/>
  <c r="AE4698" i="20"/>
  <c r="J3838" i="24"/>
  <c r="K3838" i="24" s="1"/>
  <c r="Q4208" i="20"/>
  <c r="J3837" i="24"/>
  <c r="K3839" i="24"/>
  <c r="K3840" i="24"/>
  <c r="K3841" i="24"/>
  <c r="K3842" i="24"/>
  <c r="K3843" i="24"/>
  <c r="K3844" i="24"/>
  <c r="J3836" i="24"/>
  <c r="Q2089" i="20"/>
  <c r="AD2089" i="20" l="1"/>
  <c r="AC2089" i="20"/>
  <c r="AC4208" i="20"/>
  <c r="AD4208" i="20"/>
  <c r="J3833" i="24"/>
  <c r="O3041" i="20"/>
  <c r="N3041" i="20"/>
  <c r="O2089" i="20"/>
  <c r="N2089" i="20"/>
  <c r="U4238" i="20"/>
  <c r="J3832" i="24"/>
  <c r="J3835" i="24"/>
  <c r="O4717" i="20"/>
  <c r="N4717" i="20"/>
  <c r="N4713" i="20"/>
  <c r="AF2089" i="20" l="1"/>
  <c r="AG2089" i="20" s="1"/>
  <c r="AE2089" i="20"/>
  <c r="AC4238" i="20"/>
  <c r="AD4238" i="20"/>
  <c r="AF4208" i="20"/>
  <c r="AG4208" i="20" s="1"/>
  <c r="AE4208" i="20"/>
  <c r="O4183" i="20"/>
  <c r="O4713" i="20"/>
  <c r="AE4238" i="20" l="1"/>
  <c r="AF4238" i="20"/>
  <c r="AG4238" i="20" s="1"/>
  <c r="J3824" i="24"/>
  <c r="J3829" i="24"/>
  <c r="O4238" i="20"/>
  <c r="N4238" i="20"/>
  <c r="N4689" i="20"/>
  <c r="U1799" i="20"/>
  <c r="N4691" i="20"/>
  <c r="N4692" i="20"/>
  <c r="O4691" i="20"/>
  <c r="O4689" i="20"/>
  <c r="N4686" i="20"/>
  <c r="O4684" i="20"/>
  <c r="N4684" i="20"/>
  <c r="O4682" i="20"/>
  <c r="N4682" i="20"/>
  <c r="J3827" i="24"/>
  <c r="U4715" i="20"/>
  <c r="J3828" i="24"/>
  <c r="O3486" i="20"/>
  <c r="N3486" i="20"/>
  <c r="O4679" i="20"/>
  <c r="O4678" i="20"/>
  <c r="N4678" i="20"/>
  <c r="N4679" i="20"/>
  <c r="AD4715" i="20" l="1"/>
  <c r="AC4715" i="20"/>
  <c r="AC1799" i="20"/>
  <c r="AD1799" i="20"/>
  <c r="AC1769" i="20"/>
  <c r="AD1769" i="20"/>
  <c r="O4714" i="20"/>
  <c r="J3830" i="24"/>
  <c r="K3830" i="24" s="1"/>
  <c r="J3825" i="24"/>
  <c r="N4257" i="20"/>
  <c r="O4257" i="20"/>
  <c r="O4001" i="20"/>
  <c r="N4001" i="20"/>
  <c r="O1799" i="20"/>
  <c r="N1799" i="20"/>
  <c r="U1908" i="20"/>
  <c r="K3827" i="24"/>
  <c r="K3828" i="24"/>
  <c r="K3829" i="24"/>
  <c r="K3831" i="24"/>
  <c r="K3832" i="24"/>
  <c r="K3833" i="24"/>
  <c r="K3834" i="24"/>
  <c r="K3835" i="24"/>
  <c r="K3836" i="24"/>
  <c r="K3837" i="24"/>
  <c r="AE1799" i="20" l="1"/>
  <c r="AC1908" i="20"/>
  <c r="AD1908" i="20"/>
  <c r="AE1769" i="20"/>
  <c r="AF1769" i="20"/>
  <c r="AG1769" i="20" s="1"/>
  <c r="AF4715" i="20"/>
  <c r="AG4715" i="20" s="1"/>
  <c r="AE4715" i="20"/>
  <c r="AF1799" i="20"/>
  <c r="AG1799" i="20" s="1"/>
  <c r="J3826" i="24"/>
  <c r="J3821" i="24"/>
  <c r="J3823" i="24"/>
  <c r="U4245" i="20"/>
  <c r="N4147" i="20"/>
  <c r="AC4245" i="20" l="1"/>
  <c r="AD4245" i="20"/>
  <c r="AF1908" i="20"/>
  <c r="AG1908" i="20" s="1"/>
  <c r="AE1908" i="20"/>
  <c r="O4244" i="20"/>
  <c r="O4147" i="20"/>
  <c r="J3818" i="24"/>
  <c r="J3817" i="24"/>
  <c r="U1688" i="20"/>
  <c r="AD1688" i="20" l="1"/>
  <c r="AC1688" i="20"/>
  <c r="AF4245" i="20"/>
  <c r="AG4245" i="20" s="1"/>
  <c r="AE4245" i="20"/>
  <c r="J3822" i="24"/>
  <c r="O530" i="20"/>
  <c r="N530" i="20"/>
  <c r="AE1688" i="20" l="1"/>
  <c r="AF1688" i="20"/>
  <c r="AG1688" i="20" s="1"/>
  <c r="N4201" i="20"/>
  <c r="O3555" i="20"/>
  <c r="N3555" i="20"/>
  <c r="O4201" i="20"/>
  <c r="J3816" i="24" l="1"/>
  <c r="O4248" i="20"/>
  <c r="N4248" i="20"/>
  <c r="O4194" i="20"/>
  <c r="K3817" i="24"/>
  <c r="K3818" i="24"/>
  <c r="K3819" i="24"/>
  <c r="K3820" i="24"/>
  <c r="K3821" i="24"/>
  <c r="K3822" i="24"/>
  <c r="K3823" i="24"/>
  <c r="K3824" i="24"/>
  <c r="K3825" i="24"/>
  <c r="K3826" i="24"/>
  <c r="N4194" i="20"/>
  <c r="J3811" i="24" l="1"/>
  <c r="Q4258" i="20"/>
  <c r="O4176" i="20"/>
  <c r="N4258" i="20"/>
  <c r="N3616" i="20"/>
  <c r="O3616" i="20"/>
  <c r="N4176" i="20"/>
  <c r="AD4258" i="20" l="1"/>
  <c r="AC4258" i="20"/>
  <c r="O4258" i="20"/>
  <c r="O4715" i="20"/>
  <c r="N4715" i="20"/>
  <c r="AF4258" i="20" l="1"/>
  <c r="AG4258" i="20" s="1"/>
  <c r="AE4258" i="20"/>
  <c r="O3775" i="20"/>
  <c r="N3775" i="20"/>
  <c r="J3813" i="24"/>
  <c r="O1885" i="20"/>
  <c r="N1885" i="20"/>
  <c r="J3790" i="24" l="1"/>
  <c r="J3809" i="24" l="1"/>
  <c r="K3810" i="24"/>
  <c r="K3811" i="24"/>
  <c r="K3812" i="24"/>
  <c r="K3813" i="24"/>
  <c r="K3814" i="24"/>
  <c r="K3815" i="24"/>
  <c r="O4254" i="20" l="1"/>
  <c r="N4254" i="20"/>
  <c r="J3806" i="24" l="1"/>
  <c r="K3806" i="24" s="1"/>
  <c r="O4249" i="20"/>
  <c r="N4249" i="20"/>
  <c r="J3805" i="24"/>
  <c r="K3805" i="24" s="1"/>
  <c r="N4000" i="20"/>
  <c r="O4000" i="20"/>
  <c r="N4655" i="20"/>
  <c r="K3804" i="24"/>
  <c r="K3807" i="24"/>
  <c r="K3808" i="24"/>
  <c r="K3809" i="24"/>
  <c r="K3816" i="24"/>
  <c r="O4656" i="20"/>
  <c r="O4655" i="20"/>
  <c r="N4656" i="20"/>
  <c r="O3983" i="20"/>
  <c r="O3982" i="20"/>
  <c r="N3982" i="20"/>
  <c r="N3983" i="20"/>
  <c r="O4617" i="20"/>
  <c r="N4617" i="20"/>
  <c r="O4616" i="20"/>
  <c r="N4616" i="20"/>
  <c r="N4675" i="20"/>
  <c r="O4675" i="20"/>
  <c r="J3796" i="24"/>
  <c r="J3797" i="24"/>
  <c r="O4692" i="20"/>
  <c r="N4235" i="20"/>
  <c r="N4236" i="20"/>
  <c r="O4235" i="20" l="1"/>
  <c r="N3862" i="20"/>
  <c r="O3862" i="20"/>
  <c r="N3864" i="20"/>
  <c r="O3864" i="20"/>
  <c r="N3865" i="20"/>
  <c r="O3865" i="20"/>
  <c r="N3866" i="20"/>
  <c r="O3866" i="20"/>
  <c r="O4712" i="20" l="1"/>
  <c r="N4712" i="20"/>
  <c r="O1919" i="20"/>
  <c r="N1919" i="20"/>
  <c r="O4245" i="20" l="1"/>
  <c r="N4245" i="20"/>
  <c r="J3771" i="24"/>
  <c r="J3794" i="24"/>
  <c r="O4239" i="20"/>
  <c r="J3795" i="24"/>
  <c r="O4716" i="20"/>
  <c r="N4716" i="20"/>
  <c r="N4239" i="20"/>
  <c r="K3797" i="24" l="1"/>
  <c r="K3798" i="24"/>
  <c r="K3799" i="24"/>
  <c r="K3800" i="24"/>
  <c r="K3801" i="24"/>
  <c r="K3802" i="24"/>
  <c r="K3803" i="24"/>
  <c r="J3792" i="24"/>
  <c r="O1547" i="20" l="1"/>
  <c r="N1547" i="20"/>
  <c r="J3785" i="24"/>
  <c r="J3788" i="24" l="1"/>
  <c r="N1912" i="20" l="1"/>
  <c r="O1912" i="20"/>
  <c r="J3791" i="24"/>
  <c r="J3787" i="24"/>
  <c r="O3798" i="20"/>
  <c r="N3798" i="20"/>
  <c r="J3748" i="24"/>
  <c r="J3786" i="24"/>
  <c r="O4112" i="20" l="1"/>
  <c r="N4112" i="20"/>
  <c r="K3790" i="24" l="1"/>
  <c r="K3791" i="24"/>
  <c r="K3792" i="24"/>
  <c r="K3793" i="24"/>
  <c r="K3794" i="24"/>
  <c r="K3795" i="24"/>
  <c r="K3796" i="24"/>
  <c r="O4237" i="20"/>
  <c r="N4237" i="20"/>
  <c r="O4708" i="20" l="1"/>
  <c r="N4708" i="20"/>
  <c r="O4686" i="20"/>
  <c r="N890" i="20"/>
  <c r="O890" i="20"/>
  <c r="O4243" i="20"/>
  <c r="N4243" i="20"/>
  <c r="J3789" i="24" l="1"/>
  <c r="K3789" i="24" s="1"/>
  <c r="O1899" i="20"/>
  <c r="O3839" i="20"/>
  <c r="N3839" i="20"/>
  <c r="O1884" i="20"/>
  <c r="N1884" i="20"/>
  <c r="K3787" i="24"/>
  <c r="K3788" i="24"/>
  <c r="N1899" i="20"/>
  <c r="J3775" i="24"/>
  <c r="J3756" i="24"/>
  <c r="O4095" i="20"/>
  <c r="N4095" i="20"/>
  <c r="N1918" i="20"/>
  <c r="O1918" i="20" l="1"/>
  <c r="O1546" i="20"/>
  <c r="N1546" i="20"/>
  <c r="O4242" i="20"/>
  <c r="N4242" i="20"/>
  <c r="J3779" i="24"/>
  <c r="O4065" i="20"/>
  <c r="O4236" i="20"/>
  <c r="N1911" i="20"/>
  <c r="O1911" i="20"/>
  <c r="J3784" i="24"/>
  <c r="J3783" i="24"/>
  <c r="N4065" i="20"/>
  <c r="J3766" i="24" l="1"/>
  <c r="J3781" i="24"/>
  <c r="O4710" i="20"/>
  <c r="O4200" i="20"/>
  <c r="N4200" i="20"/>
  <c r="O4203" i="20"/>
  <c r="N4203" i="20"/>
  <c r="O4202" i="20"/>
  <c r="N4202" i="20"/>
  <c r="O1915" i="20"/>
  <c r="N1915" i="20"/>
  <c r="V3722" i="20"/>
  <c r="N4710" i="20"/>
  <c r="AC3722" i="20" l="1"/>
  <c r="AD3722" i="20"/>
  <c r="J3774" i="24"/>
  <c r="K3779" i="24"/>
  <c r="K3780" i="24"/>
  <c r="K3781" i="24"/>
  <c r="K3782" i="24"/>
  <c r="K3783" i="24"/>
  <c r="K3784" i="24"/>
  <c r="K3785" i="24"/>
  <c r="K3786" i="24"/>
  <c r="O4241" i="20"/>
  <c r="O4711" i="20"/>
  <c r="N4711" i="20"/>
  <c r="O4709" i="20"/>
  <c r="N4709" i="20"/>
  <c r="N4241" i="20"/>
  <c r="J3773" i="24"/>
  <c r="AF3722" i="20" l="1"/>
  <c r="AG3722" i="20" s="1"/>
  <c r="AE3722" i="20"/>
  <c r="J3772" i="24"/>
  <c r="J3763" i="24"/>
  <c r="J3769" i="24"/>
  <c r="N4233" i="20"/>
  <c r="N4234" i="20"/>
  <c r="O4234" i="20"/>
  <c r="J3764" i="24" l="1"/>
  <c r="J3770" i="24"/>
  <c r="O1896" i="20" l="1"/>
  <c r="N1896" i="20"/>
  <c r="N4649" i="20" l="1"/>
  <c r="K3770" i="24"/>
  <c r="K3771" i="24"/>
  <c r="K3772" i="24"/>
  <c r="K3773" i="24"/>
  <c r="K3774" i="24"/>
  <c r="K3775" i="24"/>
  <c r="K3776" i="24"/>
  <c r="K3777" i="24"/>
  <c r="O4649" i="20" l="1"/>
  <c r="J3767" i="24"/>
  <c r="O1908" i="20"/>
  <c r="N1908" i="20"/>
  <c r="O4707" i="20"/>
  <c r="N4707" i="20"/>
  <c r="O4706" i="20"/>
  <c r="N4706" i="20"/>
  <c r="J3768" i="24"/>
  <c r="O3836" i="20" l="1"/>
  <c r="N3836" i="20"/>
  <c r="J3760" i="24"/>
  <c r="K3766" i="24" l="1"/>
  <c r="K3767" i="24"/>
  <c r="K3768" i="24"/>
  <c r="K3769" i="24"/>
  <c r="K3778" i="24"/>
  <c r="O3856" i="20"/>
  <c r="N3856" i="20"/>
  <c r="O1916" i="20"/>
  <c r="N1916" i="20"/>
  <c r="O1898" i="20"/>
  <c r="N1898" i="20"/>
  <c r="N4695" i="20"/>
  <c r="J3765" i="24"/>
  <c r="O4233" i="20" l="1"/>
  <c r="O4695" i="20"/>
  <c r="AC4018" i="20" l="1"/>
  <c r="AF4018" i="20" s="1"/>
  <c r="AG4018" i="20" s="1"/>
  <c r="AD4018" i="20"/>
  <c r="O3079" i="20"/>
  <c r="O3802" i="20"/>
  <c r="N3079" i="20"/>
  <c r="N3802" i="20"/>
  <c r="O4124" i="20"/>
  <c r="N4124" i="20"/>
  <c r="O4126" i="20"/>
  <c r="N4126" i="20"/>
  <c r="O1894" i="20"/>
  <c r="N1894" i="20"/>
  <c r="AE4018" i="20" l="1"/>
  <c r="J3753" i="24"/>
  <c r="K3757" i="24"/>
  <c r="K3758" i="24"/>
  <c r="K3759" i="24"/>
  <c r="K3760" i="24"/>
  <c r="K3761" i="24"/>
  <c r="K3762" i="24"/>
  <c r="K3763" i="24"/>
  <c r="K3764" i="24"/>
  <c r="K3765" i="24"/>
  <c r="J3749" i="24"/>
  <c r="N4700" i="20" l="1"/>
  <c r="J3751" i="24"/>
  <c r="J3728" i="24" l="1"/>
  <c r="J3752" i="24"/>
  <c r="N4208" i="20" l="1"/>
  <c r="O4207" i="20"/>
  <c r="N4207" i="20"/>
  <c r="O4206" i="20"/>
  <c r="N4206" i="20"/>
  <c r="V4165" i="20" l="1"/>
  <c r="O1860" i="20"/>
  <c r="N1860" i="20"/>
  <c r="O4174" i="20"/>
  <c r="N4174" i="20"/>
  <c r="J3750" i="24"/>
  <c r="AC4165" i="20" l="1"/>
  <c r="AF4165" i="20" s="1"/>
  <c r="AG4165" i="20" s="1"/>
  <c r="AD4165" i="20"/>
  <c r="O4216" i="20"/>
  <c r="O4215" i="20"/>
  <c r="N4215" i="20"/>
  <c r="N4216" i="20"/>
  <c r="AE4165" i="20" l="1"/>
  <c r="O4153" i="20"/>
  <c r="N4153" i="20"/>
  <c r="K3750" i="24"/>
  <c r="O1914" i="20"/>
  <c r="N1914" i="20"/>
  <c r="K3746" i="24"/>
  <c r="K3747" i="24"/>
  <c r="K3748" i="24"/>
  <c r="K3749" i="24"/>
  <c r="K3751" i="24"/>
  <c r="K3752" i="24"/>
  <c r="K3753" i="24"/>
  <c r="K3754" i="24"/>
  <c r="K3755" i="24"/>
  <c r="O4700" i="20" l="1"/>
  <c r="O4208" i="20"/>
  <c r="O4172" i="20"/>
  <c r="N4172" i="20"/>
  <c r="J3743" i="24" l="1"/>
  <c r="J3740" i="24"/>
  <c r="O4204" i="20"/>
  <c r="N4204" i="20"/>
  <c r="O2589" i="20"/>
  <c r="N2589" i="20"/>
  <c r="O1901" i="20" l="1"/>
  <c r="N1901" i="20"/>
  <c r="N4152" i="20"/>
  <c r="O4192" i="20"/>
  <c r="N4192" i="20"/>
  <c r="U4703" i="20"/>
  <c r="J3738" i="24"/>
  <c r="K3738" i="24" s="1"/>
  <c r="O4705" i="20"/>
  <c r="O4198" i="20"/>
  <c r="N4186" i="20"/>
  <c r="O4186" i="20"/>
  <c r="N4187" i="20"/>
  <c r="O4187" i="20"/>
  <c r="N4705" i="20"/>
  <c r="N4703" i="20"/>
  <c r="K3740" i="24"/>
  <c r="K3741" i="24"/>
  <c r="K3742" i="24"/>
  <c r="K3743" i="24"/>
  <c r="K3744" i="24"/>
  <c r="K3745" i="24"/>
  <c r="N4198" i="20"/>
  <c r="J3739" i="24"/>
  <c r="K3739" i="24" s="1"/>
  <c r="J3737" i="24"/>
  <c r="K3737" i="24" s="1"/>
  <c r="O4152" i="20"/>
  <c r="K3735" i="24"/>
  <c r="K3736" i="24"/>
  <c r="K3756" i="24"/>
  <c r="O4164" i="20"/>
  <c r="N4164" i="20"/>
  <c r="J3733" i="24"/>
  <c r="AC4703" i="20" l="1"/>
  <c r="AD4703" i="20"/>
  <c r="O4703" i="20"/>
  <c r="J3727" i="24"/>
  <c r="J3730" i="24"/>
  <c r="AF4703" i="20" l="1"/>
  <c r="AG4703" i="20" s="1"/>
  <c r="AE4703" i="20"/>
  <c r="N4133" i="20"/>
  <c r="K3730" i="24" l="1"/>
  <c r="K3731" i="24"/>
  <c r="K3732" i="24"/>
  <c r="K3733" i="24"/>
  <c r="K3734" i="24"/>
  <c r="J3723" i="24" l="1"/>
  <c r="J3725" i="24"/>
  <c r="J3719" i="24" l="1"/>
  <c r="O4069" i="20"/>
  <c r="O3841" i="20"/>
  <c r="N3841" i="20"/>
  <c r="O2812" i="20"/>
  <c r="N2812" i="20"/>
  <c r="O1892" i="20"/>
  <c r="K3727" i="24"/>
  <c r="K3728" i="24"/>
  <c r="K3729" i="24"/>
  <c r="N4069" i="20"/>
  <c r="J3721" i="24"/>
  <c r="O4197" i="20"/>
  <c r="N1892" i="20"/>
  <c r="O4161" i="20"/>
  <c r="N4161" i="20"/>
  <c r="J3724" i="24"/>
  <c r="O4196" i="20"/>
  <c r="N4196" i="20"/>
  <c r="N4197" i="20"/>
  <c r="J3726" i="24"/>
  <c r="N4702" i="20"/>
  <c r="O4199" i="20"/>
  <c r="N4199" i="20"/>
  <c r="O4702" i="20" l="1"/>
  <c r="K3723" i="24" l="1"/>
  <c r="K3724" i="24"/>
  <c r="K3725" i="24"/>
  <c r="K3726" i="24"/>
  <c r="J3715" i="24"/>
  <c r="N4701" i="20"/>
  <c r="O4701" i="20"/>
  <c r="J3722" i="24"/>
  <c r="J3711" i="24"/>
  <c r="J3703" i="24"/>
  <c r="O1909" i="20"/>
  <c r="N1909" i="20"/>
  <c r="J3714" i="24"/>
  <c r="O1857" i="20" l="1"/>
  <c r="K3717" i="24"/>
  <c r="K3718" i="24"/>
  <c r="K3719" i="24"/>
  <c r="K3720" i="24"/>
  <c r="K3721" i="24"/>
  <c r="K3722" i="24"/>
  <c r="J3716" i="24"/>
  <c r="N1857" i="20"/>
  <c r="J3707" i="24"/>
  <c r="J3713" i="24"/>
  <c r="N923" i="20" l="1"/>
  <c r="O923" i="20"/>
  <c r="O4111" i="20"/>
  <c r="N4111" i="20"/>
  <c r="O4193" i="20"/>
  <c r="N4193" i="20"/>
  <c r="J3708" i="24" l="1"/>
  <c r="J3702" i="24" l="1"/>
  <c r="Q4191" i="20"/>
  <c r="AC4191" i="20" l="1"/>
  <c r="AD4191" i="20"/>
  <c r="O4191" i="20"/>
  <c r="N4191" i="20"/>
  <c r="O4190" i="20"/>
  <c r="N4190" i="20"/>
  <c r="AE4191" i="20" l="1"/>
  <c r="AF4191" i="20"/>
  <c r="AG4191" i="20" s="1"/>
  <c r="N1900" i="20"/>
  <c r="O1900" i="20"/>
  <c r="O4157" i="20"/>
  <c r="N4157" i="20"/>
  <c r="J3710" i="24" l="1"/>
  <c r="O4166" i="20" l="1"/>
  <c r="N4166" i="20"/>
  <c r="O1903" i="20" l="1"/>
  <c r="N4693" i="20"/>
  <c r="N1903" i="20"/>
  <c r="K3710" i="24" l="1"/>
  <c r="K3711" i="24"/>
  <c r="K3712" i="24"/>
  <c r="K3713" i="24"/>
  <c r="K3714" i="24"/>
  <c r="K3715" i="24"/>
  <c r="K3716" i="24"/>
  <c r="O1769" i="20"/>
  <c r="N3936" i="20"/>
  <c r="O1893" i="20"/>
  <c r="N1893" i="20"/>
  <c r="N1902" i="20"/>
  <c r="O1902" i="20"/>
  <c r="N1910" i="20"/>
  <c r="O1910" i="20"/>
  <c r="N1769" i="20"/>
  <c r="N1770" i="20"/>
  <c r="O1770" i="20"/>
  <c r="N1771" i="20"/>
  <c r="O1771" i="20"/>
  <c r="J3705" i="24" l="1"/>
  <c r="J3706" i="24"/>
  <c r="O4696" i="20"/>
  <c r="N4698" i="20"/>
  <c r="O4698" i="20"/>
  <c r="N4699" i="20"/>
  <c r="O4697" i="20"/>
  <c r="N4697" i="20"/>
  <c r="J3704" i="24"/>
  <c r="O4699" i="20"/>
  <c r="N4696" i="20"/>
  <c r="J3699" i="24" l="1"/>
  <c r="K3703" i="24" l="1"/>
  <c r="K3704" i="24"/>
  <c r="K3705" i="24"/>
  <c r="K3706" i="24"/>
  <c r="K3707" i="24"/>
  <c r="K3708" i="24"/>
  <c r="K3709" i="24"/>
  <c r="O4188" i="20"/>
  <c r="N4188" i="20"/>
  <c r="J3690" i="24"/>
  <c r="U1801" i="20" l="1"/>
  <c r="AC1801" i="20" l="1"/>
  <c r="AD1801" i="20"/>
  <c r="O3891" i="20"/>
  <c r="N3891" i="20"/>
  <c r="J3700" i="24"/>
  <c r="O1882" i="20"/>
  <c r="N1882" i="20"/>
  <c r="AE1801" i="20" l="1"/>
  <c r="AF1801" i="20"/>
  <c r="AG1801" i="20" s="1"/>
  <c r="N4146" i="20"/>
  <c r="J3696" i="24" l="1"/>
  <c r="J3701" i="24"/>
  <c r="N4148" i="20"/>
  <c r="N4158" i="20"/>
  <c r="O4158" i="20"/>
  <c r="J3682" i="24"/>
  <c r="J3693" i="24"/>
  <c r="N1891" i="20"/>
  <c r="N4169" i="20"/>
  <c r="N4167" i="20"/>
  <c r="J3687" i="24"/>
  <c r="O4146" i="20" l="1"/>
  <c r="O4169" i="20"/>
  <c r="O4167" i="20"/>
  <c r="O1891" i="20"/>
  <c r="O4148" i="20"/>
  <c r="O1897" i="20" l="1"/>
  <c r="N1897" i="20"/>
  <c r="O1887" i="20"/>
  <c r="N1887" i="20"/>
  <c r="K3694" i="24"/>
  <c r="K3695" i="24"/>
  <c r="K3696" i="24"/>
  <c r="K3697" i="24"/>
  <c r="K3698" i="24"/>
  <c r="K3699" i="24"/>
  <c r="K3700" i="24"/>
  <c r="K3701" i="24"/>
  <c r="O4596" i="20" l="1"/>
  <c r="N4596" i="20"/>
  <c r="N1856" i="20"/>
  <c r="O1856" i="20"/>
  <c r="O4154" i="20"/>
  <c r="N4154" i="20"/>
  <c r="J3685" i="24" l="1"/>
  <c r="K3691" i="24"/>
  <c r="K3692" i="24"/>
  <c r="K3693" i="24"/>
  <c r="K3702" i="24"/>
  <c r="O4173" i="20"/>
  <c r="N4173" i="20"/>
  <c r="J3686" i="24"/>
  <c r="O1895" i="20"/>
  <c r="N1895" i="20"/>
  <c r="N4162" i="20"/>
  <c r="N4165" i="20"/>
  <c r="O4165" i="20"/>
  <c r="N4209" i="20"/>
  <c r="O4209" i="20"/>
  <c r="N4210" i="20"/>
  <c r="O4210" i="20"/>
  <c r="O4162" i="20" l="1"/>
  <c r="N1890" i="20"/>
  <c r="O1890" i="20" l="1"/>
  <c r="J3684" i="24"/>
  <c r="O4693" i="20" l="1"/>
  <c r="N4694" i="20"/>
  <c r="O4694" i="20"/>
  <c r="J3674" i="24"/>
  <c r="O1889" i="20"/>
  <c r="N1889" i="20"/>
  <c r="O4122" i="20" l="1"/>
  <c r="N4122" i="20"/>
  <c r="J3680" i="24" l="1"/>
  <c r="J3683" i="24"/>
  <c r="J3678" i="24"/>
  <c r="J3676" i="24"/>
  <c r="O4137" i="20"/>
  <c r="N4137" i="20"/>
  <c r="O1780" i="20" l="1"/>
  <c r="N1780" i="20"/>
  <c r="O4155" i="20"/>
  <c r="N4155" i="20"/>
  <c r="J3679" i="24" l="1"/>
  <c r="K3682" i="24"/>
  <c r="K3683" i="24"/>
  <c r="K3684" i="24"/>
  <c r="K3685" i="24"/>
  <c r="K3686" i="24"/>
  <c r="K3687" i="24"/>
  <c r="K3688" i="24"/>
  <c r="K3689" i="24"/>
  <c r="K3690" i="24"/>
  <c r="J3677" i="24" l="1"/>
  <c r="J3666" i="24"/>
  <c r="J3673" i="24"/>
  <c r="J3675" i="24"/>
  <c r="K3673" i="24" l="1"/>
  <c r="K3674" i="24"/>
  <c r="K3675" i="24"/>
  <c r="K3676" i="24"/>
  <c r="K3677" i="24"/>
  <c r="K3678" i="24"/>
  <c r="K3679" i="24"/>
  <c r="K3680" i="24"/>
  <c r="K3681" i="24"/>
  <c r="N4151" i="20"/>
  <c r="O4151" i="20"/>
  <c r="J3668" i="24"/>
  <c r="J3671" i="24"/>
  <c r="J3670" i="24"/>
  <c r="J3650" i="24"/>
  <c r="J3669" i="24"/>
  <c r="J3663" i="24"/>
  <c r="J3667" i="24" l="1"/>
  <c r="J3665" i="24" l="1"/>
  <c r="O4159" i="20" l="1"/>
  <c r="N4159" i="20"/>
  <c r="J3661" i="24"/>
  <c r="O4133" i="20"/>
  <c r="O4136" i="20"/>
  <c r="O605" i="20"/>
  <c r="N605" i="20"/>
  <c r="K3665" i="24" l="1"/>
  <c r="K3666" i="24"/>
  <c r="K3667" i="24"/>
  <c r="K3668" i="24"/>
  <c r="K3669" i="24"/>
  <c r="K3670" i="24"/>
  <c r="K3671" i="24"/>
  <c r="K3672" i="24"/>
  <c r="J3653" i="24" l="1"/>
  <c r="O1886" i="20"/>
  <c r="N1886" i="20"/>
  <c r="Y1006" i="20"/>
  <c r="J3657" i="24"/>
  <c r="J3664" i="24"/>
  <c r="J3654" i="24"/>
  <c r="J3659" i="24"/>
  <c r="J3658" i="24"/>
  <c r="N4680" i="20"/>
  <c r="O4680" i="20"/>
  <c r="N4060" i="20"/>
  <c r="AD1006" i="20" l="1"/>
  <c r="AC1006" i="20"/>
  <c r="AC1355" i="20"/>
  <c r="AD1355" i="20"/>
  <c r="O4060" i="20"/>
  <c r="O3898" i="20"/>
  <c r="O3474" i="20"/>
  <c r="O2633" i="20"/>
  <c r="O2866" i="20"/>
  <c r="O3900" i="20"/>
  <c r="O2785" i="20"/>
  <c r="O158" i="20"/>
  <c r="O3731" i="20"/>
  <c r="O4142" i="20"/>
  <c r="O1830" i="20"/>
  <c r="O1845" i="20"/>
  <c r="O1053" i="20"/>
  <c r="O392" i="20"/>
  <c r="O2656" i="20"/>
  <c r="O3272" i="20"/>
  <c r="O3212" i="20"/>
  <c r="O3183" i="20"/>
  <c r="O1848" i="20"/>
  <c r="O1850" i="20"/>
  <c r="O3957" i="20"/>
  <c r="O1759" i="20"/>
  <c r="O1878" i="20"/>
  <c r="O4003" i="20"/>
  <c r="O4801" i="20"/>
  <c r="O3819" i="20"/>
  <c r="O2587" i="20"/>
  <c r="O1571" i="20"/>
  <c r="O1160" i="20"/>
  <c r="O1874" i="20"/>
  <c r="O404" i="20"/>
  <c r="K3657" i="24"/>
  <c r="K3658" i="24"/>
  <c r="K3659" i="24"/>
  <c r="K3660" i="24"/>
  <c r="K3661" i="24"/>
  <c r="K3662" i="24"/>
  <c r="K3663" i="24"/>
  <c r="K3664" i="24"/>
  <c r="N7" i="20"/>
  <c r="O7" i="20"/>
  <c r="N8" i="20"/>
  <c r="O8" i="20"/>
  <c r="N9" i="20"/>
  <c r="O9" i="20"/>
  <c r="O10" i="20"/>
  <c r="N11" i="20"/>
  <c r="O11" i="20"/>
  <c r="N12" i="20"/>
  <c r="O12" i="20"/>
  <c r="N13" i="20"/>
  <c r="O13" i="20"/>
  <c r="N14" i="20"/>
  <c r="N15" i="20"/>
  <c r="O15" i="20"/>
  <c r="N16" i="20"/>
  <c r="O16" i="20"/>
  <c r="N17" i="20"/>
  <c r="O17" i="20"/>
  <c r="N18" i="20"/>
  <c r="O18" i="20"/>
  <c r="N19" i="20"/>
  <c r="O19" i="20"/>
  <c r="O20" i="20"/>
  <c r="N21" i="20"/>
  <c r="O21" i="20"/>
  <c r="N22" i="20"/>
  <c r="O22" i="20"/>
  <c r="N23" i="20"/>
  <c r="O23" i="20"/>
  <c r="N24" i="20"/>
  <c r="O24" i="20"/>
  <c r="N25" i="20"/>
  <c r="O25" i="20"/>
  <c r="N26" i="20"/>
  <c r="O26" i="20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N46" i="20"/>
  <c r="O46" i="20"/>
  <c r="N47" i="20"/>
  <c r="O47" i="20"/>
  <c r="N48" i="20"/>
  <c r="O48" i="20"/>
  <c r="N49" i="20"/>
  <c r="O49" i="20"/>
  <c r="N50" i="20"/>
  <c r="O50" i="20"/>
  <c r="N51" i="20"/>
  <c r="O51" i="20"/>
  <c r="N52" i="20"/>
  <c r="O52" i="20"/>
  <c r="N53" i="20"/>
  <c r="O53" i="20"/>
  <c r="N54" i="20"/>
  <c r="O54" i="20"/>
  <c r="N55" i="20"/>
  <c r="O55" i="20"/>
  <c r="N56" i="20"/>
  <c r="O56" i="20"/>
  <c r="N57" i="20"/>
  <c r="O57" i="20"/>
  <c r="N58" i="20"/>
  <c r="O58" i="20"/>
  <c r="N59" i="20"/>
  <c r="O59" i="20"/>
  <c r="N60" i="20"/>
  <c r="O60" i="20"/>
  <c r="N61" i="20"/>
  <c r="O61" i="20"/>
  <c r="N62" i="20"/>
  <c r="O62" i="20"/>
  <c r="N63" i="20"/>
  <c r="O63" i="20"/>
  <c r="N64" i="20"/>
  <c r="O64" i="20"/>
  <c r="N65" i="20"/>
  <c r="O65" i="20"/>
  <c r="N66" i="20"/>
  <c r="O66" i="20"/>
  <c r="N67" i="20"/>
  <c r="O67" i="20"/>
  <c r="N68" i="20"/>
  <c r="O68" i="20"/>
  <c r="N69" i="20"/>
  <c r="O69" i="20"/>
  <c r="N70" i="20"/>
  <c r="O70" i="20"/>
  <c r="N71" i="20"/>
  <c r="O71" i="20"/>
  <c r="N72" i="20"/>
  <c r="N73" i="20"/>
  <c r="O73" i="20"/>
  <c r="N74" i="20"/>
  <c r="O74" i="20"/>
  <c r="N75" i="20"/>
  <c r="O75" i="20"/>
  <c r="N76" i="20"/>
  <c r="O76" i="20"/>
  <c r="N77" i="20"/>
  <c r="O77" i="20"/>
  <c r="N78" i="20"/>
  <c r="O78" i="20"/>
  <c r="N79" i="20"/>
  <c r="O79" i="20"/>
  <c r="N80" i="20"/>
  <c r="O80" i="20"/>
  <c r="N81" i="20"/>
  <c r="O81" i="20"/>
  <c r="N82" i="20"/>
  <c r="O82" i="20"/>
  <c r="N83" i="20"/>
  <c r="O83" i="20"/>
  <c r="N84" i="20"/>
  <c r="N85" i="20"/>
  <c r="O85" i="20"/>
  <c r="N86" i="20"/>
  <c r="O86" i="20"/>
  <c r="N87" i="20"/>
  <c r="O87" i="20"/>
  <c r="N88" i="20"/>
  <c r="O88" i="20"/>
  <c r="N89" i="20"/>
  <c r="O89" i="20"/>
  <c r="N90" i="20"/>
  <c r="O90" i="20"/>
  <c r="N91" i="20"/>
  <c r="O91" i="20"/>
  <c r="N92" i="20"/>
  <c r="O92" i="20"/>
  <c r="N93" i="20"/>
  <c r="O93" i="20"/>
  <c r="N94" i="20"/>
  <c r="O94" i="20"/>
  <c r="N95" i="20"/>
  <c r="O95" i="20"/>
  <c r="N96" i="20"/>
  <c r="O96" i="20"/>
  <c r="N97" i="20"/>
  <c r="O97" i="20"/>
  <c r="N98" i="20"/>
  <c r="O98" i="20"/>
  <c r="N99" i="20"/>
  <c r="O99" i="20"/>
  <c r="N100" i="20"/>
  <c r="O100" i="20"/>
  <c r="N101" i="20"/>
  <c r="O101" i="20"/>
  <c r="N102" i="20"/>
  <c r="O102" i="20"/>
  <c r="N103" i="20"/>
  <c r="O103" i="20"/>
  <c r="N104" i="20"/>
  <c r="O104" i="20"/>
  <c r="N105" i="20"/>
  <c r="O105" i="20"/>
  <c r="N106" i="20"/>
  <c r="O106" i="20"/>
  <c r="N107" i="20"/>
  <c r="O107" i="20"/>
  <c r="N108" i="20"/>
  <c r="O1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N157" i="20"/>
  <c r="O157" i="20"/>
  <c r="N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N204" i="20"/>
  <c r="O204" i="20"/>
  <c r="N205" i="20"/>
  <c r="O205" i="20"/>
  <c r="N206" i="20"/>
  <c r="O206" i="20"/>
  <c r="N207" i="20"/>
  <c r="O207" i="20"/>
  <c r="N208" i="20"/>
  <c r="O208" i="20"/>
  <c r="N209" i="20"/>
  <c r="O209" i="20"/>
  <c r="N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N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N297" i="20"/>
  <c r="O297" i="20"/>
  <c r="N298" i="20"/>
  <c r="O298" i="20"/>
  <c r="N299" i="20"/>
  <c r="N300" i="20"/>
  <c r="O300" i="20"/>
  <c r="N301" i="20"/>
  <c r="O301" i="20"/>
  <c r="N302" i="20"/>
  <c r="O302" i="20"/>
  <c r="N303" i="20"/>
  <c r="O303" i="20"/>
  <c r="N304" i="20"/>
  <c r="O304" i="20"/>
  <c r="N305" i="20"/>
  <c r="N306" i="20"/>
  <c r="O306" i="20"/>
  <c r="N307" i="20"/>
  <c r="O307" i="20"/>
  <c r="N308" i="20"/>
  <c r="O308" i="20"/>
  <c r="N309" i="20"/>
  <c r="O309" i="20"/>
  <c r="N310" i="20"/>
  <c r="O310" i="20"/>
  <c r="N311" i="20"/>
  <c r="O311" i="20"/>
  <c r="N312" i="20"/>
  <c r="O312" i="20"/>
  <c r="N313" i="20"/>
  <c r="O313" i="20"/>
  <c r="N314" i="20"/>
  <c r="O314" i="20"/>
  <c r="N315" i="20"/>
  <c r="O315" i="20"/>
  <c r="N316" i="20"/>
  <c r="N317" i="20"/>
  <c r="O317" i="20"/>
  <c r="N318" i="20"/>
  <c r="O318" i="20"/>
  <c r="N319" i="20"/>
  <c r="O319" i="20"/>
  <c r="N320" i="20"/>
  <c r="O320" i="20"/>
  <c r="N322" i="20"/>
  <c r="O322" i="20"/>
  <c r="N323" i="20"/>
  <c r="O323" i="20"/>
  <c r="N324" i="20"/>
  <c r="O324" i="20"/>
  <c r="N325" i="20"/>
  <c r="O325" i="20"/>
  <c r="N326" i="20"/>
  <c r="O326" i="20"/>
  <c r="N327" i="20"/>
  <c r="O327" i="20"/>
  <c r="N328" i="20"/>
  <c r="O328" i="20"/>
  <c r="N329" i="20"/>
  <c r="O329" i="20"/>
  <c r="N330" i="20"/>
  <c r="O330" i="20"/>
  <c r="N331" i="20"/>
  <c r="O331" i="20"/>
  <c r="N333" i="20"/>
  <c r="O333" i="20"/>
  <c r="N334" i="20"/>
  <c r="O334" i="20"/>
  <c r="N335" i="20"/>
  <c r="O335" i="20"/>
  <c r="N336" i="20"/>
  <c r="O336" i="20"/>
  <c r="N337" i="20"/>
  <c r="O337" i="20"/>
  <c r="N338" i="20"/>
  <c r="O338" i="20"/>
  <c r="N339" i="20"/>
  <c r="O339" i="20"/>
  <c r="N340" i="20"/>
  <c r="O340" i="20"/>
  <c r="N341" i="20"/>
  <c r="O341" i="20"/>
  <c r="N342" i="20"/>
  <c r="O342" i="20"/>
  <c r="N343" i="20"/>
  <c r="O343" i="20"/>
  <c r="N344" i="20"/>
  <c r="O344" i="20"/>
  <c r="N345" i="20"/>
  <c r="O345" i="20"/>
  <c r="N346" i="20"/>
  <c r="O346" i="20"/>
  <c r="N347" i="20"/>
  <c r="O347" i="20"/>
  <c r="N348" i="20"/>
  <c r="O348" i="20"/>
  <c r="N349" i="20"/>
  <c r="O349" i="20"/>
  <c r="N350" i="20"/>
  <c r="N351" i="20"/>
  <c r="O351" i="20"/>
  <c r="N352" i="20"/>
  <c r="O352" i="20"/>
  <c r="N353" i="20"/>
  <c r="O353" i="20"/>
  <c r="N354" i="20"/>
  <c r="O354" i="20"/>
  <c r="N355" i="20"/>
  <c r="O355" i="20"/>
  <c r="N356" i="20"/>
  <c r="O356" i="20"/>
  <c r="N357" i="20"/>
  <c r="O357" i="20"/>
  <c r="N358" i="20"/>
  <c r="O358" i="20"/>
  <c r="N359" i="20"/>
  <c r="O359" i="20"/>
  <c r="N360" i="20"/>
  <c r="O360" i="20"/>
  <c r="N361" i="20"/>
  <c r="O361" i="20"/>
  <c r="N362" i="20"/>
  <c r="O362" i="20"/>
  <c r="N363" i="20"/>
  <c r="O363" i="20"/>
  <c r="N364" i="20"/>
  <c r="O364" i="20"/>
  <c r="N365" i="20"/>
  <c r="O365" i="20"/>
  <c r="N366" i="20"/>
  <c r="O366" i="20"/>
  <c r="N367" i="20"/>
  <c r="O367" i="20"/>
  <c r="N368" i="20"/>
  <c r="O368" i="20"/>
  <c r="N369" i="20"/>
  <c r="O369" i="20"/>
  <c r="N370" i="20"/>
  <c r="O370" i="20"/>
  <c r="N371" i="20"/>
  <c r="O371" i="20"/>
  <c r="N372" i="20"/>
  <c r="O372" i="20"/>
  <c r="N373" i="20"/>
  <c r="O373" i="20"/>
  <c r="N374" i="20"/>
  <c r="O374" i="20"/>
  <c r="N375" i="20"/>
  <c r="O375" i="20"/>
  <c r="N376" i="20"/>
  <c r="N377" i="20"/>
  <c r="O377" i="20"/>
  <c r="N378" i="20"/>
  <c r="O378" i="20"/>
  <c r="N379" i="20"/>
  <c r="O379" i="20"/>
  <c r="N380" i="20"/>
  <c r="O380" i="20"/>
  <c r="N381" i="20"/>
  <c r="O381" i="20"/>
  <c r="N382" i="20"/>
  <c r="O382" i="20"/>
  <c r="N383" i="20"/>
  <c r="O383" i="20"/>
  <c r="N384" i="20"/>
  <c r="O384" i="20"/>
  <c r="N385" i="20"/>
  <c r="O385" i="20"/>
  <c r="N386" i="20"/>
  <c r="O386" i="20"/>
  <c r="N387" i="20"/>
  <c r="O387" i="20"/>
  <c r="N388" i="20"/>
  <c r="O388" i="20"/>
  <c r="N389" i="20"/>
  <c r="O389" i="20"/>
  <c r="N390" i="20"/>
  <c r="O390" i="20"/>
  <c r="N391" i="20"/>
  <c r="O391" i="20"/>
  <c r="N392" i="20"/>
  <c r="N393" i="20"/>
  <c r="N394" i="20"/>
  <c r="O394" i="20"/>
  <c r="N395" i="20"/>
  <c r="O395" i="20"/>
  <c r="N396" i="20"/>
  <c r="O396" i="20"/>
  <c r="N397" i="20"/>
  <c r="O397" i="20"/>
  <c r="N398" i="20"/>
  <c r="O398" i="20"/>
  <c r="N399" i="20"/>
  <c r="O399" i="20"/>
  <c r="N400" i="20"/>
  <c r="O400" i="20"/>
  <c r="N401" i="20"/>
  <c r="O401" i="20"/>
  <c r="N402" i="20"/>
  <c r="O402" i="20"/>
  <c r="N403" i="20"/>
  <c r="O403" i="20"/>
  <c r="N404" i="20"/>
  <c r="N405" i="20"/>
  <c r="O405" i="20"/>
  <c r="N406" i="20"/>
  <c r="O406" i="20"/>
  <c r="N407" i="20"/>
  <c r="O407" i="20"/>
  <c r="N408" i="20"/>
  <c r="O408" i="20"/>
  <c r="N409" i="20"/>
  <c r="N410" i="20"/>
  <c r="N412" i="20"/>
  <c r="O412" i="20"/>
  <c r="N413" i="20"/>
  <c r="O413" i="20"/>
  <c r="N414" i="20"/>
  <c r="O414" i="20"/>
  <c r="N415" i="20"/>
  <c r="O415" i="20"/>
  <c r="N416" i="20"/>
  <c r="O416" i="20"/>
  <c r="N417" i="20"/>
  <c r="O417" i="20"/>
  <c r="N418" i="20"/>
  <c r="O418" i="20"/>
  <c r="N419" i="20"/>
  <c r="O419" i="20"/>
  <c r="N420" i="20"/>
  <c r="O420" i="20"/>
  <c r="N421" i="20"/>
  <c r="N422" i="20"/>
  <c r="N423" i="20"/>
  <c r="O423" i="20"/>
  <c r="N424" i="20"/>
  <c r="O424" i="20"/>
  <c r="N425" i="20"/>
  <c r="O425" i="20"/>
  <c r="N426" i="20"/>
  <c r="O426" i="20"/>
  <c r="N427" i="20"/>
  <c r="O427" i="20"/>
  <c r="N428" i="20"/>
  <c r="O428" i="20"/>
  <c r="N429" i="20"/>
  <c r="O429" i="20"/>
  <c r="N430" i="20"/>
  <c r="O430" i="20"/>
  <c r="N431" i="20"/>
  <c r="O431" i="20"/>
  <c r="N432" i="20"/>
  <c r="O432" i="20"/>
  <c r="N433" i="20"/>
  <c r="O433" i="20"/>
  <c r="N434" i="20"/>
  <c r="O434" i="20"/>
  <c r="N435" i="20"/>
  <c r="O435" i="20"/>
  <c r="N436" i="20"/>
  <c r="O436" i="20"/>
  <c r="N437" i="20"/>
  <c r="O437" i="20"/>
  <c r="N438" i="20"/>
  <c r="O438" i="20"/>
  <c r="N439" i="20"/>
  <c r="O439" i="20"/>
  <c r="N440" i="20"/>
  <c r="O440" i="20"/>
  <c r="N441" i="20"/>
  <c r="O441" i="20"/>
  <c r="N442" i="20"/>
  <c r="O442" i="20"/>
  <c r="N443" i="20"/>
  <c r="O443" i="20"/>
  <c r="N444" i="20"/>
  <c r="O444" i="20"/>
  <c r="N445" i="20"/>
  <c r="O445" i="20"/>
  <c r="N446" i="20"/>
  <c r="N447" i="20"/>
  <c r="O447" i="20"/>
  <c r="N448" i="20"/>
  <c r="O448" i="20"/>
  <c r="N449" i="20"/>
  <c r="O449" i="20"/>
  <c r="N450" i="20"/>
  <c r="O450" i="20"/>
  <c r="N451" i="20"/>
  <c r="N452" i="20"/>
  <c r="O452" i="20"/>
  <c r="N453" i="20"/>
  <c r="O453" i="20"/>
  <c r="N454" i="20"/>
  <c r="O454" i="20"/>
  <c r="N455" i="20"/>
  <c r="O455" i="20"/>
  <c r="N456" i="20"/>
  <c r="O456" i="20"/>
  <c r="N457" i="20"/>
  <c r="O457" i="20"/>
  <c r="N458" i="20"/>
  <c r="O458" i="20"/>
  <c r="N459" i="20"/>
  <c r="O459" i="20"/>
  <c r="N460" i="20"/>
  <c r="O460" i="20"/>
  <c r="N461" i="20"/>
  <c r="O461" i="20"/>
  <c r="N462" i="20"/>
  <c r="O462" i="20"/>
  <c r="N463" i="20"/>
  <c r="O463" i="20"/>
  <c r="N464" i="20"/>
  <c r="O464" i="20"/>
  <c r="N465" i="20"/>
  <c r="O465" i="20"/>
  <c r="N466" i="20"/>
  <c r="O466" i="20"/>
  <c r="N467" i="20"/>
  <c r="O467" i="20"/>
  <c r="N468" i="20"/>
  <c r="O468" i="20"/>
  <c r="N469" i="20"/>
  <c r="O469" i="20"/>
  <c r="N470" i="20"/>
  <c r="O470" i="20"/>
  <c r="N471" i="20"/>
  <c r="O471" i="20"/>
  <c r="N472" i="20"/>
  <c r="O472" i="20"/>
  <c r="N473" i="20"/>
  <c r="O473" i="20"/>
  <c r="N474" i="20"/>
  <c r="O474" i="20"/>
  <c r="N475" i="20"/>
  <c r="O475" i="20"/>
  <c r="N476" i="20"/>
  <c r="O476" i="20"/>
  <c r="N477" i="20"/>
  <c r="O477" i="20"/>
  <c r="N478" i="20"/>
  <c r="N479" i="20"/>
  <c r="O479" i="20"/>
  <c r="N480" i="20"/>
  <c r="O480" i="20"/>
  <c r="N481" i="20"/>
  <c r="O481" i="20"/>
  <c r="N482" i="20"/>
  <c r="N483" i="20"/>
  <c r="O483" i="20"/>
  <c r="N484" i="20"/>
  <c r="O484" i="20"/>
  <c r="N485" i="20"/>
  <c r="O485" i="20"/>
  <c r="N486" i="20"/>
  <c r="O486" i="20"/>
  <c r="N487" i="20"/>
  <c r="O487" i="20"/>
  <c r="N488" i="20"/>
  <c r="O488" i="20"/>
  <c r="N489" i="20"/>
  <c r="O489" i="20"/>
  <c r="N490" i="20"/>
  <c r="O490" i="20"/>
  <c r="N491" i="20"/>
  <c r="O491" i="20"/>
  <c r="N492" i="20"/>
  <c r="O492" i="20"/>
  <c r="N493" i="20"/>
  <c r="O493" i="20"/>
  <c r="N494" i="20"/>
  <c r="O494" i="20"/>
  <c r="N495" i="20"/>
  <c r="O495" i="20"/>
  <c r="N496" i="20"/>
  <c r="O496" i="20"/>
  <c r="N497" i="20"/>
  <c r="O497" i="20"/>
  <c r="N498" i="20"/>
  <c r="O498" i="20"/>
  <c r="N499" i="20"/>
  <c r="O499" i="20"/>
  <c r="N500" i="20"/>
  <c r="O500" i="20"/>
  <c r="N501" i="20"/>
  <c r="O501" i="20"/>
  <c r="N502" i="20"/>
  <c r="N503" i="20"/>
  <c r="O503" i="20"/>
  <c r="N504" i="20"/>
  <c r="O504" i="20"/>
  <c r="N505" i="20"/>
  <c r="O505" i="20"/>
  <c r="N506" i="20"/>
  <c r="O506" i="20"/>
  <c r="N507" i="20"/>
  <c r="O507" i="20"/>
  <c r="N508" i="20"/>
  <c r="O508" i="20"/>
  <c r="N509" i="20"/>
  <c r="O509" i="20"/>
  <c r="N510" i="20"/>
  <c r="O510" i="20"/>
  <c r="N511" i="20"/>
  <c r="O511" i="20"/>
  <c r="N512" i="20"/>
  <c r="O512" i="20"/>
  <c r="N513" i="20"/>
  <c r="O513" i="20"/>
  <c r="N514" i="20"/>
  <c r="O514" i="20"/>
  <c r="N515" i="20"/>
  <c r="O515" i="20"/>
  <c r="N516" i="20"/>
  <c r="O516" i="20"/>
  <c r="N517" i="20"/>
  <c r="O517" i="20"/>
  <c r="N518" i="20"/>
  <c r="O518" i="20"/>
  <c r="N519" i="20"/>
  <c r="O519" i="20"/>
  <c r="N520" i="20"/>
  <c r="N521" i="20"/>
  <c r="O521" i="20"/>
  <c r="N522" i="20"/>
  <c r="O522" i="20"/>
  <c r="N523" i="20"/>
  <c r="O523" i="20"/>
  <c r="N524" i="20"/>
  <c r="O524" i="20"/>
  <c r="N525" i="20"/>
  <c r="O525" i="20"/>
  <c r="N526" i="20"/>
  <c r="O526" i="20"/>
  <c r="N527" i="20"/>
  <c r="O527" i="20"/>
  <c r="N528" i="20"/>
  <c r="O528" i="20"/>
  <c r="N529" i="20"/>
  <c r="O529" i="20"/>
  <c r="N531" i="20"/>
  <c r="O531" i="20"/>
  <c r="N532" i="20"/>
  <c r="O532" i="20"/>
  <c r="N533" i="20"/>
  <c r="O533" i="20"/>
  <c r="N534" i="20"/>
  <c r="O534" i="20"/>
  <c r="N535" i="20"/>
  <c r="O535" i="20"/>
  <c r="N536" i="20"/>
  <c r="O536" i="20"/>
  <c r="N537" i="20"/>
  <c r="O537" i="20"/>
  <c r="N538" i="20"/>
  <c r="O538" i="20"/>
  <c r="N539" i="20"/>
  <c r="O539" i="20"/>
  <c r="N540" i="20"/>
  <c r="O540" i="20"/>
  <c r="N541" i="20"/>
  <c r="O541" i="20"/>
  <c r="N542" i="20"/>
  <c r="O542" i="20"/>
  <c r="N543" i="20"/>
  <c r="O543" i="20"/>
  <c r="N544" i="20"/>
  <c r="N546" i="20"/>
  <c r="N547" i="20"/>
  <c r="O547" i="20"/>
  <c r="N548" i="20"/>
  <c r="O548" i="20"/>
  <c r="N549" i="20"/>
  <c r="O549" i="20"/>
  <c r="N550" i="20"/>
  <c r="O550" i="20"/>
  <c r="N551" i="20"/>
  <c r="O551" i="20"/>
  <c r="N552" i="20"/>
  <c r="O552" i="20"/>
  <c r="N553" i="20"/>
  <c r="O553" i="20"/>
  <c r="N554" i="20"/>
  <c r="O554" i="20"/>
  <c r="N555" i="20"/>
  <c r="O555" i="20"/>
  <c r="N556" i="20"/>
  <c r="O556" i="20"/>
  <c r="N557" i="20"/>
  <c r="O557" i="20"/>
  <c r="N558" i="20"/>
  <c r="O558" i="20"/>
  <c r="N559" i="20"/>
  <c r="O559" i="20"/>
  <c r="N560" i="20"/>
  <c r="O560" i="20"/>
  <c r="N561" i="20"/>
  <c r="O561" i="20"/>
  <c r="N562" i="20"/>
  <c r="N563" i="20"/>
  <c r="O563" i="20"/>
  <c r="N564" i="20"/>
  <c r="O564" i="20"/>
  <c r="N565" i="20"/>
  <c r="O565" i="20"/>
  <c r="N566" i="20"/>
  <c r="O566" i="20"/>
  <c r="N567" i="20"/>
  <c r="O567" i="20"/>
  <c r="N568" i="20"/>
  <c r="O568" i="20"/>
  <c r="N569" i="20"/>
  <c r="O569" i="20"/>
  <c r="N570" i="20"/>
  <c r="O570" i="20"/>
  <c r="N571" i="20"/>
  <c r="O571" i="20"/>
  <c r="N572" i="20"/>
  <c r="O572" i="20"/>
  <c r="N573" i="20"/>
  <c r="O573" i="20"/>
  <c r="N574" i="20"/>
  <c r="O574" i="20"/>
  <c r="N575" i="20"/>
  <c r="O575" i="20"/>
  <c r="N576" i="20"/>
  <c r="O576" i="20"/>
  <c r="N577" i="20"/>
  <c r="O577" i="20"/>
  <c r="N578" i="20"/>
  <c r="O578" i="20"/>
  <c r="N579" i="20"/>
  <c r="O579" i="20"/>
  <c r="N580" i="20"/>
  <c r="O580" i="20"/>
  <c r="N581" i="20"/>
  <c r="O581" i="20"/>
  <c r="N582" i="20"/>
  <c r="O582" i="20"/>
  <c r="N583" i="20"/>
  <c r="O583" i="20"/>
  <c r="N585" i="20"/>
  <c r="O585" i="20"/>
  <c r="N586" i="20"/>
  <c r="O586" i="20"/>
  <c r="N587" i="20"/>
  <c r="O587" i="20"/>
  <c r="N588" i="20"/>
  <c r="O588" i="20"/>
  <c r="N589" i="20"/>
  <c r="O589" i="20"/>
  <c r="N590" i="20"/>
  <c r="O590" i="20"/>
  <c r="N591" i="20"/>
  <c r="O591" i="20"/>
  <c r="N592" i="20"/>
  <c r="O592" i="20"/>
  <c r="N593" i="20"/>
  <c r="O593" i="20"/>
  <c r="N594" i="20"/>
  <c r="O594" i="20"/>
  <c r="N595" i="20"/>
  <c r="O595" i="20"/>
  <c r="N596" i="20"/>
  <c r="N597" i="20"/>
  <c r="N598" i="20"/>
  <c r="O598" i="20"/>
  <c r="N599" i="20"/>
  <c r="O599" i="20"/>
  <c r="N600" i="20"/>
  <c r="O600" i="20"/>
  <c r="N601" i="20"/>
  <c r="O601" i="20"/>
  <c r="N602" i="20"/>
  <c r="O602" i="20"/>
  <c r="N603" i="20"/>
  <c r="O603" i="20"/>
  <c r="N604" i="20"/>
  <c r="O604" i="20"/>
  <c r="N606" i="20"/>
  <c r="O606" i="20"/>
  <c r="N607" i="20"/>
  <c r="O607" i="20"/>
  <c r="N608" i="20"/>
  <c r="O608" i="20"/>
  <c r="N609" i="20"/>
  <c r="O609" i="20"/>
  <c r="N610" i="20"/>
  <c r="O610" i="20"/>
  <c r="N611" i="20"/>
  <c r="N612" i="20"/>
  <c r="O612" i="20"/>
  <c r="N613" i="20"/>
  <c r="O613" i="20"/>
  <c r="N614" i="20"/>
  <c r="O614" i="20"/>
  <c r="N615" i="20"/>
  <c r="O615" i="20"/>
  <c r="N616" i="20"/>
  <c r="O616" i="20"/>
  <c r="N617" i="20"/>
  <c r="O617" i="20"/>
  <c r="N618" i="20"/>
  <c r="O618" i="20"/>
  <c r="N619" i="20"/>
  <c r="N620" i="20"/>
  <c r="O620" i="20"/>
  <c r="N621" i="20"/>
  <c r="O621" i="20"/>
  <c r="N622" i="20"/>
  <c r="O622" i="20"/>
  <c r="N623" i="20"/>
  <c r="O623" i="20"/>
  <c r="N624" i="20"/>
  <c r="O624" i="20"/>
  <c r="N625" i="20"/>
  <c r="O625" i="20"/>
  <c r="N626" i="20"/>
  <c r="O626" i="20"/>
  <c r="N627" i="20"/>
  <c r="O627" i="20"/>
  <c r="N628" i="20"/>
  <c r="O628" i="20"/>
  <c r="N629" i="20"/>
  <c r="O629" i="20"/>
  <c r="N630" i="20"/>
  <c r="O630" i="20"/>
  <c r="N631" i="20"/>
  <c r="O631" i="20"/>
  <c r="N632" i="20"/>
  <c r="O632" i="20"/>
  <c r="N633" i="20"/>
  <c r="O633" i="20"/>
  <c r="N634" i="20"/>
  <c r="O634" i="20"/>
  <c r="N635" i="20"/>
  <c r="O635" i="20"/>
  <c r="N636" i="20"/>
  <c r="O636" i="20"/>
  <c r="N637" i="20"/>
  <c r="O637" i="20"/>
  <c r="N638" i="20"/>
  <c r="O638" i="20"/>
  <c r="N639" i="20"/>
  <c r="O639" i="20"/>
  <c r="N640" i="20"/>
  <c r="N641" i="20"/>
  <c r="O641" i="20"/>
  <c r="N642" i="20"/>
  <c r="O642" i="20"/>
  <c r="N643" i="20"/>
  <c r="O643" i="20"/>
  <c r="N644" i="20"/>
  <c r="O644" i="20"/>
  <c r="N645" i="20"/>
  <c r="O645" i="20"/>
  <c r="N646" i="20"/>
  <c r="O646" i="20"/>
  <c r="N647" i="20"/>
  <c r="O647" i="20"/>
  <c r="N648" i="20"/>
  <c r="O648" i="20"/>
  <c r="N649" i="20"/>
  <c r="O649" i="20"/>
  <c r="N650" i="20"/>
  <c r="O650" i="20"/>
  <c r="N651" i="20"/>
  <c r="O651" i="20"/>
  <c r="N652" i="20"/>
  <c r="O652" i="20"/>
  <c r="N653" i="20"/>
  <c r="O653" i="20"/>
  <c r="N654" i="20"/>
  <c r="O654" i="20"/>
  <c r="N655" i="20"/>
  <c r="O655" i="20"/>
  <c r="N656" i="20"/>
  <c r="O656" i="20"/>
  <c r="N657" i="20"/>
  <c r="N659" i="20"/>
  <c r="N660" i="20"/>
  <c r="O660" i="20"/>
  <c r="N661" i="20"/>
  <c r="O661" i="20"/>
  <c r="N662" i="20"/>
  <c r="O662" i="20"/>
  <c r="N663" i="20"/>
  <c r="O663" i="20"/>
  <c r="N664" i="20"/>
  <c r="O664" i="20"/>
  <c r="N665" i="20"/>
  <c r="O665" i="20"/>
  <c r="N666" i="20"/>
  <c r="O666" i="20"/>
  <c r="N667" i="20"/>
  <c r="N668" i="20"/>
  <c r="N669" i="20"/>
  <c r="O669" i="20"/>
  <c r="N670" i="20"/>
  <c r="O670" i="20"/>
  <c r="N671" i="20"/>
  <c r="O671" i="20"/>
  <c r="N672" i="20"/>
  <c r="O672" i="20"/>
  <c r="N673" i="20"/>
  <c r="O673" i="20"/>
  <c r="N674" i="20"/>
  <c r="O674" i="20"/>
  <c r="N675" i="20"/>
  <c r="O675" i="20"/>
  <c r="N676" i="20"/>
  <c r="O676" i="20"/>
  <c r="N677" i="20"/>
  <c r="O677" i="20"/>
  <c r="N678" i="20"/>
  <c r="O678" i="20"/>
  <c r="N679" i="20"/>
  <c r="O679" i="20"/>
  <c r="N680" i="20"/>
  <c r="O680" i="20"/>
  <c r="N681" i="20"/>
  <c r="O681" i="20"/>
  <c r="N682" i="20"/>
  <c r="O682" i="20"/>
  <c r="N683" i="20"/>
  <c r="O683" i="20"/>
  <c r="N684" i="20"/>
  <c r="N685" i="20"/>
  <c r="O685" i="20"/>
  <c r="N686" i="20"/>
  <c r="N687" i="20"/>
  <c r="O687" i="20"/>
  <c r="N688" i="20"/>
  <c r="O688" i="20"/>
  <c r="N689" i="20"/>
  <c r="O689" i="20"/>
  <c r="N690" i="20"/>
  <c r="O690" i="20"/>
  <c r="N691" i="20"/>
  <c r="O691" i="20"/>
  <c r="N692" i="20"/>
  <c r="O692" i="20"/>
  <c r="N693" i="20"/>
  <c r="O693" i="20"/>
  <c r="N694" i="20"/>
  <c r="O694" i="20"/>
  <c r="N695" i="20"/>
  <c r="O695" i="20"/>
  <c r="N696" i="20"/>
  <c r="O696" i="20"/>
  <c r="N697" i="20"/>
  <c r="O697" i="20"/>
  <c r="N698" i="20"/>
  <c r="O698" i="20"/>
  <c r="N699" i="20"/>
  <c r="O699" i="20"/>
  <c r="N700" i="20"/>
  <c r="O700" i="20"/>
  <c r="N701" i="20"/>
  <c r="O701" i="20"/>
  <c r="N702" i="20"/>
  <c r="N703" i="20"/>
  <c r="O703" i="20"/>
  <c r="N704" i="20"/>
  <c r="O704" i="20"/>
  <c r="N705" i="20"/>
  <c r="O705" i="20"/>
  <c r="N706" i="20"/>
  <c r="O706" i="20"/>
  <c r="N707" i="20"/>
  <c r="O707" i="20"/>
  <c r="N708" i="20"/>
  <c r="O708" i="20"/>
  <c r="N709" i="20"/>
  <c r="O709" i="20"/>
  <c r="N710" i="20"/>
  <c r="O710" i="20"/>
  <c r="N711" i="20"/>
  <c r="N714" i="20"/>
  <c r="O714" i="20"/>
  <c r="N715" i="20"/>
  <c r="O715" i="20"/>
  <c r="N716" i="20"/>
  <c r="O716" i="20"/>
  <c r="N717" i="20"/>
  <c r="O717" i="20"/>
  <c r="N718" i="20"/>
  <c r="O718" i="20"/>
  <c r="N719" i="20"/>
  <c r="O719" i="20"/>
  <c r="N720" i="20"/>
  <c r="O720" i="20"/>
  <c r="N721" i="20"/>
  <c r="O721" i="20"/>
  <c r="N722" i="20"/>
  <c r="O722" i="20"/>
  <c r="N723" i="20"/>
  <c r="O723" i="20"/>
  <c r="N724" i="20"/>
  <c r="O724" i="20"/>
  <c r="N725" i="20"/>
  <c r="O725" i="20"/>
  <c r="N726" i="20"/>
  <c r="O726" i="20"/>
  <c r="N727" i="20"/>
  <c r="O727" i="20"/>
  <c r="N728" i="20"/>
  <c r="O728" i="20"/>
  <c r="N729" i="20"/>
  <c r="O729" i="20"/>
  <c r="N730" i="20"/>
  <c r="O730" i="20"/>
  <c r="N731" i="20"/>
  <c r="O731" i="20"/>
  <c r="N732" i="20"/>
  <c r="O732" i="20"/>
  <c r="N733" i="20"/>
  <c r="N734" i="20"/>
  <c r="O734" i="20"/>
  <c r="N735" i="20"/>
  <c r="O735" i="20"/>
  <c r="N736" i="20"/>
  <c r="N737" i="20"/>
  <c r="N738" i="20"/>
  <c r="O738" i="20"/>
  <c r="N739" i="20"/>
  <c r="N741" i="20"/>
  <c r="O741" i="20"/>
  <c r="N742" i="20"/>
  <c r="O742" i="20"/>
  <c r="N743" i="20"/>
  <c r="O743" i="20"/>
  <c r="N744" i="20"/>
  <c r="O744" i="20"/>
  <c r="N745" i="20"/>
  <c r="O745" i="20"/>
  <c r="N746" i="20"/>
  <c r="O746" i="20"/>
  <c r="N747" i="20"/>
  <c r="O747" i="20"/>
  <c r="N748" i="20"/>
  <c r="O748" i="20"/>
  <c r="N749" i="20"/>
  <c r="O749" i="20"/>
  <c r="N750" i="20"/>
  <c r="O750" i="20"/>
  <c r="N751" i="20"/>
  <c r="O751" i="20"/>
  <c r="N752" i="20"/>
  <c r="N754" i="20"/>
  <c r="O754" i="20"/>
  <c r="N755" i="20"/>
  <c r="O755" i="20"/>
  <c r="N756" i="20"/>
  <c r="O756" i="20"/>
  <c r="N757" i="20"/>
  <c r="N758" i="20"/>
  <c r="O758" i="20"/>
  <c r="N759" i="20"/>
  <c r="O759" i="20"/>
  <c r="N760" i="20"/>
  <c r="O760" i="20"/>
  <c r="N761" i="20"/>
  <c r="O761" i="20"/>
  <c r="N762" i="20"/>
  <c r="O762" i="20"/>
  <c r="N763" i="20"/>
  <c r="O763" i="20"/>
  <c r="N764" i="20"/>
  <c r="O764" i="20"/>
  <c r="N765" i="20"/>
  <c r="O765" i="20"/>
  <c r="N766" i="20"/>
  <c r="N767" i="20"/>
  <c r="O767" i="20"/>
  <c r="N769" i="20"/>
  <c r="O769" i="20"/>
  <c r="N770" i="20"/>
  <c r="O770" i="20"/>
  <c r="N771" i="20"/>
  <c r="O771" i="20"/>
  <c r="N772" i="20"/>
  <c r="N773" i="20"/>
  <c r="O773" i="20"/>
  <c r="N774" i="20"/>
  <c r="O774" i="20"/>
  <c r="N775" i="20"/>
  <c r="N776" i="20"/>
  <c r="O776" i="20"/>
  <c r="N777" i="20"/>
  <c r="O777" i="20"/>
  <c r="N779" i="20"/>
  <c r="O779" i="20"/>
  <c r="N780" i="20"/>
  <c r="O780" i="20"/>
  <c r="N781" i="20"/>
  <c r="O781" i="20"/>
  <c r="N782" i="20"/>
  <c r="O782" i="20"/>
  <c r="N783" i="20"/>
  <c r="O783" i="20"/>
  <c r="N784" i="20"/>
  <c r="O784" i="20"/>
  <c r="N785" i="20"/>
  <c r="O785" i="20"/>
  <c r="N786" i="20"/>
  <c r="O786" i="20"/>
  <c r="N787" i="20"/>
  <c r="O787" i="20"/>
  <c r="N788" i="20"/>
  <c r="O788" i="20"/>
  <c r="N789" i="20"/>
  <c r="O789" i="20"/>
  <c r="N790" i="20"/>
  <c r="O790" i="20"/>
  <c r="N791" i="20"/>
  <c r="O791" i="20"/>
  <c r="N792" i="20"/>
  <c r="O792" i="20"/>
  <c r="N793" i="20"/>
  <c r="N794" i="20"/>
  <c r="O794" i="20"/>
  <c r="N795" i="20"/>
  <c r="O795" i="20"/>
  <c r="N796" i="20"/>
  <c r="O796" i="20"/>
  <c r="N797" i="20"/>
  <c r="O797" i="20"/>
  <c r="N798" i="20"/>
  <c r="O798" i="20"/>
  <c r="N799" i="20"/>
  <c r="N800" i="20"/>
  <c r="O800" i="20"/>
  <c r="N801" i="20"/>
  <c r="O801" i="20"/>
  <c r="N802" i="20"/>
  <c r="O802" i="20"/>
  <c r="N803" i="20"/>
  <c r="O803" i="20"/>
  <c r="N804" i="20"/>
  <c r="N805" i="20"/>
  <c r="N806" i="20"/>
  <c r="N807" i="20"/>
  <c r="O807" i="20"/>
  <c r="N808" i="20"/>
  <c r="O808" i="20"/>
  <c r="N809" i="20"/>
  <c r="O809" i="20"/>
  <c r="N810" i="20"/>
  <c r="O810" i="20"/>
  <c r="N811" i="20"/>
  <c r="O811" i="20"/>
  <c r="N812" i="20"/>
  <c r="O812" i="20"/>
  <c r="N813" i="20"/>
  <c r="O813" i="20"/>
  <c r="N815" i="20"/>
  <c r="O815" i="20"/>
  <c r="N816" i="20"/>
  <c r="O816" i="20"/>
  <c r="N817" i="20"/>
  <c r="O817" i="20"/>
  <c r="N818" i="20"/>
  <c r="O818" i="20"/>
  <c r="N819" i="20"/>
  <c r="N820" i="20"/>
  <c r="O820" i="20"/>
  <c r="N821" i="20"/>
  <c r="O821" i="20"/>
  <c r="N822" i="20"/>
  <c r="N823" i="20"/>
  <c r="N824" i="20"/>
  <c r="O824" i="20"/>
  <c r="N825" i="20"/>
  <c r="O825" i="20"/>
  <c r="N826" i="20"/>
  <c r="N827" i="20"/>
  <c r="O827" i="20"/>
  <c r="N828" i="20"/>
  <c r="O828" i="20"/>
  <c r="N829" i="20"/>
  <c r="O829" i="20"/>
  <c r="N830" i="20"/>
  <c r="O830" i="20"/>
  <c r="N831" i="20"/>
  <c r="O831" i="20"/>
  <c r="N832" i="20"/>
  <c r="O832" i="20"/>
  <c r="N833" i="20"/>
  <c r="O833" i="20"/>
  <c r="N834" i="20"/>
  <c r="N835" i="20"/>
  <c r="O835" i="20"/>
  <c r="N836" i="20"/>
  <c r="O836" i="20"/>
  <c r="N837" i="20"/>
  <c r="O837" i="20"/>
  <c r="N838" i="20"/>
  <c r="O838" i="20"/>
  <c r="N839" i="20"/>
  <c r="O839" i="20"/>
  <c r="N840" i="20"/>
  <c r="O840" i="20"/>
  <c r="N841" i="20"/>
  <c r="O841" i="20"/>
  <c r="N842" i="20"/>
  <c r="O842" i="20"/>
  <c r="N843" i="20"/>
  <c r="O843" i="20"/>
  <c r="N844" i="20"/>
  <c r="N846" i="20"/>
  <c r="O846" i="20"/>
  <c r="N847" i="20"/>
  <c r="O847" i="20"/>
  <c r="N848" i="20"/>
  <c r="N849" i="20"/>
  <c r="O849" i="20"/>
  <c r="N850" i="20"/>
  <c r="O850" i="20"/>
  <c r="N851" i="20"/>
  <c r="O851" i="20"/>
  <c r="N852" i="20"/>
  <c r="O852" i="20"/>
  <c r="N853" i="20"/>
  <c r="N854" i="20"/>
  <c r="N855" i="20"/>
  <c r="O855" i="20"/>
  <c r="N856" i="20"/>
  <c r="O856" i="20"/>
  <c r="N857" i="20"/>
  <c r="O857" i="20"/>
  <c r="N858" i="20"/>
  <c r="O858" i="20"/>
  <c r="N859" i="20"/>
  <c r="O859" i="20"/>
  <c r="N860" i="20"/>
  <c r="N861" i="20"/>
  <c r="O861" i="20"/>
  <c r="N862" i="20"/>
  <c r="O862" i="20"/>
  <c r="N863" i="20"/>
  <c r="O863" i="20"/>
  <c r="N864" i="20"/>
  <c r="O864" i="20"/>
  <c r="N865" i="20"/>
  <c r="O865" i="20"/>
  <c r="N866" i="20"/>
  <c r="O866" i="20"/>
  <c r="N867" i="20"/>
  <c r="N868" i="20"/>
  <c r="O868" i="20"/>
  <c r="N869" i="20"/>
  <c r="O869" i="20"/>
  <c r="N870" i="20"/>
  <c r="O870" i="20"/>
  <c r="N871" i="20"/>
  <c r="O871" i="20"/>
  <c r="N872" i="20"/>
  <c r="N873" i="20"/>
  <c r="O873" i="20"/>
  <c r="N874" i="20"/>
  <c r="O874" i="20"/>
  <c r="N875" i="20"/>
  <c r="O875" i="20"/>
  <c r="N876" i="20"/>
  <c r="O876" i="20"/>
  <c r="N877" i="20"/>
  <c r="O877" i="20"/>
  <c r="N878" i="20"/>
  <c r="O878" i="20"/>
  <c r="N879" i="20"/>
  <c r="O879" i="20"/>
  <c r="N880" i="20"/>
  <c r="O880" i="20"/>
  <c r="N881" i="20"/>
  <c r="O881" i="20"/>
  <c r="N882" i="20"/>
  <c r="O882" i="20"/>
  <c r="N883" i="20"/>
  <c r="O883" i="20"/>
  <c r="N884" i="20"/>
  <c r="O884" i="20"/>
  <c r="N885" i="20"/>
  <c r="O885" i="20"/>
  <c r="N886" i="20"/>
  <c r="O886" i="20"/>
  <c r="N887" i="20"/>
  <c r="O887" i="20"/>
  <c r="N888" i="20"/>
  <c r="O888" i="20"/>
  <c r="N889" i="20"/>
  <c r="N891" i="20"/>
  <c r="N892" i="20"/>
  <c r="O892" i="20"/>
  <c r="N893" i="20"/>
  <c r="O893" i="20"/>
  <c r="N894" i="20"/>
  <c r="N895" i="20"/>
  <c r="O895" i="20"/>
  <c r="N896" i="20"/>
  <c r="O896" i="20"/>
  <c r="N897" i="20"/>
  <c r="O897" i="20"/>
  <c r="N899" i="20"/>
  <c r="O899" i="20"/>
  <c r="N900" i="20"/>
  <c r="O900" i="20"/>
  <c r="N901" i="20"/>
  <c r="O901" i="20"/>
  <c r="N902" i="20"/>
  <c r="O902" i="20"/>
  <c r="N903" i="20"/>
  <c r="O903" i="20"/>
  <c r="N904" i="20"/>
  <c r="O904" i="20"/>
  <c r="N905" i="20"/>
  <c r="O905" i="20"/>
  <c r="N906" i="20"/>
  <c r="O906" i="20"/>
  <c r="N907" i="20"/>
  <c r="O907" i="20"/>
  <c r="N908" i="20"/>
  <c r="O908" i="20"/>
  <c r="N909" i="20"/>
  <c r="O909" i="20"/>
  <c r="N910" i="20"/>
  <c r="O910" i="20"/>
  <c r="N911" i="20"/>
  <c r="O911" i="20"/>
  <c r="N912" i="20"/>
  <c r="O912" i="20"/>
  <c r="N913" i="20"/>
  <c r="O913" i="20"/>
  <c r="N914" i="20"/>
  <c r="O914" i="20"/>
  <c r="N915" i="20"/>
  <c r="O915" i="20"/>
  <c r="N916" i="20"/>
  <c r="N917" i="20"/>
  <c r="O917" i="20"/>
  <c r="N918" i="20"/>
  <c r="O918" i="20"/>
  <c r="N919" i="20"/>
  <c r="N920" i="20"/>
  <c r="O920" i="20"/>
  <c r="N921" i="20"/>
  <c r="O921" i="20"/>
  <c r="N922" i="20"/>
  <c r="N924" i="20"/>
  <c r="O924" i="20"/>
  <c r="N925" i="20"/>
  <c r="O925" i="20"/>
  <c r="N926" i="20"/>
  <c r="O926" i="20"/>
  <c r="N927" i="20"/>
  <c r="O927" i="20"/>
  <c r="N928" i="20"/>
  <c r="O928" i="20"/>
  <c r="N929" i="20"/>
  <c r="O929" i="20"/>
  <c r="N930" i="20"/>
  <c r="O930" i="20"/>
  <c r="N931" i="20"/>
  <c r="O931" i="20"/>
  <c r="N932" i="20"/>
  <c r="O932" i="20"/>
  <c r="N933" i="20"/>
  <c r="O933" i="20"/>
  <c r="N934" i="20"/>
  <c r="O934" i="20"/>
  <c r="N935" i="20"/>
  <c r="N936" i="20"/>
  <c r="O936" i="20"/>
  <c r="N937" i="20"/>
  <c r="O937" i="20"/>
  <c r="N938" i="20"/>
  <c r="O938" i="20"/>
  <c r="N939" i="20"/>
  <c r="O939" i="20"/>
  <c r="N940" i="20"/>
  <c r="O940" i="20"/>
  <c r="N941" i="20"/>
  <c r="O941" i="20"/>
  <c r="N942" i="20"/>
  <c r="O942" i="20"/>
  <c r="N943" i="20"/>
  <c r="O943" i="20"/>
  <c r="N944" i="20"/>
  <c r="O944" i="20"/>
  <c r="N945" i="20"/>
  <c r="O945" i="20"/>
  <c r="N946" i="20"/>
  <c r="O946" i="20"/>
  <c r="N947" i="20"/>
  <c r="O947" i="20"/>
  <c r="N948" i="20"/>
  <c r="N949" i="20"/>
  <c r="N950" i="20"/>
  <c r="O950" i="20"/>
  <c r="N951" i="20"/>
  <c r="O951" i="20"/>
  <c r="N952" i="20"/>
  <c r="O952" i="20"/>
  <c r="N953" i="20"/>
  <c r="O953" i="20"/>
  <c r="N954" i="20"/>
  <c r="O954" i="20"/>
  <c r="N955" i="20"/>
  <c r="O955" i="20"/>
  <c r="N956" i="20"/>
  <c r="O956" i="20"/>
  <c r="N957" i="20"/>
  <c r="O957" i="20"/>
  <c r="N958" i="20"/>
  <c r="N959" i="20"/>
  <c r="O959" i="20"/>
  <c r="N960" i="20"/>
  <c r="O960" i="20"/>
  <c r="N961" i="20"/>
  <c r="O961" i="20"/>
  <c r="N962" i="20"/>
  <c r="O962" i="20"/>
  <c r="N963" i="20"/>
  <c r="O963" i="20"/>
  <c r="N965" i="20"/>
  <c r="O965" i="20"/>
  <c r="N966" i="20"/>
  <c r="O966" i="20"/>
  <c r="N967" i="20"/>
  <c r="O967" i="20"/>
  <c r="N968" i="20"/>
  <c r="O968" i="20"/>
  <c r="N969" i="20"/>
  <c r="O969" i="20"/>
  <c r="N970" i="20"/>
  <c r="O970" i="20"/>
  <c r="N971" i="20"/>
  <c r="O971" i="20"/>
  <c r="N972" i="20"/>
  <c r="O972" i="20"/>
  <c r="N973" i="20"/>
  <c r="O973" i="20"/>
  <c r="N974" i="20"/>
  <c r="O974" i="20"/>
  <c r="N975" i="20"/>
  <c r="O975" i="20"/>
  <c r="N976" i="20"/>
  <c r="O976" i="20"/>
  <c r="N977" i="20"/>
  <c r="O977" i="20"/>
  <c r="N978" i="20"/>
  <c r="O978" i="20"/>
  <c r="N979" i="20"/>
  <c r="O979" i="20"/>
  <c r="N980" i="20"/>
  <c r="O980" i="20"/>
  <c r="N981" i="20"/>
  <c r="O981" i="20"/>
  <c r="N982" i="20"/>
  <c r="O982" i="20"/>
  <c r="N983" i="20"/>
  <c r="O983" i="20"/>
  <c r="N984" i="20"/>
  <c r="O984" i="20"/>
  <c r="N985" i="20"/>
  <c r="O985" i="20"/>
  <c r="N986" i="20"/>
  <c r="O986" i="20"/>
  <c r="N987" i="20"/>
  <c r="O987" i="20"/>
  <c r="N988" i="20"/>
  <c r="O988" i="20"/>
  <c r="N989" i="20"/>
  <c r="O989" i="20"/>
  <c r="N990" i="20"/>
  <c r="O990" i="20"/>
  <c r="N991" i="20"/>
  <c r="O991" i="20"/>
  <c r="N992" i="20"/>
  <c r="O992" i="20"/>
  <c r="N993" i="20"/>
  <c r="O993" i="20"/>
  <c r="N994" i="20"/>
  <c r="O994" i="20"/>
  <c r="N995" i="20"/>
  <c r="O995" i="20"/>
  <c r="N996" i="20"/>
  <c r="O996" i="20"/>
  <c r="N997" i="20"/>
  <c r="O997" i="20"/>
  <c r="N998" i="20"/>
  <c r="O998" i="20"/>
  <c r="N999" i="20"/>
  <c r="O999" i="20"/>
  <c r="N1000" i="20"/>
  <c r="O1000" i="20"/>
  <c r="N1001" i="20"/>
  <c r="N1002" i="20"/>
  <c r="O1002" i="20"/>
  <c r="N1003" i="20"/>
  <c r="O1003" i="20"/>
  <c r="N1004" i="20"/>
  <c r="O1004" i="20"/>
  <c r="N1005" i="20"/>
  <c r="N1006" i="20"/>
  <c r="N1007" i="20"/>
  <c r="O1007" i="20"/>
  <c r="N1008" i="20"/>
  <c r="O1008" i="20"/>
  <c r="N1009" i="20"/>
  <c r="O1009" i="20"/>
  <c r="N1010" i="20"/>
  <c r="N1011" i="20"/>
  <c r="N1012" i="20"/>
  <c r="O1012" i="20"/>
  <c r="N1013" i="20"/>
  <c r="O1013" i="20"/>
  <c r="N1014" i="20"/>
  <c r="O1014" i="20"/>
  <c r="N1015" i="20"/>
  <c r="N1016" i="20"/>
  <c r="O1016" i="20"/>
  <c r="N1017" i="20"/>
  <c r="O1017" i="20"/>
  <c r="N1018" i="20"/>
  <c r="O1018" i="20"/>
  <c r="N1019" i="20"/>
  <c r="O1019" i="20"/>
  <c r="N1020" i="20"/>
  <c r="O1020" i="20"/>
  <c r="N1021" i="20"/>
  <c r="O1021" i="20"/>
  <c r="N1022" i="20"/>
  <c r="O1022" i="20"/>
  <c r="N1023" i="20"/>
  <c r="O1023" i="20"/>
  <c r="N1024" i="20"/>
  <c r="O1024" i="20"/>
  <c r="N1025" i="20"/>
  <c r="O1025" i="20"/>
  <c r="N1026" i="20"/>
  <c r="O1026" i="20"/>
  <c r="N1027" i="20"/>
  <c r="O1027" i="20"/>
  <c r="N1028" i="20"/>
  <c r="O1028" i="20"/>
  <c r="N1029" i="20"/>
  <c r="O1029" i="20"/>
  <c r="N1030" i="20"/>
  <c r="O1030" i="20"/>
  <c r="N1031" i="20"/>
  <c r="N1032" i="20"/>
  <c r="N1033" i="20"/>
  <c r="O1033" i="20"/>
  <c r="N1034" i="20"/>
  <c r="O1034" i="20"/>
  <c r="N1035" i="20"/>
  <c r="N1036" i="20"/>
  <c r="O1036" i="20"/>
  <c r="N1037" i="20"/>
  <c r="O1037" i="20"/>
  <c r="N1038" i="20"/>
  <c r="O1038" i="20"/>
  <c r="N1039" i="20"/>
  <c r="O1039" i="20"/>
  <c r="N1040" i="20"/>
  <c r="O1040" i="20"/>
  <c r="N1041" i="20"/>
  <c r="N1042" i="20"/>
  <c r="O1042" i="20"/>
  <c r="N1043" i="20"/>
  <c r="O1043" i="20"/>
  <c r="N1044" i="20"/>
  <c r="O1044" i="20"/>
  <c r="N1045" i="20"/>
  <c r="N1046" i="20"/>
  <c r="O1046" i="20"/>
  <c r="N1047" i="20"/>
  <c r="O1047" i="20"/>
  <c r="N1048" i="20"/>
  <c r="O1048" i="20"/>
  <c r="N1049" i="20"/>
  <c r="N1050" i="20"/>
  <c r="O1050" i="20"/>
  <c r="N1051" i="20"/>
  <c r="O1051" i="20"/>
  <c r="N1052" i="20"/>
  <c r="O1052" i="20"/>
  <c r="N1053" i="20"/>
  <c r="N1054" i="20"/>
  <c r="O1054" i="20"/>
  <c r="N1055" i="20"/>
  <c r="O1055" i="20"/>
  <c r="N1056" i="20"/>
  <c r="O1056" i="20"/>
  <c r="N1057" i="20"/>
  <c r="O1057" i="20"/>
  <c r="N1058" i="20"/>
  <c r="O1058" i="20"/>
  <c r="N1059" i="20"/>
  <c r="O1059" i="20"/>
  <c r="N1060" i="20"/>
  <c r="O1060" i="20"/>
  <c r="N1061" i="20"/>
  <c r="O1061" i="20"/>
  <c r="N1062" i="20"/>
  <c r="O1062" i="20"/>
  <c r="N1063" i="20"/>
  <c r="O1063" i="20"/>
  <c r="N1064" i="20"/>
  <c r="O1064" i="20"/>
  <c r="N1065" i="20"/>
  <c r="O1065" i="20"/>
  <c r="N1066" i="20"/>
  <c r="O1066" i="20"/>
  <c r="N1067" i="20"/>
  <c r="O1067" i="20"/>
  <c r="N1068" i="20"/>
  <c r="O1068" i="20"/>
  <c r="N1069" i="20"/>
  <c r="O1069" i="20"/>
  <c r="N1070" i="20"/>
  <c r="O1070" i="20"/>
  <c r="N1071" i="20"/>
  <c r="O1071" i="20"/>
  <c r="N1072" i="20"/>
  <c r="N1073" i="20"/>
  <c r="O1073" i="20"/>
  <c r="N1074" i="20"/>
  <c r="N1075" i="20"/>
  <c r="O1075" i="20"/>
  <c r="N1076" i="20"/>
  <c r="O1076" i="20"/>
  <c r="N1077" i="20"/>
  <c r="O1077" i="20"/>
  <c r="N1078" i="20"/>
  <c r="O1078" i="20"/>
  <c r="N1079" i="20"/>
  <c r="O1079" i="20"/>
  <c r="N1080" i="20"/>
  <c r="O1080" i="20"/>
  <c r="N1081" i="20"/>
  <c r="O1081" i="20"/>
  <c r="N1082" i="20"/>
  <c r="O1082" i="20"/>
  <c r="N1083" i="20"/>
  <c r="O1083" i="20"/>
  <c r="N1084" i="20"/>
  <c r="O1084" i="20"/>
  <c r="N1085" i="20"/>
  <c r="N1086" i="20"/>
  <c r="N1087" i="20"/>
  <c r="N1088" i="20"/>
  <c r="O1088" i="20"/>
  <c r="N1089" i="20"/>
  <c r="O1089" i="20"/>
  <c r="N1090" i="20"/>
  <c r="O1090" i="20"/>
  <c r="N1091" i="20"/>
  <c r="O1091" i="20"/>
  <c r="N1092" i="20"/>
  <c r="O1092" i="20"/>
  <c r="N1093" i="20"/>
  <c r="O1093" i="20"/>
  <c r="N1094" i="20"/>
  <c r="O1094" i="20"/>
  <c r="N1095" i="20"/>
  <c r="O1095" i="20"/>
  <c r="N1096" i="20"/>
  <c r="O1096" i="20"/>
  <c r="N1097" i="20"/>
  <c r="O1097" i="20"/>
  <c r="N1098" i="20"/>
  <c r="O1098" i="20"/>
  <c r="N1100" i="20"/>
  <c r="O1100" i="20"/>
  <c r="N1101" i="20"/>
  <c r="O1101" i="20"/>
  <c r="N1104" i="20"/>
  <c r="O1104" i="20"/>
  <c r="N1105" i="20"/>
  <c r="O1105" i="20"/>
  <c r="N1106" i="20"/>
  <c r="O1106" i="20"/>
  <c r="N1107" i="20"/>
  <c r="O1107" i="20"/>
  <c r="N1108" i="20"/>
  <c r="O1108" i="20"/>
  <c r="N1109" i="20"/>
  <c r="O1109" i="20"/>
  <c r="N1110" i="20"/>
  <c r="O1110" i="20"/>
  <c r="N1111" i="20"/>
  <c r="O1111" i="20"/>
  <c r="N1112" i="20"/>
  <c r="O1112" i="20"/>
  <c r="N1113" i="20"/>
  <c r="O1113" i="20"/>
  <c r="N1114" i="20"/>
  <c r="O1114" i="20"/>
  <c r="N1115" i="20"/>
  <c r="O1115" i="20"/>
  <c r="N1116" i="20"/>
  <c r="O1116" i="20"/>
  <c r="N1117" i="20"/>
  <c r="O1117" i="20"/>
  <c r="N1118" i="20"/>
  <c r="O1118" i="20"/>
  <c r="N1119" i="20"/>
  <c r="N1120" i="20"/>
  <c r="O1120" i="20"/>
  <c r="N1121" i="20"/>
  <c r="O1121" i="20"/>
  <c r="N1122" i="20"/>
  <c r="O1122" i="20"/>
  <c r="N1123" i="20"/>
  <c r="O1123" i="20"/>
  <c r="N1124" i="20"/>
  <c r="O1124" i="20"/>
  <c r="N1125" i="20"/>
  <c r="O1125" i="20"/>
  <c r="N1126" i="20"/>
  <c r="O1126" i="20"/>
  <c r="N1127" i="20"/>
  <c r="O1127" i="20"/>
  <c r="N1128" i="20"/>
  <c r="O1128" i="20"/>
  <c r="N1129" i="20"/>
  <c r="O1129" i="20"/>
  <c r="N1130" i="20"/>
  <c r="O1130" i="20"/>
  <c r="N1131" i="20"/>
  <c r="O1131" i="20"/>
  <c r="N1132" i="20"/>
  <c r="O1132" i="20"/>
  <c r="N1133" i="20"/>
  <c r="O1133" i="20"/>
  <c r="N1134" i="20"/>
  <c r="O1134" i="20"/>
  <c r="N1135" i="20"/>
  <c r="O1135" i="20"/>
  <c r="N1136" i="20"/>
  <c r="O1136" i="20"/>
  <c r="N1137" i="20"/>
  <c r="N1138" i="20"/>
  <c r="O1138" i="20"/>
  <c r="N1139" i="20"/>
  <c r="O1139" i="20"/>
  <c r="N1140" i="20"/>
  <c r="N1141" i="20"/>
  <c r="O1141" i="20"/>
  <c r="N1142" i="20"/>
  <c r="O1142" i="20"/>
  <c r="N1143" i="20"/>
  <c r="O1143" i="20"/>
  <c r="N1144" i="20"/>
  <c r="O1144" i="20"/>
  <c r="N1145" i="20"/>
  <c r="O1145" i="20"/>
  <c r="N1146" i="20"/>
  <c r="O1146" i="20"/>
  <c r="N1147" i="20"/>
  <c r="O1147" i="20"/>
  <c r="N1148" i="20"/>
  <c r="O1148" i="20"/>
  <c r="N1149" i="20"/>
  <c r="O1149" i="20"/>
  <c r="N1150" i="20"/>
  <c r="O1150" i="20"/>
  <c r="N1151" i="20"/>
  <c r="O1151" i="20"/>
  <c r="N1152" i="20"/>
  <c r="O1152" i="20"/>
  <c r="N1153" i="20"/>
  <c r="O1153" i="20"/>
  <c r="N1154" i="20"/>
  <c r="O1154" i="20"/>
  <c r="N1156" i="20"/>
  <c r="O1156" i="20"/>
  <c r="N1157" i="20"/>
  <c r="O1157" i="20"/>
  <c r="N1158" i="20"/>
  <c r="O1158" i="20"/>
  <c r="N1160" i="20"/>
  <c r="N1162" i="20"/>
  <c r="O1162" i="20"/>
  <c r="N1163" i="20"/>
  <c r="O1163" i="20"/>
  <c r="N1164" i="20"/>
  <c r="O1164" i="20"/>
  <c r="N1165" i="20"/>
  <c r="O1165" i="20"/>
  <c r="N1166" i="20"/>
  <c r="O1166" i="20"/>
  <c r="N1167" i="20"/>
  <c r="O1167" i="20"/>
  <c r="N1168" i="20"/>
  <c r="O1168" i="20"/>
  <c r="N1169" i="20"/>
  <c r="O1169" i="20"/>
  <c r="N1170" i="20"/>
  <c r="O1170" i="20"/>
  <c r="N1171" i="20"/>
  <c r="O1171" i="20"/>
  <c r="N1172" i="20"/>
  <c r="O1172" i="20"/>
  <c r="N1173" i="20"/>
  <c r="O1173" i="20"/>
  <c r="N1174" i="20"/>
  <c r="N1175" i="20"/>
  <c r="O1175" i="20"/>
  <c r="N1176" i="20"/>
  <c r="O1176" i="20"/>
  <c r="N1177" i="20"/>
  <c r="O1177" i="20"/>
  <c r="N1178" i="20"/>
  <c r="O1178" i="20"/>
  <c r="N1179" i="20"/>
  <c r="O1179" i="20"/>
  <c r="N1180" i="20"/>
  <c r="O1180" i="20"/>
  <c r="N1181" i="20"/>
  <c r="O1181" i="20"/>
  <c r="N1182" i="20"/>
  <c r="O1182" i="20"/>
  <c r="N1183" i="20"/>
  <c r="O1183" i="20"/>
  <c r="N1184" i="20"/>
  <c r="O1184" i="20"/>
  <c r="N1185" i="20"/>
  <c r="O1185" i="20"/>
  <c r="N1186" i="20"/>
  <c r="O1186" i="20"/>
  <c r="N1187" i="20"/>
  <c r="O1187" i="20"/>
  <c r="N1188" i="20"/>
  <c r="O1188" i="20"/>
  <c r="N1189" i="20"/>
  <c r="O1189" i="20"/>
  <c r="N1190" i="20"/>
  <c r="O1190" i="20"/>
  <c r="N1191" i="20"/>
  <c r="O1191" i="20"/>
  <c r="N1192" i="20"/>
  <c r="O1192" i="20"/>
  <c r="N1193" i="20"/>
  <c r="O1193" i="20"/>
  <c r="N1194" i="20"/>
  <c r="O1194" i="20"/>
  <c r="N1195" i="20"/>
  <c r="O1195" i="20"/>
  <c r="N1196" i="20"/>
  <c r="O1196" i="20"/>
  <c r="N1197" i="20"/>
  <c r="O1197" i="20"/>
  <c r="N1198" i="20"/>
  <c r="O1198" i="20"/>
  <c r="N1199" i="20"/>
  <c r="O1199" i="20"/>
  <c r="N1200" i="20"/>
  <c r="N1201" i="20"/>
  <c r="O1201" i="20"/>
  <c r="N1202" i="20"/>
  <c r="O1202" i="20"/>
  <c r="N1203" i="20"/>
  <c r="O1203" i="20"/>
  <c r="N1204" i="20"/>
  <c r="O1204" i="20"/>
  <c r="N1205" i="20"/>
  <c r="O1205" i="20"/>
  <c r="N1206" i="20"/>
  <c r="O1206" i="20"/>
  <c r="N1207" i="20"/>
  <c r="O1207" i="20"/>
  <c r="N1208" i="20"/>
  <c r="O1208" i="20"/>
  <c r="N1209" i="20"/>
  <c r="O1209" i="20"/>
  <c r="N1210" i="20"/>
  <c r="O1210" i="20"/>
  <c r="N1211" i="20"/>
  <c r="O1211" i="20"/>
  <c r="N1212" i="20"/>
  <c r="O1212" i="20"/>
  <c r="N1213" i="20"/>
  <c r="O1213" i="20"/>
  <c r="N1214" i="20"/>
  <c r="O1214" i="20"/>
  <c r="N1215" i="20"/>
  <c r="O1215" i="20"/>
  <c r="N1216" i="20"/>
  <c r="O1216" i="20"/>
  <c r="N1217" i="20"/>
  <c r="O1217" i="20"/>
  <c r="N1218" i="20"/>
  <c r="O1218" i="20"/>
  <c r="N1219" i="20"/>
  <c r="O1219" i="20"/>
  <c r="N1220" i="20"/>
  <c r="O1220" i="20"/>
  <c r="N1221" i="20"/>
  <c r="O1221" i="20"/>
  <c r="N1222" i="20"/>
  <c r="O1222" i="20"/>
  <c r="N1223" i="20"/>
  <c r="O1223" i="20"/>
  <c r="N1224" i="20"/>
  <c r="O1224" i="20"/>
  <c r="N1225" i="20"/>
  <c r="O1225" i="20"/>
  <c r="N1226" i="20"/>
  <c r="N1227" i="20"/>
  <c r="O1227" i="20"/>
  <c r="N1228" i="20"/>
  <c r="N1229" i="20"/>
  <c r="O1229" i="20"/>
  <c r="N1230" i="20"/>
  <c r="O1230" i="20"/>
  <c r="N1231" i="20"/>
  <c r="O1231" i="20"/>
  <c r="N1232" i="20"/>
  <c r="O1232" i="20"/>
  <c r="N1233" i="20"/>
  <c r="O1233" i="20"/>
  <c r="N1234" i="20"/>
  <c r="O1234" i="20"/>
  <c r="N1235" i="20"/>
  <c r="O1235" i="20"/>
  <c r="N1236" i="20"/>
  <c r="O1236" i="20"/>
  <c r="N1237" i="20"/>
  <c r="O1237" i="20"/>
  <c r="N1238" i="20"/>
  <c r="O1238" i="20"/>
  <c r="N1239" i="20"/>
  <c r="O1239" i="20"/>
  <c r="N1240" i="20"/>
  <c r="O1240" i="20"/>
  <c r="N1241" i="20"/>
  <c r="O1241" i="20"/>
  <c r="N1242" i="20"/>
  <c r="O1242" i="20"/>
  <c r="N1243" i="20"/>
  <c r="O1243" i="20"/>
  <c r="N1244" i="20"/>
  <c r="N1245" i="20"/>
  <c r="O1245" i="20"/>
  <c r="N1246" i="20"/>
  <c r="O1246" i="20"/>
  <c r="N1247" i="20"/>
  <c r="O1247" i="20"/>
  <c r="N1248" i="20"/>
  <c r="O1248" i="20"/>
  <c r="N1249" i="20"/>
  <c r="O1249" i="20"/>
  <c r="N1250" i="20"/>
  <c r="O1250" i="20"/>
  <c r="N1251" i="20"/>
  <c r="O1251" i="20"/>
  <c r="N1252" i="20"/>
  <c r="O1252" i="20"/>
  <c r="N1253" i="20"/>
  <c r="O1253" i="20"/>
  <c r="N1254" i="20"/>
  <c r="O1254" i="20"/>
  <c r="N1255" i="20"/>
  <c r="O1255" i="20"/>
  <c r="N1256" i="20"/>
  <c r="O1256" i="20"/>
  <c r="N1257" i="20"/>
  <c r="O1257" i="20"/>
  <c r="N1258" i="20"/>
  <c r="O1258" i="20"/>
  <c r="N1259" i="20"/>
  <c r="O1259" i="20"/>
  <c r="N1260" i="20"/>
  <c r="N1261" i="20"/>
  <c r="N1262" i="20"/>
  <c r="O1262" i="20"/>
  <c r="N1263" i="20"/>
  <c r="O1263" i="20"/>
  <c r="N1264" i="20"/>
  <c r="O1264" i="20"/>
  <c r="N1265" i="20"/>
  <c r="O1265" i="20"/>
  <c r="N1266" i="20"/>
  <c r="O1266" i="20"/>
  <c r="N1267" i="20"/>
  <c r="O1267" i="20"/>
  <c r="N1268" i="20"/>
  <c r="O1268" i="20"/>
  <c r="N1269" i="20"/>
  <c r="O1269" i="20"/>
  <c r="N1270" i="20"/>
  <c r="O1270" i="20"/>
  <c r="N1271" i="20"/>
  <c r="O1271" i="20"/>
  <c r="N1272" i="20"/>
  <c r="O1272" i="20"/>
  <c r="N1273" i="20"/>
  <c r="O1273" i="20"/>
  <c r="N1274" i="20"/>
  <c r="O1274" i="20"/>
  <c r="N1275" i="20"/>
  <c r="O1275" i="20"/>
  <c r="N1276" i="20"/>
  <c r="O1276" i="20"/>
  <c r="N1277" i="20"/>
  <c r="O1277" i="20"/>
  <c r="N1278" i="20"/>
  <c r="O1278" i="20"/>
  <c r="N1279" i="20"/>
  <c r="O1279" i="20"/>
  <c r="N1280" i="20"/>
  <c r="O1280" i="20"/>
  <c r="N1281" i="20"/>
  <c r="O1281" i="20"/>
  <c r="N1282" i="20"/>
  <c r="O1282" i="20"/>
  <c r="N1283" i="20"/>
  <c r="O1283" i="20"/>
  <c r="N1284" i="20"/>
  <c r="O1284" i="20"/>
  <c r="N1285" i="20"/>
  <c r="O1285" i="20"/>
  <c r="N1286" i="20"/>
  <c r="O1286" i="20"/>
  <c r="N1287" i="20"/>
  <c r="O1287" i="20"/>
  <c r="N1288" i="20"/>
  <c r="O1288" i="20"/>
  <c r="N1289" i="20"/>
  <c r="O1289" i="20"/>
  <c r="N1290" i="20"/>
  <c r="O1290" i="20"/>
  <c r="N1291" i="20"/>
  <c r="O1291" i="20"/>
  <c r="N1292" i="20"/>
  <c r="O1292" i="20"/>
  <c r="N1293" i="20"/>
  <c r="O1293" i="20"/>
  <c r="N1294" i="20"/>
  <c r="O1294" i="20"/>
  <c r="N1295" i="20"/>
  <c r="O1295" i="20"/>
  <c r="N1296" i="20"/>
  <c r="O1296" i="20"/>
  <c r="N1297" i="20"/>
  <c r="O1297" i="20"/>
  <c r="N1298" i="20"/>
  <c r="O1298" i="20"/>
  <c r="N1299" i="20"/>
  <c r="N1300" i="20"/>
  <c r="O1300" i="20"/>
  <c r="N1301" i="20"/>
  <c r="O1301" i="20"/>
  <c r="N1302" i="20"/>
  <c r="O1302" i="20"/>
  <c r="N1303" i="20"/>
  <c r="O1303" i="20"/>
  <c r="N1304" i="20"/>
  <c r="O1304" i="20"/>
  <c r="N1305" i="20"/>
  <c r="O1305" i="20"/>
  <c r="N1306" i="20"/>
  <c r="N1307" i="20"/>
  <c r="O1307" i="20"/>
  <c r="N1308" i="20"/>
  <c r="N1309" i="20"/>
  <c r="O1309" i="20"/>
  <c r="N1310" i="20"/>
  <c r="O1310" i="20"/>
  <c r="N1311" i="20"/>
  <c r="O1311" i="20"/>
  <c r="N1312" i="20"/>
  <c r="O1312" i="20"/>
  <c r="N1313" i="20"/>
  <c r="O1313" i="20"/>
  <c r="N1314" i="20"/>
  <c r="N1315" i="20"/>
  <c r="O1315" i="20"/>
  <c r="N1316" i="20"/>
  <c r="O1316" i="20"/>
  <c r="N1317" i="20"/>
  <c r="O1317" i="20"/>
  <c r="N1318" i="20"/>
  <c r="O1318" i="20"/>
  <c r="N1319" i="20"/>
  <c r="O1319" i="20"/>
  <c r="N1320" i="20"/>
  <c r="O1320" i="20"/>
  <c r="N1321" i="20"/>
  <c r="O1321" i="20"/>
  <c r="N1322" i="20"/>
  <c r="O1322" i="20"/>
  <c r="N1323" i="20"/>
  <c r="O1323" i="20"/>
  <c r="N1324" i="20"/>
  <c r="O1324" i="20"/>
  <c r="N1325" i="20"/>
  <c r="O1325" i="20"/>
  <c r="N1326" i="20"/>
  <c r="O1326" i="20"/>
  <c r="N1327" i="20"/>
  <c r="O1327" i="20"/>
  <c r="N1328" i="20"/>
  <c r="O1328" i="20"/>
  <c r="N1329" i="20"/>
  <c r="O1329" i="20"/>
  <c r="N1330" i="20"/>
  <c r="O1330" i="20"/>
  <c r="N1331" i="20"/>
  <c r="O1331" i="20"/>
  <c r="N1332" i="20"/>
  <c r="O1332" i="20"/>
  <c r="N1333" i="20"/>
  <c r="O1333" i="20"/>
  <c r="N1334" i="20"/>
  <c r="N1335" i="20"/>
  <c r="O1335" i="20"/>
  <c r="N1336" i="20"/>
  <c r="O1336" i="20"/>
  <c r="N1337" i="20"/>
  <c r="O1337" i="20"/>
  <c r="N1338" i="20"/>
  <c r="O1338" i="20"/>
  <c r="N1339" i="20"/>
  <c r="O1339" i="20"/>
  <c r="N1340" i="20"/>
  <c r="O1340" i="20"/>
  <c r="N1341" i="20"/>
  <c r="O1341" i="20"/>
  <c r="N1342" i="20"/>
  <c r="O1342" i="20"/>
  <c r="N1343" i="20"/>
  <c r="O1343" i="20"/>
  <c r="N1344" i="20"/>
  <c r="O1344" i="20"/>
  <c r="N1345" i="20"/>
  <c r="O1345" i="20"/>
  <c r="N1346" i="20"/>
  <c r="O1346" i="20"/>
  <c r="N1347" i="20"/>
  <c r="O1347" i="20"/>
  <c r="N1351" i="20"/>
  <c r="O1351" i="20"/>
  <c r="N1352" i="20"/>
  <c r="O1352" i="20"/>
  <c r="N1353" i="20"/>
  <c r="O1353" i="20"/>
  <c r="N1354" i="20"/>
  <c r="O1354" i="20"/>
  <c r="N1355" i="20"/>
  <c r="O1355" i="20"/>
  <c r="N1356" i="20"/>
  <c r="O1356" i="20"/>
  <c r="N1357" i="20"/>
  <c r="O1357" i="20"/>
  <c r="N1358" i="20"/>
  <c r="O1358" i="20"/>
  <c r="N1359" i="20"/>
  <c r="O1359" i="20"/>
  <c r="N1360" i="20"/>
  <c r="O1360" i="20"/>
  <c r="N1361" i="20"/>
  <c r="O1361" i="20"/>
  <c r="N1362" i="20"/>
  <c r="O1362" i="20"/>
  <c r="N1363" i="20"/>
  <c r="O1363" i="20"/>
  <c r="N1364" i="20"/>
  <c r="O1364" i="20"/>
  <c r="N1365" i="20"/>
  <c r="O1365" i="20"/>
  <c r="N1366" i="20"/>
  <c r="O1366" i="20"/>
  <c r="N1367" i="20"/>
  <c r="O1367" i="20"/>
  <c r="N1368" i="20"/>
  <c r="O1368" i="20"/>
  <c r="N1369" i="20"/>
  <c r="O1369" i="20"/>
  <c r="N1370" i="20"/>
  <c r="O1370" i="20"/>
  <c r="N1371" i="20"/>
  <c r="O1371" i="20"/>
  <c r="N1372" i="20"/>
  <c r="O1372" i="20"/>
  <c r="N1373" i="20"/>
  <c r="O1373" i="20"/>
  <c r="N1374" i="20"/>
  <c r="O1374" i="20"/>
  <c r="N1375" i="20"/>
  <c r="N1376" i="20"/>
  <c r="O1376" i="20"/>
  <c r="N1377" i="20"/>
  <c r="O1377" i="20"/>
  <c r="N1378" i="20"/>
  <c r="O1378" i="20"/>
  <c r="N1379" i="20"/>
  <c r="O1379" i="20"/>
  <c r="N1380" i="20"/>
  <c r="N1381" i="20"/>
  <c r="O1381" i="20"/>
  <c r="N1382" i="20"/>
  <c r="O1382" i="20"/>
  <c r="N1383" i="20"/>
  <c r="O1383" i="20"/>
  <c r="N1384" i="20"/>
  <c r="O1384" i="20"/>
  <c r="N1385" i="20"/>
  <c r="O1385" i="20"/>
  <c r="N1386" i="20"/>
  <c r="O1386" i="20"/>
  <c r="N1387" i="20"/>
  <c r="O1387" i="20"/>
  <c r="N1388" i="20"/>
  <c r="O1388" i="20"/>
  <c r="N1389" i="20"/>
  <c r="O1389" i="20"/>
  <c r="N1390" i="20"/>
  <c r="O1390" i="20"/>
  <c r="N1391" i="20"/>
  <c r="O1391" i="20"/>
  <c r="N1392" i="20"/>
  <c r="O1392" i="20"/>
  <c r="N1393" i="20"/>
  <c r="O1393" i="20"/>
  <c r="N1394" i="20"/>
  <c r="O1394" i="20"/>
  <c r="N1395" i="20"/>
  <c r="O1395" i="20"/>
  <c r="N1396" i="20"/>
  <c r="N1397" i="20"/>
  <c r="N1398" i="20"/>
  <c r="O1398" i="20"/>
  <c r="N1400" i="20"/>
  <c r="N1401" i="20"/>
  <c r="O1401" i="20"/>
  <c r="N1402" i="20"/>
  <c r="N1403" i="20"/>
  <c r="O1403" i="20"/>
  <c r="N1404" i="20"/>
  <c r="O1404" i="20"/>
  <c r="N1405" i="20"/>
  <c r="O1405" i="20"/>
  <c r="N1406" i="20"/>
  <c r="N1408" i="20"/>
  <c r="O1408" i="20"/>
  <c r="N1409" i="20"/>
  <c r="O1409" i="20"/>
  <c r="N1410" i="20"/>
  <c r="O1410" i="20"/>
  <c r="N1411" i="20"/>
  <c r="O1411" i="20"/>
  <c r="N1412" i="20"/>
  <c r="O1412" i="20"/>
  <c r="N1413" i="20"/>
  <c r="O1413" i="20"/>
  <c r="N1414" i="20"/>
  <c r="O1414" i="20"/>
  <c r="N1415" i="20"/>
  <c r="O1415" i="20"/>
  <c r="N1416" i="20"/>
  <c r="O1416" i="20"/>
  <c r="N1417" i="20"/>
  <c r="O1417" i="20"/>
  <c r="N1418" i="20"/>
  <c r="O1418" i="20"/>
  <c r="N1419" i="20"/>
  <c r="O1419" i="20"/>
  <c r="N1420" i="20"/>
  <c r="O1420" i="20"/>
  <c r="N1421" i="20"/>
  <c r="O1421" i="20"/>
  <c r="N1422" i="20"/>
  <c r="O1422" i="20"/>
  <c r="N1423" i="20"/>
  <c r="N1424" i="20"/>
  <c r="O1424" i="20"/>
  <c r="N1425" i="20"/>
  <c r="O1425" i="20"/>
  <c r="N1426" i="20"/>
  <c r="O1426" i="20"/>
  <c r="N1427" i="20"/>
  <c r="O1427" i="20"/>
  <c r="N1428" i="20"/>
  <c r="O1428" i="20"/>
  <c r="N1429" i="20"/>
  <c r="O1429" i="20"/>
  <c r="N1430" i="20"/>
  <c r="O1430" i="20"/>
  <c r="N1432" i="20"/>
  <c r="O1432" i="20"/>
  <c r="N1433" i="20"/>
  <c r="O1433" i="20"/>
  <c r="N1434" i="20"/>
  <c r="O1434" i="20"/>
  <c r="N1435" i="20"/>
  <c r="O1435" i="20"/>
  <c r="N1436" i="20"/>
  <c r="O1436" i="20"/>
  <c r="N1437" i="20"/>
  <c r="O1437" i="20"/>
  <c r="N1438" i="20"/>
  <c r="O1438" i="20"/>
  <c r="N1439" i="20"/>
  <c r="O1439" i="20"/>
  <c r="N1440" i="20"/>
  <c r="O1440" i="20"/>
  <c r="N1441" i="20"/>
  <c r="O1441" i="20"/>
  <c r="N1442" i="20"/>
  <c r="O1442" i="20"/>
  <c r="N1443" i="20"/>
  <c r="O1443" i="20"/>
  <c r="N1444" i="20"/>
  <c r="N1445" i="20"/>
  <c r="O1445" i="20"/>
  <c r="N1446" i="20"/>
  <c r="O1446" i="20"/>
  <c r="N1447" i="20"/>
  <c r="O1447" i="20"/>
  <c r="N1448" i="20"/>
  <c r="N1449" i="20"/>
  <c r="O1449" i="20"/>
  <c r="N1450" i="20"/>
  <c r="O1450" i="20"/>
  <c r="N1451" i="20"/>
  <c r="O1451" i="20"/>
  <c r="N1452" i="20"/>
  <c r="O1452" i="20"/>
  <c r="N1453" i="20"/>
  <c r="O1453" i="20"/>
  <c r="N1454" i="20"/>
  <c r="O1454" i="20"/>
  <c r="N1455" i="20"/>
  <c r="O1455" i="20"/>
  <c r="N1456" i="20"/>
  <c r="O1456" i="20"/>
  <c r="N1457" i="20"/>
  <c r="O1457" i="20"/>
  <c r="N1458" i="20"/>
  <c r="O1458" i="20"/>
  <c r="N1459" i="20"/>
  <c r="O1459" i="20"/>
  <c r="N1460" i="20"/>
  <c r="O1460" i="20"/>
  <c r="N1461" i="20"/>
  <c r="O1461" i="20"/>
  <c r="N1462" i="20"/>
  <c r="O1462" i="20"/>
  <c r="N1463" i="20"/>
  <c r="N1464" i="20"/>
  <c r="O1464" i="20"/>
  <c r="N1465" i="20"/>
  <c r="O1465" i="20"/>
  <c r="N1466" i="20"/>
  <c r="N1467" i="20"/>
  <c r="O1467" i="20"/>
  <c r="N1468" i="20"/>
  <c r="O1468" i="20"/>
  <c r="N1469" i="20"/>
  <c r="N1470" i="20"/>
  <c r="O1470" i="20"/>
  <c r="N1471" i="20"/>
  <c r="O1471" i="20"/>
  <c r="N1472" i="20"/>
  <c r="O1472" i="20"/>
  <c r="N1473" i="20"/>
  <c r="O1473" i="20"/>
  <c r="N1474" i="20"/>
  <c r="O1474" i="20"/>
  <c r="N1475" i="20"/>
  <c r="O1475" i="20"/>
  <c r="N1476" i="20"/>
  <c r="N1477" i="20"/>
  <c r="O1477" i="20"/>
  <c r="N1478" i="20"/>
  <c r="O1478" i="20"/>
  <c r="N1479" i="20"/>
  <c r="O1479" i="20"/>
  <c r="N1480" i="20"/>
  <c r="O1480" i="20"/>
  <c r="N1481" i="20"/>
  <c r="O1481" i="20"/>
  <c r="N1482" i="20"/>
  <c r="O1482" i="20"/>
  <c r="N1483" i="20"/>
  <c r="O1483" i="20"/>
  <c r="N1484" i="20"/>
  <c r="O1484" i="20"/>
  <c r="N1485" i="20"/>
  <c r="O1485" i="20"/>
  <c r="N1486" i="20"/>
  <c r="O1486" i="20"/>
  <c r="N1487" i="20"/>
  <c r="O1487" i="20"/>
  <c r="N1488" i="20"/>
  <c r="N1489" i="20"/>
  <c r="O1489" i="20"/>
  <c r="N1490" i="20"/>
  <c r="O1490" i="20"/>
  <c r="N1491" i="20"/>
  <c r="O1491" i="20"/>
  <c r="N1492" i="20"/>
  <c r="O1492" i="20"/>
  <c r="N1493" i="20"/>
  <c r="O1493" i="20"/>
  <c r="N1494" i="20"/>
  <c r="N1495" i="20"/>
  <c r="O1495" i="20"/>
  <c r="N1496" i="20"/>
  <c r="O1496" i="20"/>
  <c r="N1497" i="20"/>
  <c r="O1497" i="20"/>
  <c r="N1498" i="20"/>
  <c r="N1499" i="20"/>
  <c r="O1499" i="20"/>
  <c r="N1500" i="20"/>
  <c r="O1500" i="20"/>
  <c r="N1501" i="20"/>
  <c r="O1501" i="20"/>
  <c r="N1502" i="20"/>
  <c r="O1502" i="20"/>
  <c r="N1503" i="20"/>
  <c r="O1503" i="20"/>
  <c r="N1504" i="20"/>
  <c r="N1505" i="20"/>
  <c r="O1505" i="20"/>
  <c r="N1506" i="20"/>
  <c r="O1506" i="20"/>
  <c r="N1507" i="20"/>
  <c r="O1507" i="20"/>
  <c r="N1508" i="20"/>
  <c r="N1509" i="20"/>
  <c r="O1509" i="20"/>
  <c r="N1510" i="20"/>
  <c r="O1510" i="20"/>
  <c r="N1511" i="20"/>
  <c r="N1512" i="20"/>
  <c r="O1512" i="20"/>
  <c r="N1513" i="20"/>
  <c r="O1513" i="20"/>
  <c r="N1514" i="20"/>
  <c r="O1514" i="20"/>
  <c r="N1515" i="20"/>
  <c r="O1515" i="20"/>
  <c r="N1516" i="20"/>
  <c r="O1516" i="20"/>
  <c r="N1517" i="20"/>
  <c r="O1517" i="20"/>
  <c r="N1518" i="20"/>
  <c r="O1518" i="20"/>
  <c r="N1519" i="20"/>
  <c r="O1519" i="20"/>
  <c r="N1520" i="20"/>
  <c r="O1520" i="20"/>
  <c r="N1521" i="20"/>
  <c r="O1521" i="20"/>
  <c r="N1522" i="20"/>
  <c r="O1522" i="20"/>
  <c r="N1523" i="20"/>
  <c r="O1523" i="20"/>
  <c r="N1524" i="20"/>
  <c r="O1524" i="20"/>
  <c r="N1525" i="20"/>
  <c r="O1525" i="20"/>
  <c r="N1526" i="20"/>
  <c r="N1527" i="20"/>
  <c r="O1527" i="20"/>
  <c r="N1528" i="20"/>
  <c r="N1529" i="20"/>
  <c r="O1529" i="20"/>
  <c r="N1530" i="20"/>
  <c r="O1530" i="20"/>
  <c r="N1531" i="20"/>
  <c r="O1531" i="20"/>
  <c r="N1532" i="20"/>
  <c r="O1532" i="20"/>
  <c r="N1533" i="20"/>
  <c r="O1533" i="20"/>
  <c r="N1534" i="20"/>
  <c r="O1534" i="20"/>
  <c r="N1535" i="20"/>
  <c r="O1535" i="20"/>
  <c r="N1536" i="20"/>
  <c r="O1536" i="20"/>
  <c r="N1537" i="20"/>
  <c r="O1537" i="20"/>
  <c r="N1538" i="20"/>
  <c r="O1538" i="20"/>
  <c r="N1539" i="20"/>
  <c r="O1539" i="20"/>
  <c r="N1540" i="20"/>
  <c r="O1540" i="20"/>
  <c r="N1541" i="20"/>
  <c r="O1541" i="20"/>
  <c r="N1542" i="20"/>
  <c r="O1542" i="20"/>
  <c r="N1543" i="20"/>
  <c r="O1543" i="20"/>
  <c r="N1544" i="20"/>
  <c r="O1544" i="20"/>
  <c r="N1545" i="20"/>
  <c r="O1545" i="20"/>
  <c r="N1548" i="20"/>
  <c r="O1548" i="20"/>
  <c r="N1549" i="20"/>
  <c r="O1549" i="20"/>
  <c r="N1550" i="20"/>
  <c r="O1550" i="20"/>
  <c r="N1551" i="20"/>
  <c r="N1552" i="20"/>
  <c r="N1553" i="20"/>
  <c r="O1553" i="20"/>
  <c r="N1554" i="20"/>
  <c r="O1554" i="20"/>
  <c r="N1555" i="20"/>
  <c r="O1555" i="20"/>
  <c r="N1556" i="20"/>
  <c r="O1556" i="20"/>
  <c r="N1557" i="20"/>
  <c r="O1557" i="20"/>
  <c r="N1558" i="20"/>
  <c r="O1558" i="20"/>
  <c r="N1559" i="20"/>
  <c r="O1559" i="20"/>
  <c r="N1560" i="20"/>
  <c r="O1560" i="20"/>
  <c r="N1561" i="20"/>
  <c r="N1562" i="20"/>
  <c r="O1562" i="20"/>
  <c r="N1563" i="20"/>
  <c r="O1563" i="20"/>
  <c r="N1564" i="20"/>
  <c r="O1564" i="20"/>
  <c r="N1565" i="20"/>
  <c r="O1565" i="20"/>
  <c r="N1566" i="20"/>
  <c r="O1566" i="20"/>
  <c r="N1567" i="20"/>
  <c r="O1567" i="20"/>
  <c r="N1568" i="20"/>
  <c r="N1569" i="20"/>
  <c r="O1569" i="20"/>
  <c r="N1570" i="20"/>
  <c r="O1570" i="20"/>
  <c r="N1571" i="20"/>
  <c r="N1574" i="20"/>
  <c r="O1574" i="20"/>
  <c r="N1575" i="20"/>
  <c r="O1575" i="20"/>
  <c r="N1576" i="20"/>
  <c r="O1576" i="20"/>
  <c r="N1577" i="20"/>
  <c r="O1577" i="20"/>
  <c r="N1578" i="20"/>
  <c r="O1578" i="20"/>
  <c r="N1579" i="20"/>
  <c r="O1579" i="20"/>
  <c r="N1580" i="20"/>
  <c r="O1580" i="20"/>
  <c r="N1581" i="20"/>
  <c r="O1581" i="20"/>
  <c r="N1582" i="20"/>
  <c r="N1583" i="20"/>
  <c r="N1585" i="20"/>
  <c r="N1586" i="20"/>
  <c r="O1586" i="20"/>
  <c r="N1587" i="20"/>
  <c r="O1587" i="20"/>
  <c r="N1588" i="20"/>
  <c r="N1589" i="20"/>
  <c r="O1589" i="20"/>
  <c r="N1590" i="20"/>
  <c r="N1591" i="20"/>
  <c r="O1591" i="20"/>
  <c r="N1592" i="20"/>
  <c r="O1592" i="20"/>
  <c r="N1593" i="20"/>
  <c r="N1594" i="20"/>
  <c r="N1595" i="20"/>
  <c r="O1595" i="20"/>
  <c r="N1596" i="20"/>
  <c r="N1597" i="20"/>
  <c r="O1597" i="20"/>
  <c r="N1598" i="20"/>
  <c r="O1598" i="20"/>
  <c r="N1599" i="20"/>
  <c r="O1599" i="20"/>
  <c r="N1600" i="20"/>
  <c r="O1600" i="20"/>
  <c r="N1601" i="20"/>
  <c r="O1601" i="20"/>
  <c r="N1602" i="20"/>
  <c r="O1602" i="20"/>
  <c r="N1603" i="20"/>
  <c r="O1603" i="20"/>
  <c r="N1604" i="20"/>
  <c r="N1605" i="20"/>
  <c r="O1605" i="20"/>
  <c r="N1606" i="20"/>
  <c r="O1606" i="20"/>
  <c r="N1607" i="20"/>
  <c r="N1608" i="20"/>
  <c r="O1608" i="20"/>
  <c r="N1609" i="20"/>
  <c r="O1609" i="20"/>
  <c r="N1610" i="20"/>
  <c r="N1611" i="20"/>
  <c r="O1611" i="20"/>
  <c r="N1612" i="20"/>
  <c r="O1612" i="20"/>
  <c r="N1613" i="20"/>
  <c r="N1614" i="20"/>
  <c r="O1614" i="20"/>
  <c r="N1615" i="20"/>
  <c r="N1616" i="20"/>
  <c r="O1616" i="20"/>
  <c r="N1617" i="20"/>
  <c r="N1618" i="20"/>
  <c r="N1620" i="20"/>
  <c r="N1621" i="20"/>
  <c r="N1622" i="20"/>
  <c r="N1623" i="20"/>
  <c r="O1623" i="20"/>
  <c r="N1624" i="20"/>
  <c r="O1624" i="20"/>
  <c r="N1625" i="20"/>
  <c r="N1626" i="20"/>
  <c r="O1626" i="20"/>
  <c r="N1627" i="20"/>
  <c r="N1628" i="20"/>
  <c r="O1628" i="20"/>
  <c r="N1629" i="20"/>
  <c r="O1629" i="20"/>
  <c r="N1630" i="20"/>
  <c r="O1630" i="20"/>
  <c r="N1631" i="20"/>
  <c r="N1632" i="20"/>
  <c r="O1632" i="20"/>
  <c r="N1633" i="20"/>
  <c r="O1633" i="20"/>
  <c r="N1634" i="20"/>
  <c r="O1634" i="20"/>
  <c r="N1635" i="20"/>
  <c r="N1636" i="20"/>
  <c r="N1637" i="20"/>
  <c r="N1638" i="20"/>
  <c r="O1638" i="20"/>
  <c r="N1639" i="20"/>
  <c r="O1639" i="20"/>
  <c r="N1640" i="20"/>
  <c r="N1641" i="20"/>
  <c r="O1641" i="20"/>
  <c r="N1642" i="20"/>
  <c r="N1643" i="20"/>
  <c r="N1644" i="20"/>
  <c r="O1644" i="20"/>
  <c r="N1645" i="20"/>
  <c r="O1645" i="20"/>
  <c r="N1646" i="20"/>
  <c r="O1646" i="20"/>
  <c r="N1648" i="20"/>
  <c r="N1649" i="20"/>
  <c r="N1650" i="20"/>
  <c r="N1651" i="20"/>
  <c r="N1652" i="20"/>
  <c r="O1652" i="20"/>
  <c r="N1653" i="20"/>
  <c r="O1653" i="20"/>
  <c r="N1654" i="20"/>
  <c r="O1654" i="20"/>
  <c r="N1655" i="20"/>
  <c r="O1655" i="20"/>
  <c r="N1656" i="20"/>
  <c r="O1656" i="20"/>
  <c r="N1657" i="20"/>
  <c r="N1658" i="20"/>
  <c r="O1658" i="20"/>
  <c r="N1659" i="20"/>
  <c r="O1659" i="20"/>
  <c r="N1660" i="20"/>
  <c r="O1660" i="20"/>
  <c r="N1661" i="20"/>
  <c r="O1661" i="20"/>
  <c r="N1662" i="20"/>
  <c r="N1663" i="20"/>
  <c r="O1663" i="20"/>
  <c r="N1664" i="20"/>
  <c r="O1664" i="20"/>
  <c r="N1665" i="20"/>
  <c r="O1665" i="20"/>
  <c r="N1666" i="20"/>
  <c r="N1667" i="20"/>
  <c r="O1667" i="20"/>
  <c r="N1668" i="20"/>
  <c r="O1668" i="20"/>
  <c r="N1669" i="20"/>
  <c r="N1670" i="20"/>
  <c r="O1670" i="20"/>
  <c r="N1671" i="20"/>
  <c r="N1673" i="20"/>
  <c r="N1674" i="20"/>
  <c r="N1675" i="20"/>
  <c r="N1676" i="20"/>
  <c r="N1677" i="20"/>
  <c r="O1677" i="20"/>
  <c r="N1678" i="20"/>
  <c r="N1679" i="20"/>
  <c r="N1680" i="20"/>
  <c r="N1681" i="20"/>
  <c r="O1681" i="20"/>
  <c r="N1682" i="20"/>
  <c r="O1682" i="20"/>
  <c r="N1683" i="20"/>
  <c r="N1684" i="20"/>
  <c r="N1685" i="20"/>
  <c r="N1686" i="20"/>
  <c r="N1687" i="20"/>
  <c r="N1688" i="20"/>
  <c r="N1689" i="20"/>
  <c r="O1689" i="20"/>
  <c r="N1690" i="20"/>
  <c r="N1692" i="20"/>
  <c r="N1693" i="20"/>
  <c r="O1693" i="20"/>
  <c r="N1694" i="20"/>
  <c r="O1694" i="20"/>
  <c r="N1695" i="20"/>
  <c r="O1695" i="20"/>
  <c r="N1696" i="20"/>
  <c r="O1696" i="20"/>
  <c r="N1697" i="20"/>
  <c r="O1697" i="20"/>
  <c r="N1698" i="20"/>
  <c r="O1698" i="20"/>
  <c r="N1699" i="20"/>
  <c r="O1699" i="20"/>
  <c r="N1700" i="20"/>
  <c r="O1700" i="20"/>
  <c r="N1701" i="20"/>
  <c r="O1701" i="20"/>
  <c r="N1702" i="20"/>
  <c r="O1702" i="20"/>
  <c r="N1703" i="20"/>
  <c r="O1703" i="20"/>
  <c r="N1704" i="20"/>
  <c r="O1704" i="20"/>
  <c r="N1705" i="20"/>
  <c r="O1705" i="20"/>
  <c r="N1706" i="20"/>
  <c r="O1706" i="20"/>
  <c r="N1707" i="20"/>
  <c r="O1707" i="20"/>
  <c r="N1708" i="20"/>
  <c r="N1709" i="20"/>
  <c r="N1710" i="20"/>
  <c r="N1711" i="20"/>
  <c r="O1711" i="20"/>
  <c r="N1712" i="20"/>
  <c r="O1712" i="20"/>
  <c r="N1713" i="20"/>
  <c r="O1713" i="20"/>
  <c r="N1714" i="20"/>
  <c r="N1715" i="20"/>
  <c r="N1716" i="20"/>
  <c r="O1716" i="20"/>
  <c r="N1717" i="20"/>
  <c r="O1717" i="20"/>
  <c r="N1718" i="20"/>
  <c r="O1718" i="20"/>
  <c r="N1719" i="20"/>
  <c r="N1720" i="20"/>
  <c r="N1721" i="20"/>
  <c r="N1722" i="20"/>
  <c r="O1722" i="20"/>
  <c r="N1723" i="20"/>
  <c r="N1724" i="20"/>
  <c r="N1725" i="20"/>
  <c r="N1726" i="20"/>
  <c r="N1727" i="20"/>
  <c r="O1727" i="20"/>
  <c r="N1728" i="20"/>
  <c r="N1729" i="20"/>
  <c r="N1730" i="20"/>
  <c r="N1731" i="20"/>
  <c r="O1731" i="20"/>
  <c r="N1732" i="20"/>
  <c r="O1732" i="20"/>
  <c r="N1733" i="20"/>
  <c r="N1734" i="20"/>
  <c r="N1736" i="20"/>
  <c r="O1736" i="20"/>
  <c r="N1740" i="20"/>
  <c r="O1740" i="20"/>
  <c r="N1741" i="20"/>
  <c r="N1742" i="20"/>
  <c r="N1743" i="20"/>
  <c r="O1743" i="20"/>
  <c r="N1744" i="20"/>
  <c r="O1744" i="20"/>
  <c r="N1745" i="20"/>
  <c r="O1745" i="20"/>
  <c r="N1746" i="20"/>
  <c r="N1747" i="20"/>
  <c r="N1748" i="20"/>
  <c r="N1749" i="20"/>
  <c r="O1749" i="20"/>
  <c r="N1750" i="20"/>
  <c r="N1751" i="20"/>
  <c r="N1752" i="20"/>
  <c r="N1755" i="20"/>
  <c r="O1755" i="20"/>
  <c r="N1756" i="20"/>
  <c r="O1756" i="20"/>
  <c r="N1757" i="20"/>
  <c r="N1758" i="20"/>
  <c r="N1759" i="20"/>
  <c r="N1760" i="20"/>
  <c r="N1761" i="20"/>
  <c r="O1761" i="20"/>
  <c r="N1762" i="20"/>
  <c r="N1763" i="20"/>
  <c r="N1764" i="20"/>
  <c r="N1765" i="20"/>
  <c r="O1765" i="20"/>
  <c r="N1766" i="20"/>
  <c r="N1767" i="20"/>
  <c r="O1767" i="20"/>
  <c r="N1768" i="20"/>
  <c r="O1768" i="20"/>
  <c r="N1772" i="20"/>
  <c r="O1772" i="20"/>
  <c r="N1773" i="20"/>
  <c r="N1774" i="20"/>
  <c r="O1774" i="20"/>
  <c r="N1775" i="20"/>
  <c r="N1776" i="20"/>
  <c r="N1777" i="20"/>
  <c r="O1777" i="20"/>
  <c r="N1778" i="20"/>
  <c r="O1778" i="20"/>
  <c r="N1779" i="20"/>
  <c r="N1781" i="20"/>
  <c r="O1781" i="20"/>
  <c r="N1782" i="20"/>
  <c r="O1782" i="20"/>
  <c r="N1783" i="20"/>
  <c r="N1784" i="20"/>
  <c r="O1784" i="20"/>
  <c r="N1785" i="20"/>
  <c r="N1786" i="20"/>
  <c r="N1787" i="20"/>
  <c r="N1788" i="20"/>
  <c r="N1789" i="20"/>
  <c r="N1790" i="20"/>
  <c r="N1791" i="20"/>
  <c r="N1792" i="20"/>
  <c r="O1792" i="20"/>
  <c r="N1793" i="20"/>
  <c r="N1794" i="20"/>
  <c r="N1795" i="20"/>
  <c r="N1796" i="20"/>
  <c r="O1796" i="20"/>
  <c r="N1797" i="20"/>
  <c r="O1797" i="20"/>
  <c r="N1798" i="20"/>
  <c r="O1798" i="20"/>
  <c r="N1800" i="20"/>
  <c r="N1801" i="20"/>
  <c r="N1802" i="20"/>
  <c r="N1803" i="20"/>
  <c r="N1804" i="20"/>
  <c r="N1805" i="20"/>
  <c r="N1808" i="20"/>
  <c r="O1808" i="20"/>
  <c r="N1809" i="20"/>
  <c r="N1810" i="20"/>
  <c r="N1812" i="20"/>
  <c r="O1812" i="20"/>
  <c r="N1813" i="20"/>
  <c r="O1813" i="20"/>
  <c r="N1814" i="20"/>
  <c r="N1815" i="20"/>
  <c r="N1816" i="20"/>
  <c r="N1817" i="20"/>
  <c r="N1818" i="20"/>
  <c r="N1819" i="20"/>
  <c r="O1819" i="20"/>
  <c r="N1820" i="20"/>
  <c r="O1820" i="20"/>
  <c r="N1821" i="20"/>
  <c r="O1821" i="20"/>
  <c r="N1822" i="20"/>
  <c r="O1822" i="20"/>
  <c r="N1823" i="20"/>
  <c r="O1823" i="20"/>
  <c r="N1824" i="20"/>
  <c r="O1824" i="20"/>
  <c r="N1825" i="20"/>
  <c r="O1825" i="20"/>
  <c r="N1826" i="20"/>
  <c r="N1827" i="20"/>
  <c r="N1828" i="20"/>
  <c r="N1829" i="20"/>
  <c r="N1830" i="20"/>
  <c r="N1831" i="20"/>
  <c r="N1832" i="20"/>
  <c r="N1833" i="20"/>
  <c r="O1833" i="20"/>
  <c r="N1834" i="20"/>
  <c r="O1834" i="20"/>
  <c r="N1835" i="20"/>
  <c r="N1836" i="20"/>
  <c r="N1837" i="20"/>
  <c r="O1837" i="20"/>
  <c r="N1838" i="20"/>
  <c r="O1838" i="20"/>
  <c r="N1839" i="20"/>
  <c r="N1840" i="20"/>
  <c r="N1841" i="20"/>
  <c r="N1842" i="20"/>
  <c r="N1843" i="20"/>
  <c r="N1844" i="20"/>
  <c r="N1845" i="20"/>
  <c r="N1846" i="20"/>
  <c r="N1847" i="20"/>
  <c r="O1847" i="20"/>
  <c r="N1848" i="20"/>
  <c r="N1849" i="20"/>
  <c r="O1849" i="20"/>
  <c r="N1850" i="20"/>
  <c r="N1851" i="20"/>
  <c r="O1851" i="20"/>
  <c r="N1852" i="20"/>
  <c r="N1853" i="20"/>
  <c r="O1853" i="20"/>
  <c r="N1854" i="20"/>
  <c r="N1855" i="20"/>
  <c r="O1855" i="20"/>
  <c r="N1858" i="20"/>
  <c r="N1859" i="20"/>
  <c r="N1861" i="20"/>
  <c r="N1863" i="20"/>
  <c r="N1864" i="20"/>
  <c r="N1866" i="20"/>
  <c r="N1867" i="20"/>
  <c r="O1867" i="20"/>
  <c r="N1868" i="20"/>
  <c r="O1868" i="20"/>
  <c r="N1869" i="20"/>
  <c r="O1869" i="20"/>
  <c r="N1870" i="20"/>
  <c r="N1871" i="20"/>
  <c r="N1872" i="20"/>
  <c r="O1872" i="20"/>
  <c r="N1873" i="20"/>
  <c r="N1874" i="20"/>
  <c r="N1876" i="20"/>
  <c r="N1878" i="20"/>
  <c r="N1880" i="20"/>
  <c r="N1881" i="20"/>
  <c r="N1883" i="20"/>
  <c r="O1883" i="20"/>
  <c r="N1965" i="20"/>
  <c r="O1965" i="20"/>
  <c r="N1966" i="20"/>
  <c r="O1966" i="20"/>
  <c r="N1967" i="20"/>
  <c r="O1967" i="20"/>
  <c r="N1995" i="20"/>
  <c r="O1995" i="20"/>
  <c r="N1996" i="20"/>
  <c r="O1996" i="20"/>
  <c r="N1997" i="20"/>
  <c r="O1997" i="20"/>
  <c r="N1998" i="20"/>
  <c r="O1998" i="20"/>
  <c r="N1999" i="20"/>
  <c r="O1999" i="20"/>
  <c r="N2000" i="20"/>
  <c r="O2000" i="20"/>
  <c r="N2001" i="20"/>
  <c r="O2001" i="20"/>
  <c r="N2002" i="20"/>
  <c r="N2003" i="20"/>
  <c r="O2003" i="20"/>
  <c r="N2004" i="20"/>
  <c r="O2004" i="20"/>
  <c r="N2005" i="20"/>
  <c r="O2005" i="20"/>
  <c r="N2006" i="20"/>
  <c r="O2006" i="20"/>
  <c r="N2007" i="20"/>
  <c r="O2007" i="20"/>
  <c r="N2008" i="20"/>
  <c r="O2008" i="20"/>
  <c r="N2009" i="20"/>
  <c r="O2009" i="20"/>
  <c r="N2010" i="20"/>
  <c r="O2010" i="20"/>
  <c r="N2011" i="20"/>
  <c r="O2011" i="20"/>
  <c r="N2012" i="20"/>
  <c r="O2012" i="20"/>
  <c r="N2013" i="20"/>
  <c r="O2013" i="20"/>
  <c r="N2014" i="20"/>
  <c r="O2014" i="20"/>
  <c r="N2015" i="20"/>
  <c r="O2015" i="20"/>
  <c r="N2016" i="20"/>
  <c r="O2016" i="20"/>
  <c r="N2017" i="20"/>
  <c r="O2017" i="20"/>
  <c r="N2018" i="20"/>
  <c r="O2018" i="20"/>
  <c r="N2019" i="20"/>
  <c r="O2019" i="20"/>
  <c r="N2020" i="20"/>
  <c r="O2020" i="20"/>
  <c r="N2021" i="20"/>
  <c r="O2021" i="20"/>
  <c r="N2022" i="20"/>
  <c r="O2022" i="20"/>
  <c r="N2023" i="20"/>
  <c r="O2023" i="20"/>
  <c r="N2024" i="20"/>
  <c r="O2024" i="20"/>
  <c r="N2025" i="20"/>
  <c r="O2025" i="20"/>
  <c r="N2026" i="20"/>
  <c r="O2026" i="20"/>
  <c r="N2027" i="20"/>
  <c r="N2028" i="20"/>
  <c r="O2028" i="20"/>
  <c r="N2029" i="20"/>
  <c r="O2029" i="20"/>
  <c r="N2030" i="20"/>
  <c r="O2030" i="20"/>
  <c r="N2031" i="20"/>
  <c r="O2031" i="20"/>
  <c r="N2032" i="20"/>
  <c r="O2032" i="20"/>
  <c r="N2033" i="20"/>
  <c r="O2033" i="20"/>
  <c r="N2034" i="20"/>
  <c r="O2034" i="20"/>
  <c r="N2035" i="20"/>
  <c r="O2035" i="20"/>
  <c r="N2036" i="20"/>
  <c r="O2036" i="20"/>
  <c r="N2037" i="20"/>
  <c r="O2037" i="20"/>
  <c r="N2038" i="20"/>
  <c r="O2038" i="20"/>
  <c r="N2039" i="20"/>
  <c r="O2039" i="20"/>
  <c r="N2040" i="20"/>
  <c r="O2040" i="20"/>
  <c r="N2041" i="20"/>
  <c r="N2042" i="20"/>
  <c r="O2042" i="20"/>
  <c r="N2043" i="20"/>
  <c r="O2043" i="20"/>
  <c r="N2044" i="20"/>
  <c r="O2044" i="20"/>
  <c r="N2045" i="20"/>
  <c r="O2045" i="20"/>
  <c r="N2046" i="20"/>
  <c r="O2046" i="20"/>
  <c r="N2047" i="20"/>
  <c r="O2047" i="20"/>
  <c r="N2048" i="20"/>
  <c r="O2048" i="20"/>
  <c r="N2049" i="20"/>
  <c r="O2049" i="20"/>
  <c r="N2050" i="20"/>
  <c r="O2050" i="20"/>
  <c r="N2051" i="20"/>
  <c r="N2052" i="20"/>
  <c r="N2054" i="20"/>
  <c r="O2054" i="20"/>
  <c r="N2055" i="20"/>
  <c r="O2055" i="20"/>
  <c r="N2056" i="20"/>
  <c r="O2056" i="20"/>
  <c r="N2057" i="20"/>
  <c r="O2057" i="20"/>
  <c r="N2058" i="20"/>
  <c r="O2058" i="20"/>
  <c r="N2059" i="20"/>
  <c r="O2059" i="20"/>
  <c r="N2060" i="20"/>
  <c r="O2060" i="20"/>
  <c r="N2061" i="20"/>
  <c r="O2061" i="20"/>
  <c r="N2062" i="20"/>
  <c r="O2062" i="20"/>
  <c r="N2063" i="20"/>
  <c r="N2064" i="20"/>
  <c r="O2064" i="20"/>
  <c r="N2065" i="20"/>
  <c r="O2065" i="20"/>
  <c r="N2066" i="20"/>
  <c r="O2066" i="20"/>
  <c r="N2067" i="20"/>
  <c r="O2067" i="20"/>
  <c r="N2068" i="20"/>
  <c r="O2068" i="20"/>
  <c r="N2069" i="20"/>
  <c r="O2069" i="20"/>
  <c r="N2070" i="20"/>
  <c r="O2070" i="20"/>
  <c r="N2071" i="20"/>
  <c r="N2072" i="20"/>
  <c r="O2072" i="20"/>
  <c r="N2073" i="20"/>
  <c r="O2073" i="20"/>
  <c r="N2074" i="20"/>
  <c r="O2074" i="20"/>
  <c r="N2075" i="20"/>
  <c r="O2075" i="20"/>
  <c r="N2076" i="20"/>
  <c r="O2076" i="20"/>
  <c r="N2077" i="20"/>
  <c r="O2077" i="20"/>
  <c r="N2078" i="20"/>
  <c r="O2078" i="20"/>
  <c r="N2079" i="20"/>
  <c r="O2079" i="20"/>
  <c r="N2080" i="20"/>
  <c r="O2080" i="20"/>
  <c r="N2081" i="20"/>
  <c r="O2081" i="20"/>
  <c r="N2082" i="20"/>
  <c r="O2082" i="20"/>
  <c r="N2083" i="20"/>
  <c r="O2083" i="20"/>
  <c r="N2084" i="20"/>
  <c r="O2084" i="20"/>
  <c r="N2085" i="20"/>
  <c r="O2085" i="20"/>
  <c r="N2086" i="20"/>
  <c r="O2086" i="20"/>
  <c r="N2087" i="20"/>
  <c r="O2087" i="20"/>
  <c r="N2088" i="20"/>
  <c r="N2090" i="20"/>
  <c r="O2090" i="20"/>
  <c r="N2091" i="20"/>
  <c r="N2092" i="20"/>
  <c r="O2092" i="20"/>
  <c r="N2093" i="20"/>
  <c r="O2093" i="20"/>
  <c r="N2094" i="20"/>
  <c r="O2094" i="20"/>
  <c r="N2095" i="20"/>
  <c r="O2095" i="20"/>
  <c r="N2096" i="20"/>
  <c r="O2096" i="20"/>
  <c r="N2097" i="20"/>
  <c r="O2097" i="20"/>
  <c r="N2098" i="20"/>
  <c r="O2098" i="20"/>
  <c r="N2099" i="20"/>
  <c r="O2099" i="20"/>
  <c r="N2100" i="20"/>
  <c r="O2100" i="20"/>
  <c r="N2101" i="20"/>
  <c r="O2101" i="20"/>
  <c r="N2102" i="20"/>
  <c r="O2102" i="20"/>
  <c r="N2103" i="20"/>
  <c r="O2103" i="20"/>
  <c r="N2104" i="20"/>
  <c r="O2104" i="20"/>
  <c r="N2105" i="20"/>
  <c r="O2105" i="20"/>
  <c r="N2106" i="20"/>
  <c r="O2106" i="20"/>
  <c r="N2107" i="20"/>
  <c r="O2107" i="20"/>
  <c r="N2108" i="20"/>
  <c r="O2108" i="20"/>
  <c r="N2109" i="20"/>
  <c r="O2109" i="20"/>
  <c r="N2110" i="20"/>
  <c r="O2110" i="20"/>
  <c r="N2111" i="20"/>
  <c r="O2111" i="20"/>
  <c r="N2112" i="20"/>
  <c r="O2112" i="20"/>
  <c r="N2113" i="20"/>
  <c r="O2113" i="20"/>
  <c r="N2114" i="20"/>
  <c r="O2114" i="20"/>
  <c r="N2115" i="20"/>
  <c r="O2115" i="20"/>
  <c r="N2116" i="20"/>
  <c r="O2116" i="20"/>
  <c r="N2117" i="20"/>
  <c r="O2117" i="20"/>
  <c r="N2118" i="20"/>
  <c r="O2118" i="20"/>
  <c r="N2119" i="20"/>
  <c r="O2119" i="20"/>
  <c r="N2120" i="20"/>
  <c r="O2120" i="20"/>
  <c r="N2121" i="20"/>
  <c r="O2121" i="20"/>
  <c r="N2122" i="20"/>
  <c r="O2122" i="20"/>
  <c r="N2123" i="20"/>
  <c r="O2123" i="20"/>
  <c r="N2124" i="20"/>
  <c r="N2125" i="20"/>
  <c r="O2125" i="20"/>
  <c r="N2126" i="20"/>
  <c r="O2126" i="20"/>
  <c r="N2127" i="20"/>
  <c r="O2127" i="20"/>
  <c r="N2128" i="20"/>
  <c r="O2128" i="20"/>
  <c r="N2129" i="20"/>
  <c r="O2129" i="20"/>
  <c r="N2131" i="20"/>
  <c r="O2131" i="20"/>
  <c r="N2132" i="20"/>
  <c r="O2132" i="20"/>
  <c r="N2133" i="20"/>
  <c r="O2133" i="20"/>
  <c r="N2134" i="20"/>
  <c r="O2134" i="20"/>
  <c r="N2135" i="20"/>
  <c r="N2136" i="20"/>
  <c r="N2137" i="20"/>
  <c r="O2137" i="20"/>
  <c r="N2138" i="20"/>
  <c r="O2138" i="20"/>
  <c r="N2139" i="20"/>
  <c r="O2139" i="20"/>
  <c r="N2140" i="20"/>
  <c r="O2140" i="20"/>
  <c r="N2141" i="20"/>
  <c r="O2141" i="20"/>
  <c r="N2142" i="20"/>
  <c r="O2142" i="20"/>
  <c r="N2143" i="20"/>
  <c r="O2143" i="20"/>
  <c r="N2144" i="20"/>
  <c r="O2144" i="20"/>
  <c r="N2145" i="20"/>
  <c r="N2146" i="20"/>
  <c r="O2146" i="20"/>
  <c r="N2147" i="20"/>
  <c r="O2147" i="20"/>
  <c r="N2148" i="20"/>
  <c r="O2148" i="20"/>
  <c r="N2149" i="20"/>
  <c r="O2149" i="20"/>
  <c r="N2150" i="20"/>
  <c r="O2150" i="20"/>
  <c r="N2151" i="20"/>
  <c r="O2151" i="20"/>
  <c r="N2152" i="20"/>
  <c r="O2152" i="20"/>
  <c r="N2153" i="20"/>
  <c r="N2154" i="20"/>
  <c r="O2154" i="20"/>
  <c r="N2155" i="20"/>
  <c r="O2155" i="20"/>
  <c r="N2156" i="20"/>
  <c r="O2156" i="20"/>
  <c r="N2157" i="20"/>
  <c r="O2157" i="20"/>
  <c r="N2158" i="20"/>
  <c r="O2158" i="20"/>
  <c r="N2159" i="20"/>
  <c r="O2159" i="20"/>
  <c r="N2160" i="20"/>
  <c r="O2160" i="20"/>
  <c r="N2161" i="20"/>
  <c r="N2162" i="20"/>
  <c r="O2162" i="20"/>
  <c r="N2163" i="20"/>
  <c r="O2163" i="20"/>
  <c r="N2164" i="20"/>
  <c r="O2164" i="20"/>
  <c r="N2165" i="20"/>
  <c r="O2165" i="20"/>
  <c r="N2166" i="20"/>
  <c r="O2166" i="20"/>
  <c r="N2167" i="20"/>
  <c r="O2167" i="20"/>
  <c r="N2168" i="20"/>
  <c r="O2168" i="20"/>
  <c r="N2169" i="20"/>
  <c r="O2169" i="20"/>
  <c r="N2170" i="20"/>
  <c r="N2171" i="20"/>
  <c r="O2171" i="20"/>
  <c r="N2172" i="20"/>
  <c r="O2172" i="20"/>
  <c r="N2173" i="20"/>
  <c r="O2173" i="20"/>
  <c r="N2174" i="20"/>
  <c r="O2174" i="20"/>
  <c r="N2175" i="20"/>
  <c r="O2175" i="20"/>
  <c r="N2176" i="20"/>
  <c r="O2176" i="20"/>
  <c r="N2177" i="20"/>
  <c r="O2177" i="20"/>
  <c r="N2178" i="20"/>
  <c r="O2178" i="20"/>
  <c r="N2179" i="20"/>
  <c r="O2179" i="20"/>
  <c r="N2180" i="20"/>
  <c r="O2180" i="20"/>
  <c r="N2181" i="20"/>
  <c r="O2181" i="20"/>
  <c r="N2182" i="20"/>
  <c r="O2182" i="20"/>
  <c r="N2183" i="20"/>
  <c r="O2183" i="20"/>
  <c r="N2184" i="20"/>
  <c r="O2184" i="20"/>
  <c r="N2185" i="20"/>
  <c r="O2185" i="20"/>
  <c r="N2186" i="20"/>
  <c r="N2187" i="20"/>
  <c r="O2187" i="20"/>
  <c r="N2188" i="20"/>
  <c r="O2188" i="20"/>
  <c r="N2189" i="20"/>
  <c r="O2189" i="20"/>
  <c r="N2190" i="20"/>
  <c r="O2190" i="20"/>
  <c r="N2191" i="20"/>
  <c r="O2191" i="20"/>
  <c r="N2192" i="20"/>
  <c r="O2192" i="20"/>
  <c r="N2193" i="20"/>
  <c r="N2194" i="20"/>
  <c r="N2195" i="20"/>
  <c r="N2196" i="20"/>
  <c r="O2196" i="20"/>
  <c r="N2197" i="20"/>
  <c r="O2197" i="20"/>
  <c r="N2198" i="20"/>
  <c r="O2198" i="20"/>
  <c r="N2199" i="20"/>
  <c r="N2200" i="20"/>
  <c r="O2200" i="20"/>
  <c r="N2201" i="20"/>
  <c r="O2201" i="20"/>
  <c r="N2202" i="20"/>
  <c r="O2202" i="20"/>
  <c r="N2203" i="20"/>
  <c r="O2203" i="20"/>
  <c r="N2204" i="20"/>
  <c r="O2204" i="20"/>
  <c r="N2205" i="20"/>
  <c r="O2205" i="20"/>
  <c r="N2206" i="20"/>
  <c r="O2206" i="20"/>
  <c r="N2207" i="20"/>
  <c r="O2207" i="20"/>
  <c r="N2208" i="20"/>
  <c r="O2208" i="20"/>
  <c r="N2209" i="20"/>
  <c r="O2209" i="20"/>
  <c r="N2210" i="20"/>
  <c r="O2210" i="20"/>
  <c r="N2211" i="20"/>
  <c r="O2211" i="20"/>
  <c r="N2212" i="20"/>
  <c r="O2212" i="20"/>
  <c r="N2213" i="20"/>
  <c r="O2213" i="20"/>
  <c r="N2214" i="20"/>
  <c r="O2214" i="20"/>
  <c r="N2215" i="20"/>
  <c r="O2215" i="20"/>
  <c r="N2216" i="20"/>
  <c r="O2216" i="20"/>
  <c r="N2217" i="20"/>
  <c r="O2217" i="20"/>
  <c r="N2218" i="20"/>
  <c r="O2218" i="20"/>
  <c r="N2219" i="20"/>
  <c r="O2219" i="20"/>
  <c r="N2220" i="20"/>
  <c r="O2220" i="20"/>
  <c r="N2221" i="20"/>
  <c r="O2221" i="20"/>
  <c r="N2222" i="20"/>
  <c r="O2222" i="20"/>
  <c r="N2223" i="20"/>
  <c r="O2223" i="20"/>
  <c r="N2224" i="20"/>
  <c r="O2224" i="20"/>
  <c r="N2225" i="20"/>
  <c r="O2225" i="20"/>
  <c r="N2226" i="20"/>
  <c r="O2226" i="20"/>
  <c r="N2227" i="20"/>
  <c r="O2227" i="20"/>
  <c r="N2228" i="20"/>
  <c r="O2228" i="20"/>
  <c r="N2229" i="20"/>
  <c r="O2229" i="20"/>
  <c r="N2230" i="20"/>
  <c r="O2230" i="20"/>
  <c r="N2231" i="20"/>
  <c r="O2231" i="20"/>
  <c r="N2232" i="20"/>
  <c r="O2232" i="20"/>
  <c r="N2233" i="20"/>
  <c r="N2234" i="20"/>
  <c r="O2234" i="20"/>
  <c r="N2235" i="20"/>
  <c r="O2235" i="20"/>
  <c r="N2236" i="20"/>
  <c r="O2236" i="20"/>
  <c r="N2237" i="20"/>
  <c r="O2237" i="20"/>
  <c r="N2238" i="20"/>
  <c r="O2238" i="20"/>
  <c r="N2239" i="20"/>
  <c r="O2239" i="20"/>
  <c r="N2240" i="20"/>
  <c r="O2240" i="20"/>
  <c r="N2241" i="20"/>
  <c r="O2241" i="20"/>
  <c r="N2242" i="20"/>
  <c r="O2242" i="20"/>
  <c r="N2243" i="20"/>
  <c r="O2243" i="20"/>
  <c r="N2244" i="20"/>
  <c r="O2244" i="20"/>
  <c r="N2245" i="20"/>
  <c r="O2245" i="20"/>
  <c r="N2246" i="20"/>
  <c r="O2246" i="20"/>
  <c r="N2247" i="20"/>
  <c r="O2247" i="20"/>
  <c r="N2248" i="20"/>
  <c r="O2248" i="20"/>
  <c r="N2249" i="20"/>
  <c r="O2249" i="20"/>
  <c r="N2250" i="20"/>
  <c r="O2250" i="20"/>
  <c r="N2251" i="20"/>
  <c r="O2251" i="20"/>
  <c r="N2252" i="20"/>
  <c r="O2252" i="20"/>
  <c r="N2253" i="20"/>
  <c r="O2253" i="20"/>
  <c r="N2254" i="20"/>
  <c r="O2254" i="20"/>
  <c r="N2255" i="20"/>
  <c r="O2255" i="20"/>
  <c r="N2256" i="20"/>
  <c r="O2256" i="20"/>
  <c r="N2257" i="20"/>
  <c r="O2257" i="20"/>
  <c r="N2258" i="20"/>
  <c r="O2258" i="20"/>
  <c r="N2259" i="20"/>
  <c r="O2259" i="20"/>
  <c r="N2260" i="20"/>
  <c r="O2260" i="20"/>
  <c r="N2261" i="20"/>
  <c r="O2261" i="20"/>
  <c r="N2262" i="20"/>
  <c r="O2262" i="20"/>
  <c r="N2263" i="20"/>
  <c r="O2263" i="20"/>
  <c r="N2264" i="20"/>
  <c r="N2265" i="20"/>
  <c r="O2265" i="20"/>
  <c r="N2266" i="20"/>
  <c r="O2266" i="20"/>
  <c r="N2267" i="20"/>
  <c r="N2268" i="20"/>
  <c r="N2269" i="20"/>
  <c r="O2269" i="20"/>
  <c r="N2270" i="20"/>
  <c r="O2270" i="20"/>
  <c r="N2271" i="20"/>
  <c r="O2271" i="20"/>
  <c r="N2272" i="20"/>
  <c r="O2272" i="20"/>
  <c r="N2273" i="20"/>
  <c r="O2273" i="20"/>
  <c r="O2274" i="20"/>
  <c r="N2275" i="20"/>
  <c r="O2275" i="20"/>
  <c r="N2276" i="20"/>
  <c r="N2277" i="20"/>
  <c r="O2277" i="20"/>
  <c r="N2278" i="20"/>
  <c r="O2278" i="20"/>
  <c r="N2279" i="20"/>
  <c r="O2279" i="20"/>
  <c r="N2280" i="20"/>
  <c r="O2280" i="20"/>
  <c r="N2281" i="20"/>
  <c r="O2281" i="20"/>
  <c r="N2282" i="20"/>
  <c r="O2282" i="20"/>
  <c r="N2283" i="20"/>
  <c r="O2283" i="20"/>
  <c r="N2284" i="20"/>
  <c r="O2284" i="20"/>
  <c r="N2285" i="20"/>
  <c r="O2285" i="20"/>
  <c r="N2286" i="20"/>
  <c r="O2286" i="20"/>
  <c r="N2287" i="20"/>
  <c r="O2287" i="20"/>
  <c r="N2288" i="20"/>
  <c r="O2288" i="20"/>
  <c r="N2289" i="20"/>
  <c r="O2289" i="20"/>
  <c r="N2290" i="20"/>
  <c r="O2290" i="20"/>
  <c r="N2291" i="20"/>
  <c r="O2291" i="20"/>
  <c r="N2292" i="20"/>
  <c r="O2292" i="20"/>
  <c r="N2293" i="20"/>
  <c r="O2293" i="20"/>
  <c r="N2294" i="20"/>
  <c r="N2295" i="20"/>
  <c r="O2295" i="20"/>
  <c r="N2296" i="20"/>
  <c r="O2296" i="20"/>
  <c r="N2297" i="20"/>
  <c r="O2297" i="20"/>
  <c r="N2298" i="20"/>
  <c r="O2298" i="20"/>
  <c r="N2299" i="20"/>
  <c r="O2299" i="20"/>
  <c r="N2300" i="20"/>
  <c r="O2300" i="20"/>
  <c r="N2301" i="20"/>
  <c r="O2301" i="20"/>
  <c r="N2302" i="20"/>
  <c r="O2302" i="20"/>
  <c r="N2303" i="20"/>
  <c r="O2303" i="20"/>
  <c r="N2304" i="20"/>
  <c r="O2304" i="20"/>
  <c r="N2305" i="20"/>
  <c r="N2306" i="20"/>
  <c r="O2306" i="20"/>
  <c r="N2307" i="20"/>
  <c r="O2307" i="20"/>
  <c r="N2308" i="20"/>
  <c r="N2309" i="20"/>
  <c r="O2309" i="20"/>
  <c r="N2310" i="20"/>
  <c r="O2310" i="20"/>
  <c r="N2311" i="20"/>
  <c r="O2311" i="20"/>
  <c r="N2312" i="20"/>
  <c r="N2313" i="20"/>
  <c r="O2313" i="20"/>
  <c r="N2314" i="20"/>
  <c r="O2314" i="20"/>
  <c r="N2315" i="20"/>
  <c r="O2315" i="20"/>
  <c r="N2316" i="20"/>
  <c r="N2317" i="20"/>
  <c r="O2317" i="20"/>
  <c r="N2318" i="20"/>
  <c r="O2318" i="20"/>
  <c r="N2319" i="20"/>
  <c r="O2319" i="20"/>
  <c r="N2320" i="20"/>
  <c r="O2320" i="20"/>
  <c r="N2321" i="20"/>
  <c r="O2321" i="20"/>
  <c r="N2322" i="20"/>
  <c r="O2322" i="20"/>
  <c r="N2323" i="20"/>
  <c r="O2323" i="20"/>
  <c r="N2324" i="20"/>
  <c r="O2324" i="20"/>
  <c r="N2325" i="20"/>
  <c r="O2325" i="20"/>
  <c r="N2326" i="20"/>
  <c r="O2326" i="20"/>
  <c r="N2327" i="20"/>
  <c r="O2327" i="20"/>
  <c r="N2328" i="20"/>
  <c r="N2329" i="20"/>
  <c r="O2329" i="20"/>
  <c r="N2330" i="20"/>
  <c r="O2330" i="20"/>
  <c r="N2331" i="20"/>
  <c r="N2332" i="20"/>
  <c r="O2332" i="20"/>
  <c r="N2333" i="20"/>
  <c r="O2333" i="20"/>
  <c r="N2334" i="20"/>
  <c r="O2334" i="20"/>
  <c r="N2335" i="20"/>
  <c r="O2335" i="20"/>
  <c r="N2336" i="20"/>
  <c r="O2336" i="20"/>
  <c r="N2337" i="20"/>
  <c r="O2337" i="20"/>
  <c r="N2338" i="20"/>
  <c r="O2338" i="20"/>
  <c r="N2339" i="20"/>
  <c r="O2339" i="20"/>
  <c r="N2340" i="20"/>
  <c r="O2340" i="20"/>
  <c r="N2341" i="20"/>
  <c r="O2341" i="20"/>
  <c r="N2342" i="20"/>
  <c r="O2342" i="20"/>
  <c r="N2343" i="20"/>
  <c r="O2343" i="20"/>
  <c r="N2344" i="20"/>
  <c r="O2344" i="20"/>
  <c r="N2345" i="20"/>
  <c r="O2345" i="20"/>
  <c r="N2346" i="20"/>
  <c r="O2346" i="20"/>
  <c r="N2347" i="20"/>
  <c r="O2347" i="20"/>
  <c r="N2348" i="20"/>
  <c r="O2348" i="20"/>
  <c r="N2349" i="20"/>
  <c r="O2349" i="20"/>
  <c r="N2350" i="20"/>
  <c r="O2350" i="20"/>
  <c r="N2351" i="20"/>
  <c r="O2351" i="20"/>
  <c r="N2352" i="20"/>
  <c r="O2352" i="20"/>
  <c r="N2353" i="20"/>
  <c r="O2353" i="20"/>
  <c r="N2354" i="20"/>
  <c r="O2354" i="20"/>
  <c r="N2355" i="20"/>
  <c r="N2356" i="20"/>
  <c r="O2356" i="20"/>
  <c r="N2357" i="20"/>
  <c r="O2357" i="20"/>
  <c r="N2358" i="20"/>
  <c r="N2359" i="20"/>
  <c r="O2359" i="20"/>
  <c r="N2360" i="20"/>
  <c r="O2360" i="20"/>
  <c r="N2361" i="20"/>
  <c r="O2361" i="20"/>
  <c r="N2362" i="20"/>
  <c r="O2362" i="20"/>
  <c r="N2363" i="20"/>
  <c r="O2363" i="20"/>
  <c r="N2364" i="20"/>
  <c r="O2364" i="20"/>
  <c r="N2365" i="20"/>
  <c r="O2365" i="20"/>
  <c r="N2366" i="20"/>
  <c r="O2366" i="20"/>
  <c r="N2367" i="20"/>
  <c r="O2367" i="20"/>
  <c r="N2368" i="20"/>
  <c r="O2368" i="20"/>
  <c r="N2369" i="20"/>
  <c r="O2369" i="20"/>
  <c r="N2370" i="20"/>
  <c r="O2370" i="20"/>
  <c r="N2371" i="20"/>
  <c r="O2371" i="20"/>
  <c r="N2372" i="20"/>
  <c r="O2372" i="20"/>
  <c r="N2373" i="20"/>
  <c r="O2373" i="20"/>
  <c r="N2374" i="20"/>
  <c r="O2374" i="20"/>
  <c r="N2375" i="20"/>
  <c r="O2375" i="20"/>
  <c r="N2376" i="20"/>
  <c r="O2376" i="20"/>
  <c r="N2377" i="20"/>
  <c r="O2377" i="20"/>
  <c r="N2378" i="20"/>
  <c r="O2378" i="20"/>
  <c r="N2379" i="20"/>
  <c r="N2380" i="20"/>
  <c r="O2380" i="20"/>
  <c r="N2381" i="20"/>
  <c r="O2381" i="20"/>
  <c r="N2382" i="20"/>
  <c r="O2382" i="20"/>
  <c r="N2383" i="20"/>
  <c r="O2383" i="20"/>
  <c r="N2384" i="20"/>
  <c r="O2384" i="20"/>
  <c r="N2385" i="20"/>
  <c r="O2385" i="20"/>
  <c r="N2386" i="20"/>
  <c r="O2386" i="20"/>
  <c r="N2387" i="20"/>
  <c r="O2387" i="20"/>
  <c r="N2388" i="20"/>
  <c r="O2388" i="20"/>
  <c r="N2389" i="20"/>
  <c r="O2389" i="20"/>
  <c r="N2390" i="20"/>
  <c r="O2390" i="20"/>
  <c r="N2391" i="20"/>
  <c r="O2391" i="20"/>
  <c r="N2392" i="20"/>
  <c r="O2392" i="20"/>
  <c r="N2393" i="20"/>
  <c r="O2393" i="20"/>
  <c r="N2394" i="20"/>
  <c r="O2394" i="20"/>
  <c r="N2395" i="20"/>
  <c r="O2395" i="20"/>
  <c r="N2396" i="20"/>
  <c r="O2396" i="20"/>
  <c r="N2397" i="20"/>
  <c r="O2397" i="20"/>
  <c r="N2398" i="20"/>
  <c r="O2398" i="20"/>
  <c r="N2399" i="20"/>
  <c r="O2399" i="20"/>
  <c r="N2400" i="20"/>
  <c r="O2400" i="20"/>
  <c r="N2401" i="20"/>
  <c r="O2401" i="20"/>
  <c r="N2402" i="20"/>
  <c r="O2402" i="20"/>
  <c r="N2403" i="20"/>
  <c r="O2403" i="20"/>
  <c r="N2404" i="20"/>
  <c r="N2405" i="20"/>
  <c r="N2406" i="20"/>
  <c r="O2406" i="20"/>
  <c r="N2407" i="20"/>
  <c r="O2407" i="20"/>
  <c r="N2408" i="20"/>
  <c r="O2408" i="20"/>
  <c r="N2409" i="20"/>
  <c r="O2409" i="20"/>
  <c r="N2410" i="20"/>
  <c r="O2410" i="20"/>
  <c r="N2411" i="20"/>
  <c r="O2411" i="20"/>
  <c r="N2412" i="20"/>
  <c r="O2412" i="20"/>
  <c r="N2413" i="20"/>
  <c r="O2413" i="20"/>
  <c r="N2414" i="20"/>
  <c r="O2414" i="20"/>
  <c r="N2415" i="20"/>
  <c r="N2416" i="20"/>
  <c r="O2416" i="20"/>
  <c r="N2417" i="20"/>
  <c r="O2417" i="20"/>
  <c r="N2418" i="20"/>
  <c r="O2418" i="20"/>
  <c r="N2419" i="20"/>
  <c r="O2419" i="20"/>
  <c r="N2420" i="20"/>
  <c r="O2420" i="20"/>
  <c r="N2421" i="20"/>
  <c r="O2421" i="20"/>
  <c r="N2422" i="20"/>
  <c r="O2422" i="20"/>
  <c r="N2423" i="20"/>
  <c r="O2423" i="20"/>
  <c r="N2424" i="20"/>
  <c r="O2424" i="20"/>
  <c r="N2425" i="20"/>
  <c r="O2425" i="20"/>
  <c r="N2426" i="20"/>
  <c r="O2426" i="20"/>
  <c r="N2427" i="20"/>
  <c r="O2427" i="20"/>
  <c r="N2428" i="20"/>
  <c r="O2428" i="20"/>
  <c r="N2429" i="20"/>
  <c r="O2429" i="20"/>
  <c r="N2430" i="20"/>
  <c r="O2430" i="20"/>
  <c r="N2431" i="20"/>
  <c r="O2431" i="20"/>
  <c r="N2432" i="20"/>
  <c r="O2432" i="20"/>
  <c r="N2433" i="20"/>
  <c r="O2433" i="20"/>
  <c r="N2434" i="20"/>
  <c r="O2434" i="20"/>
  <c r="N2435" i="20"/>
  <c r="O2435" i="20"/>
  <c r="N2436" i="20"/>
  <c r="O2436" i="20"/>
  <c r="N2437" i="20"/>
  <c r="O2437" i="20"/>
  <c r="N2438" i="20"/>
  <c r="O2438" i="20"/>
  <c r="N2439" i="20"/>
  <c r="O2439" i="20"/>
  <c r="N2440" i="20"/>
  <c r="O2440" i="20"/>
  <c r="N2441" i="20"/>
  <c r="O2441" i="20"/>
  <c r="N2442" i="20"/>
  <c r="O2442" i="20"/>
  <c r="N2443" i="20"/>
  <c r="O2443" i="20"/>
  <c r="N2444" i="20"/>
  <c r="O2444" i="20"/>
  <c r="N2445" i="20"/>
  <c r="O2445" i="20"/>
  <c r="N2446" i="20"/>
  <c r="O2446" i="20"/>
  <c r="N2447" i="20"/>
  <c r="O2447" i="20"/>
  <c r="N2448" i="20"/>
  <c r="O2448" i="20"/>
  <c r="N2449" i="20"/>
  <c r="O2449" i="20"/>
  <c r="N2450" i="20"/>
  <c r="O2450" i="20"/>
  <c r="N2451" i="20"/>
  <c r="N2452" i="20"/>
  <c r="O2452" i="20"/>
  <c r="N2453" i="20"/>
  <c r="O2453" i="20"/>
  <c r="N2454" i="20"/>
  <c r="O2454" i="20"/>
  <c r="N2455" i="20"/>
  <c r="O2455" i="20"/>
  <c r="N2456" i="20"/>
  <c r="O2456" i="20"/>
  <c r="N2457" i="20"/>
  <c r="N2458" i="20"/>
  <c r="O2458" i="20"/>
  <c r="N2459" i="20"/>
  <c r="O2459" i="20"/>
  <c r="N2460" i="20"/>
  <c r="O2460" i="20"/>
  <c r="N2461" i="20"/>
  <c r="O2461" i="20"/>
  <c r="N2462" i="20"/>
  <c r="N2463" i="20"/>
  <c r="O2463" i="20"/>
  <c r="N2464" i="20"/>
  <c r="N2465" i="20"/>
  <c r="O2465" i="20"/>
  <c r="N2466" i="20"/>
  <c r="O2466" i="20"/>
  <c r="N2467" i="20"/>
  <c r="O2467" i="20"/>
  <c r="N2468" i="20"/>
  <c r="O2468" i="20"/>
  <c r="N2469" i="20"/>
  <c r="O2469" i="20"/>
  <c r="N2470" i="20"/>
  <c r="N2471" i="20"/>
  <c r="O2471" i="20"/>
  <c r="N2472" i="20"/>
  <c r="O2472" i="20"/>
  <c r="N2473" i="20"/>
  <c r="N2474" i="20"/>
  <c r="O2474" i="20"/>
  <c r="N2475" i="20"/>
  <c r="O2475" i="20"/>
  <c r="N2476" i="20"/>
  <c r="O2476" i="20"/>
  <c r="N2477" i="20"/>
  <c r="O2477" i="20"/>
  <c r="N2478" i="20"/>
  <c r="O2478" i="20"/>
  <c r="N2479" i="20"/>
  <c r="O2479" i="20"/>
  <c r="N2480" i="20"/>
  <c r="O2480" i="20"/>
  <c r="N2481" i="20"/>
  <c r="O2481" i="20"/>
  <c r="N2482" i="20"/>
  <c r="O2482" i="20"/>
  <c r="N2483" i="20"/>
  <c r="O2483" i="20"/>
  <c r="N2484" i="20"/>
  <c r="N2485" i="20"/>
  <c r="O2485" i="20"/>
  <c r="N2486" i="20"/>
  <c r="O2486" i="20"/>
  <c r="N2487" i="20"/>
  <c r="O2487" i="20"/>
  <c r="N2488" i="20"/>
  <c r="O2488" i="20"/>
  <c r="N2489" i="20"/>
  <c r="O2489" i="20"/>
  <c r="N2490" i="20"/>
  <c r="O2490" i="20"/>
  <c r="N2491" i="20"/>
  <c r="O2491" i="20"/>
  <c r="N2492" i="20"/>
  <c r="O2492" i="20"/>
  <c r="N2493" i="20"/>
  <c r="O2493" i="20"/>
  <c r="N2494" i="20"/>
  <c r="O2494" i="20"/>
  <c r="N2495" i="20"/>
  <c r="O2495" i="20"/>
  <c r="N2496" i="20"/>
  <c r="N2497" i="20"/>
  <c r="O2497" i="20"/>
  <c r="N2498" i="20"/>
  <c r="O2498" i="20"/>
  <c r="N2499" i="20"/>
  <c r="O2499" i="20"/>
  <c r="N2500" i="20"/>
  <c r="O2500" i="20"/>
  <c r="N2501" i="20"/>
  <c r="O2501" i="20"/>
  <c r="N2502" i="20"/>
  <c r="O2502" i="20"/>
  <c r="N2503" i="20"/>
  <c r="O2503" i="20"/>
  <c r="N2504" i="20"/>
  <c r="O2504" i="20"/>
  <c r="N2505" i="20"/>
  <c r="O2505" i="20"/>
  <c r="N2506" i="20"/>
  <c r="N2507" i="20"/>
  <c r="O2507" i="20"/>
  <c r="N2508" i="20"/>
  <c r="O2508" i="20"/>
  <c r="N2509" i="20"/>
  <c r="O2509" i="20"/>
  <c r="N2510" i="20"/>
  <c r="O2510" i="20"/>
  <c r="N2511" i="20"/>
  <c r="N2514" i="20"/>
  <c r="N2516" i="20"/>
  <c r="O2516" i="20"/>
  <c r="N2517" i="20"/>
  <c r="O2517" i="20"/>
  <c r="N2518" i="20"/>
  <c r="O2518" i="20"/>
  <c r="N2519" i="20"/>
  <c r="O2519" i="20"/>
  <c r="N2520" i="20"/>
  <c r="O2520" i="20"/>
  <c r="N2521" i="20"/>
  <c r="O2521" i="20"/>
  <c r="N2522" i="20"/>
  <c r="O2522" i="20"/>
  <c r="N2523" i="20"/>
  <c r="O2523" i="20"/>
  <c r="N2524" i="20"/>
  <c r="O2524" i="20"/>
  <c r="N2525" i="20"/>
  <c r="O2525" i="20"/>
  <c r="N2526" i="20"/>
  <c r="O2526" i="20"/>
  <c r="N2527" i="20"/>
  <c r="N2528" i="20"/>
  <c r="O2528" i="20"/>
  <c r="N2530" i="20"/>
  <c r="O2530" i="20"/>
  <c r="N2531" i="20"/>
  <c r="O2531" i="20"/>
  <c r="N2532" i="20"/>
  <c r="O2532" i="20"/>
  <c r="N2533" i="20"/>
  <c r="O2533" i="20"/>
  <c r="N2534" i="20"/>
  <c r="O2534" i="20"/>
  <c r="N2535" i="20"/>
  <c r="O2535" i="20"/>
  <c r="N2536" i="20"/>
  <c r="O2536" i="20"/>
  <c r="N2537" i="20"/>
  <c r="O2537" i="20"/>
  <c r="N2538" i="20"/>
  <c r="O2538" i="20"/>
  <c r="N2539" i="20"/>
  <c r="O2539" i="20"/>
  <c r="N2540" i="20"/>
  <c r="O2540" i="20"/>
  <c r="N2541" i="20"/>
  <c r="O2541" i="20"/>
  <c r="N2542" i="20"/>
  <c r="O2542" i="20"/>
  <c r="N2543" i="20"/>
  <c r="O2543" i="20"/>
  <c r="N2544" i="20"/>
  <c r="O2544" i="20"/>
  <c r="N2545" i="20"/>
  <c r="O2545" i="20"/>
  <c r="N2546" i="20"/>
  <c r="O2546" i="20"/>
  <c r="N2547" i="20"/>
  <c r="O2547" i="20"/>
  <c r="N2548" i="20"/>
  <c r="O2548" i="20"/>
  <c r="N2549" i="20"/>
  <c r="O2549" i="20"/>
  <c r="N2550" i="20"/>
  <c r="N2551" i="20"/>
  <c r="O2551" i="20"/>
  <c r="N2552" i="20"/>
  <c r="O2552" i="20"/>
  <c r="N2553" i="20"/>
  <c r="O2553" i="20"/>
  <c r="N2554" i="20"/>
  <c r="O2554" i="20"/>
  <c r="N2555" i="20"/>
  <c r="O2555" i="20"/>
  <c r="N2556" i="20"/>
  <c r="O2556" i="20"/>
  <c r="N2557" i="20"/>
  <c r="O2557" i="20"/>
  <c r="N2558" i="20"/>
  <c r="O2558" i="20"/>
  <c r="N2559" i="20"/>
  <c r="O2559" i="20"/>
  <c r="N2560" i="20"/>
  <c r="O2560" i="20"/>
  <c r="N2561" i="20"/>
  <c r="O2561" i="20"/>
  <c r="N2562" i="20"/>
  <c r="O2562" i="20"/>
  <c r="N2563" i="20"/>
  <c r="O2563" i="20"/>
  <c r="N2564" i="20"/>
  <c r="O2564" i="20"/>
  <c r="N2565" i="20"/>
  <c r="O2565" i="20"/>
  <c r="N2566" i="20"/>
  <c r="O2566" i="20"/>
  <c r="N2567" i="20"/>
  <c r="O2567" i="20"/>
  <c r="N2568" i="20"/>
  <c r="N2569" i="20"/>
  <c r="O2569" i="20"/>
  <c r="N2570" i="20"/>
  <c r="O2570" i="20"/>
  <c r="N2571" i="20"/>
  <c r="O2571" i="20"/>
  <c r="N2572" i="20"/>
  <c r="O2572" i="20"/>
  <c r="N2573" i="20"/>
  <c r="O2573" i="20"/>
  <c r="N2574" i="20"/>
  <c r="N2575" i="20"/>
  <c r="O2575" i="20"/>
  <c r="N2576" i="20"/>
  <c r="O2576" i="20"/>
  <c r="N2577" i="20"/>
  <c r="O2577" i="20"/>
  <c r="N2578" i="20"/>
  <c r="O2578" i="20"/>
  <c r="N2579" i="20"/>
  <c r="O2579" i="20"/>
  <c r="N2580" i="20"/>
  <c r="O2580" i="20"/>
  <c r="N2581" i="20"/>
  <c r="N2582" i="20"/>
  <c r="O2582" i="20"/>
  <c r="N2583" i="20"/>
  <c r="O2583" i="20"/>
  <c r="N2584" i="20"/>
  <c r="O2584" i="20"/>
  <c r="N2585" i="20"/>
  <c r="N2586" i="20"/>
  <c r="O2586" i="20"/>
  <c r="N2587" i="20"/>
  <c r="N2590" i="20"/>
  <c r="O2590" i="20"/>
  <c r="N2591" i="20"/>
  <c r="O2591" i="20"/>
  <c r="N2592" i="20"/>
  <c r="O2592" i="20"/>
  <c r="N2593" i="20"/>
  <c r="N2594" i="20"/>
  <c r="O2594" i="20"/>
  <c r="N2595" i="20"/>
  <c r="O2595" i="20"/>
  <c r="N2596" i="20"/>
  <c r="O2596" i="20"/>
  <c r="N2597" i="20"/>
  <c r="O2597" i="20"/>
  <c r="N2598" i="20"/>
  <c r="O2598" i="20"/>
  <c r="N2599" i="20"/>
  <c r="N2601" i="20"/>
  <c r="O2601" i="20"/>
  <c r="N2602" i="20"/>
  <c r="O2602" i="20"/>
  <c r="N2603" i="20"/>
  <c r="O2603" i="20"/>
  <c r="N2604" i="20"/>
  <c r="O2604" i="20"/>
  <c r="N2605" i="20"/>
  <c r="O2605" i="20"/>
  <c r="N2606" i="20"/>
  <c r="O2606" i="20"/>
  <c r="N2607" i="20"/>
  <c r="O2607" i="20"/>
  <c r="N2608" i="20"/>
  <c r="O2608" i="20"/>
  <c r="N2609" i="20"/>
  <c r="O2609" i="20"/>
  <c r="N2610" i="20"/>
  <c r="O2610" i="20"/>
  <c r="N2611" i="20"/>
  <c r="O2611" i="20"/>
  <c r="N2612" i="20"/>
  <c r="N2613" i="20"/>
  <c r="O2613" i="20"/>
  <c r="N2614" i="20"/>
  <c r="O2614" i="20"/>
  <c r="N2615" i="20"/>
  <c r="O2615" i="20"/>
  <c r="N2616" i="20"/>
  <c r="O2616" i="20"/>
  <c r="N2617" i="20"/>
  <c r="O2617" i="20"/>
  <c r="N2618" i="20"/>
  <c r="O2618" i="20"/>
  <c r="N2619" i="20"/>
  <c r="O2619" i="20"/>
  <c r="N2620" i="20"/>
  <c r="O2620" i="20"/>
  <c r="N2621" i="20"/>
  <c r="O2621" i="20"/>
  <c r="N2622" i="20"/>
  <c r="O2622" i="20"/>
  <c r="N2623" i="20"/>
  <c r="O2623" i="20"/>
  <c r="N2624" i="20"/>
  <c r="O2624" i="20"/>
  <c r="N2625" i="20"/>
  <c r="O2625" i="20"/>
  <c r="N2626" i="20"/>
  <c r="O2626" i="20"/>
  <c r="N2627" i="20"/>
  <c r="O2627" i="20"/>
  <c r="N2628" i="20"/>
  <c r="O2628" i="20"/>
  <c r="N2629" i="20"/>
  <c r="O2629" i="20"/>
  <c r="N2630" i="20"/>
  <c r="O2630" i="20"/>
  <c r="N2631" i="20"/>
  <c r="O2631" i="20"/>
  <c r="N2632" i="20"/>
  <c r="O2632" i="20"/>
  <c r="N2633" i="20"/>
  <c r="N2634" i="20"/>
  <c r="O2634" i="20"/>
  <c r="N2635" i="20"/>
  <c r="O2635" i="20"/>
  <c r="N2636" i="20"/>
  <c r="O2636" i="20"/>
  <c r="N2637" i="20"/>
  <c r="N2638" i="20"/>
  <c r="O2638" i="20"/>
  <c r="N2639" i="20"/>
  <c r="O2639" i="20"/>
  <c r="N2640" i="20"/>
  <c r="O2640" i="20"/>
  <c r="N2641" i="20"/>
  <c r="O2641" i="20"/>
  <c r="N2642" i="20"/>
  <c r="O2642" i="20"/>
  <c r="N2643" i="20"/>
  <c r="O2643" i="20"/>
  <c r="N2644" i="20"/>
  <c r="O2644" i="20"/>
  <c r="N2645" i="20"/>
  <c r="O2645" i="20"/>
  <c r="N2646" i="20"/>
  <c r="O2646" i="20"/>
  <c r="N2647" i="20"/>
  <c r="O2647" i="20"/>
  <c r="N2648" i="20"/>
  <c r="O2648" i="20"/>
  <c r="N2649" i="20"/>
  <c r="O2649" i="20"/>
  <c r="N2650" i="20"/>
  <c r="O2650" i="20"/>
  <c r="N2651" i="20"/>
  <c r="O2651" i="20"/>
  <c r="N2652" i="20"/>
  <c r="O2652" i="20"/>
  <c r="N2653" i="20"/>
  <c r="O2653" i="20"/>
  <c r="N2654" i="20"/>
  <c r="N2655" i="20"/>
  <c r="O2655" i="20"/>
  <c r="N2656" i="20"/>
  <c r="N2657" i="20"/>
  <c r="O2657" i="20"/>
  <c r="N2658" i="20"/>
  <c r="N2659" i="20"/>
  <c r="O2659" i="20"/>
  <c r="N2660" i="20"/>
  <c r="O2660" i="20"/>
  <c r="N2661" i="20"/>
  <c r="N2662" i="20"/>
  <c r="N2663" i="20"/>
  <c r="O2663" i="20"/>
  <c r="N2664" i="20"/>
  <c r="O2664" i="20"/>
  <c r="N2665" i="20"/>
  <c r="O2665" i="20"/>
  <c r="N2666" i="20"/>
  <c r="O2666" i="20"/>
  <c r="N2667" i="20"/>
  <c r="O2667" i="20"/>
  <c r="N2668" i="20"/>
  <c r="O2668" i="20"/>
  <c r="N2669" i="20"/>
  <c r="O2669" i="20"/>
  <c r="N2670" i="20"/>
  <c r="O2670" i="20"/>
  <c r="N2671" i="20"/>
  <c r="N2672" i="20"/>
  <c r="O2672" i="20"/>
  <c r="N2673" i="20"/>
  <c r="O2673" i="20"/>
  <c r="N2674" i="20"/>
  <c r="O2674" i="20"/>
  <c r="N2675" i="20"/>
  <c r="O2675" i="20"/>
  <c r="N2676" i="20"/>
  <c r="O2676" i="20"/>
  <c r="N2677" i="20"/>
  <c r="N2678" i="20"/>
  <c r="O2678" i="20"/>
  <c r="N2679" i="20"/>
  <c r="O2679" i="20"/>
  <c r="N2680" i="20"/>
  <c r="O2680" i="20"/>
  <c r="N2681" i="20"/>
  <c r="O2681" i="20"/>
  <c r="N2682" i="20"/>
  <c r="O2682" i="20"/>
  <c r="N2683" i="20"/>
  <c r="O2683" i="20"/>
  <c r="N2684" i="20"/>
  <c r="O2684" i="20"/>
  <c r="N2685" i="20"/>
  <c r="O2685" i="20"/>
  <c r="N2686" i="20"/>
  <c r="O2686" i="20"/>
  <c r="N2687" i="20"/>
  <c r="O2687" i="20"/>
  <c r="N2688" i="20"/>
  <c r="O2688" i="20"/>
  <c r="N2689" i="20"/>
  <c r="O2689" i="20"/>
  <c r="N2690" i="20"/>
  <c r="O2690" i="20"/>
  <c r="N2691" i="20"/>
  <c r="O2691" i="20"/>
  <c r="N2692" i="20"/>
  <c r="O2692" i="20"/>
  <c r="N2693" i="20"/>
  <c r="O2693" i="20"/>
  <c r="N2694" i="20"/>
  <c r="O2694" i="20"/>
  <c r="N2695" i="20"/>
  <c r="O2695" i="20"/>
  <c r="N2696" i="20"/>
  <c r="O2696" i="20"/>
  <c r="N2697" i="20"/>
  <c r="N2698" i="20"/>
  <c r="N2699" i="20"/>
  <c r="O2699" i="20"/>
  <c r="N2700" i="20"/>
  <c r="O2700" i="20"/>
  <c r="N2701" i="20"/>
  <c r="O2701" i="20"/>
  <c r="N2702" i="20"/>
  <c r="O2702" i="20"/>
  <c r="N2703" i="20"/>
  <c r="O2703" i="20"/>
  <c r="N2704" i="20"/>
  <c r="O2704" i="20"/>
  <c r="N2705" i="20"/>
  <c r="N2706" i="20"/>
  <c r="O2706" i="20"/>
  <c r="N2707" i="20"/>
  <c r="O2707" i="20"/>
  <c r="N2708" i="20"/>
  <c r="N2709" i="20"/>
  <c r="O2709" i="20"/>
  <c r="N2710" i="20"/>
  <c r="O2710" i="20"/>
  <c r="N2711" i="20"/>
  <c r="O2711" i="20"/>
  <c r="N2712" i="20"/>
  <c r="O2712" i="20"/>
  <c r="N2713" i="20"/>
  <c r="O2713" i="20"/>
  <c r="N2714" i="20"/>
  <c r="O2714" i="20"/>
  <c r="N2715" i="20"/>
  <c r="O2715" i="20"/>
  <c r="N2716" i="20"/>
  <c r="O2716" i="20"/>
  <c r="N2717" i="20"/>
  <c r="O2717" i="20"/>
  <c r="N2718" i="20"/>
  <c r="O2718" i="20"/>
  <c r="N2719" i="20"/>
  <c r="O2719" i="20"/>
  <c r="N2720" i="20"/>
  <c r="O2720" i="20"/>
  <c r="N2721" i="20"/>
  <c r="O2721" i="20"/>
  <c r="N2722" i="20"/>
  <c r="O2722" i="20"/>
  <c r="N2723" i="20"/>
  <c r="O2723" i="20"/>
  <c r="N2724" i="20"/>
  <c r="N2725" i="20"/>
  <c r="N2726" i="20"/>
  <c r="N2727" i="20"/>
  <c r="O2727" i="20"/>
  <c r="N2728" i="20"/>
  <c r="O2728" i="20"/>
  <c r="N2729" i="20"/>
  <c r="O2729" i="20"/>
  <c r="N2730" i="20"/>
  <c r="O2730" i="20"/>
  <c r="N2731" i="20"/>
  <c r="O2731" i="20"/>
  <c r="N2732" i="20"/>
  <c r="O2732" i="20"/>
  <c r="N2733" i="20"/>
  <c r="O2733" i="20"/>
  <c r="N2734" i="20"/>
  <c r="O2734" i="20"/>
  <c r="N2735" i="20"/>
  <c r="N2736" i="20"/>
  <c r="O2736" i="20"/>
  <c r="N2737" i="20"/>
  <c r="O2737" i="20"/>
  <c r="N2738" i="20"/>
  <c r="O2738" i="20"/>
  <c r="N2739" i="20"/>
  <c r="O2739" i="20"/>
  <c r="N2740" i="20"/>
  <c r="O2740" i="20"/>
  <c r="N2741" i="20"/>
  <c r="O2741" i="20"/>
  <c r="N2742" i="20"/>
  <c r="O2742" i="20"/>
  <c r="N2743" i="20"/>
  <c r="O2743" i="20"/>
  <c r="N2744" i="20"/>
  <c r="O2744" i="20"/>
  <c r="N2745" i="20"/>
  <c r="O2745" i="20"/>
  <c r="N2746" i="20"/>
  <c r="O2746" i="20"/>
  <c r="N2747" i="20"/>
  <c r="O2747" i="20"/>
  <c r="N2748" i="20"/>
  <c r="O2748" i="20"/>
  <c r="N2749" i="20"/>
  <c r="O2749" i="20"/>
  <c r="N2750" i="20"/>
  <c r="N2751" i="20"/>
  <c r="O2751" i="20"/>
  <c r="N2752" i="20"/>
  <c r="O2752" i="20"/>
  <c r="N2753" i="20"/>
  <c r="N2754" i="20"/>
  <c r="O2754" i="20"/>
  <c r="N2755" i="20"/>
  <c r="O2755" i="20"/>
  <c r="N2756" i="20"/>
  <c r="O2756" i="20"/>
  <c r="N2757" i="20"/>
  <c r="O2757" i="20"/>
  <c r="N2758" i="20"/>
  <c r="O2758" i="20"/>
  <c r="N2759" i="20"/>
  <c r="N2761" i="20"/>
  <c r="N2763" i="20"/>
  <c r="O2763" i="20"/>
  <c r="N2764" i="20"/>
  <c r="O2764" i="20"/>
  <c r="N2765" i="20"/>
  <c r="O2765" i="20"/>
  <c r="N2766" i="20"/>
  <c r="O2766" i="20"/>
  <c r="N2767" i="20"/>
  <c r="O2767" i="20"/>
  <c r="N2768" i="20"/>
  <c r="N2769" i="20"/>
  <c r="N2770" i="20"/>
  <c r="O2770" i="20"/>
  <c r="N2771" i="20"/>
  <c r="O2771" i="20"/>
  <c r="N2772" i="20"/>
  <c r="O2772" i="20"/>
  <c r="N2773" i="20"/>
  <c r="N2774" i="20"/>
  <c r="O2774" i="20"/>
  <c r="N2775" i="20"/>
  <c r="O2775" i="20"/>
  <c r="N2776" i="20"/>
  <c r="O2776" i="20"/>
  <c r="N2777" i="20"/>
  <c r="O2777" i="20"/>
  <c r="N2778" i="20"/>
  <c r="O2778" i="20"/>
  <c r="N2779" i="20"/>
  <c r="N2780" i="20"/>
  <c r="O2780" i="20"/>
  <c r="N2781" i="20"/>
  <c r="N2782" i="20"/>
  <c r="O2782" i="20"/>
  <c r="N2783" i="20"/>
  <c r="O2783" i="20"/>
  <c r="N2784" i="20"/>
  <c r="N2785" i="20"/>
  <c r="N2786" i="20"/>
  <c r="N2787" i="20"/>
  <c r="O2787" i="20"/>
  <c r="N2788" i="20"/>
  <c r="O2788" i="20"/>
  <c r="N2789" i="20"/>
  <c r="O2789" i="20"/>
  <c r="N2790" i="20"/>
  <c r="O2790" i="20"/>
  <c r="N2791" i="20"/>
  <c r="O2791" i="20"/>
  <c r="N2792" i="20"/>
  <c r="O2792" i="20"/>
  <c r="N2793" i="20"/>
  <c r="O2793" i="20"/>
  <c r="N2794" i="20"/>
  <c r="O2794" i="20"/>
  <c r="N2795" i="20"/>
  <c r="O2795" i="20"/>
  <c r="N2796" i="20"/>
  <c r="O2796" i="20"/>
  <c r="N2797" i="20"/>
  <c r="O2797" i="20"/>
  <c r="N2798" i="20"/>
  <c r="O2798" i="20"/>
  <c r="N2799" i="20"/>
  <c r="O2799" i="20"/>
  <c r="N2800" i="20"/>
  <c r="O2800" i="20"/>
  <c r="N2801" i="20"/>
  <c r="N2802" i="20"/>
  <c r="O2802" i="20"/>
  <c r="N2803" i="20"/>
  <c r="O2803" i="20"/>
  <c r="N2804" i="20"/>
  <c r="O2804" i="20"/>
  <c r="N2805" i="20"/>
  <c r="N2806" i="20"/>
  <c r="O2806" i="20"/>
  <c r="N2807" i="20"/>
  <c r="O2807" i="20"/>
  <c r="N2808" i="20"/>
  <c r="N2809" i="20"/>
  <c r="O2809" i="20"/>
  <c r="N2810" i="20"/>
  <c r="N2811" i="20"/>
  <c r="O2811" i="20"/>
  <c r="N2813" i="20"/>
  <c r="O2813" i="20"/>
  <c r="N2814" i="20"/>
  <c r="O2814" i="20"/>
  <c r="N2815" i="20"/>
  <c r="N2816" i="20"/>
  <c r="N2817" i="20"/>
  <c r="O2817" i="20"/>
  <c r="N2818" i="20"/>
  <c r="O2818" i="20"/>
  <c r="N2819" i="20"/>
  <c r="O2819" i="20"/>
  <c r="N2820" i="20"/>
  <c r="O2820" i="20"/>
  <c r="N2821" i="20"/>
  <c r="O2821" i="20"/>
  <c r="N2822" i="20"/>
  <c r="O2822" i="20"/>
  <c r="N2823" i="20"/>
  <c r="O2823" i="20"/>
  <c r="N2824" i="20"/>
  <c r="O2824" i="20"/>
  <c r="N2825" i="20"/>
  <c r="O2825" i="20"/>
  <c r="N2826" i="20"/>
  <c r="O2826" i="20"/>
  <c r="N2827" i="20"/>
  <c r="O2827" i="20"/>
  <c r="N2828" i="20"/>
  <c r="O2828" i="20"/>
  <c r="N2829" i="20"/>
  <c r="O2829" i="20"/>
  <c r="N2830" i="20"/>
  <c r="O2830" i="20"/>
  <c r="N2831" i="20"/>
  <c r="O2831" i="20"/>
  <c r="N2832" i="20"/>
  <c r="O2832" i="20"/>
  <c r="N2833" i="20"/>
  <c r="O2833" i="20"/>
  <c r="N2834" i="20"/>
  <c r="O2834" i="20"/>
  <c r="N2835" i="20"/>
  <c r="O2835" i="20"/>
  <c r="N2836" i="20"/>
  <c r="O2836" i="20"/>
  <c r="N2837" i="20"/>
  <c r="O2837" i="20"/>
  <c r="N2838" i="20"/>
  <c r="O2838" i="20"/>
  <c r="N2839" i="20"/>
  <c r="O2839" i="20"/>
  <c r="N2840" i="20"/>
  <c r="O2840" i="20"/>
  <c r="N2841" i="20"/>
  <c r="O2841" i="20"/>
  <c r="N2842" i="20"/>
  <c r="O2842" i="20"/>
  <c r="N2843" i="20"/>
  <c r="O2843" i="20"/>
  <c r="N2844" i="20"/>
  <c r="O2844" i="20"/>
  <c r="N2845" i="20"/>
  <c r="O2845" i="20"/>
  <c r="N2846" i="20"/>
  <c r="O2846" i="20"/>
  <c r="N2847" i="20"/>
  <c r="O2847" i="20"/>
  <c r="N2848" i="20"/>
  <c r="O2848" i="20"/>
  <c r="N2849" i="20"/>
  <c r="O2849" i="20"/>
  <c r="N2850" i="20"/>
  <c r="O2850" i="20"/>
  <c r="N2851" i="20"/>
  <c r="O2851" i="20"/>
  <c r="N2852" i="20"/>
  <c r="O2852" i="20"/>
  <c r="N2853" i="20"/>
  <c r="O2853" i="20"/>
  <c r="N2854" i="20"/>
  <c r="O2854" i="20"/>
  <c r="N2855" i="20"/>
  <c r="O2855" i="20"/>
  <c r="N2856" i="20"/>
  <c r="O2856" i="20"/>
  <c r="N2857" i="20"/>
  <c r="O2857" i="20"/>
  <c r="N2858" i="20"/>
  <c r="O2858" i="20"/>
  <c r="N2859" i="20"/>
  <c r="O2859" i="20"/>
  <c r="N2860" i="20"/>
  <c r="N2861" i="20"/>
  <c r="O2861" i="20"/>
  <c r="N2864" i="20"/>
  <c r="O2864" i="20"/>
  <c r="N2865" i="20"/>
  <c r="O2865" i="20"/>
  <c r="N2866" i="20"/>
  <c r="N2869" i="20"/>
  <c r="O2869" i="20"/>
  <c r="N2870" i="20"/>
  <c r="O2870" i="20"/>
  <c r="N2871" i="20"/>
  <c r="O2871" i="20"/>
  <c r="N2872" i="20"/>
  <c r="O2872" i="20"/>
  <c r="N2873" i="20"/>
  <c r="O2873" i="20"/>
  <c r="N2874" i="20"/>
  <c r="O2874" i="20"/>
  <c r="N2875" i="20"/>
  <c r="O2875" i="20"/>
  <c r="N2876" i="20"/>
  <c r="O2876" i="20"/>
  <c r="N2877" i="20"/>
  <c r="O2877" i="20"/>
  <c r="N2878" i="20"/>
  <c r="O2878" i="20"/>
  <c r="N2879" i="20"/>
  <c r="O2879" i="20"/>
  <c r="N2880" i="20"/>
  <c r="O2880" i="20"/>
  <c r="N2881" i="20"/>
  <c r="O2881" i="20"/>
  <c r="N2882" i="20"/>
  <c r="O2882" i="20"/>
  <c r="N2883" i="20"/>
  <c r="O2883" i="20"/>
  <c r="N2884" i="20"/>
  <c r="O2884" i="20"/>
  <c r="N2885" i="20"/>
  <c r="O2885" i="20"/>
  <c r="N2886" i="20"/>
  <c r="O2886" i="20"/>
  <c r="N2887" i="20"/>
  <c r="O2887" i="20"/>
  <c r="N2888" i="20"/>
  <c r="N2889" i="20"/>
  <c r="O2889" i="20"/>
  <c r="N2890" i="20"/>
  <c r="O2890" i="20"/>
  <c r="N2891" i="20"/>
  <c r="O2891" i="20"/>
  <c r="N2892" i="20"/>
  <c r="O2892" i="20"/>
  <c r="N2893" i="20"/>
  <c r="O2893" i="20"/>
  <c r="N2894" i="20"/>
  <c r="O2894" i="20"/>
  <c r="N2895" i="20"/>
  <c r="O2895" i="20"/>
  <c r="N2896" i="20"/>
  <c r="O2896" i="20"/>
  <c r="N2897" i="20"/>
  <c r="O2897" i="20"/>
  <c r="N2898" i="20"/>
  <c r="O2898" i="20"/>
  <c r="N2899" i="20"/>
  <c r="O2899" i="20"/>
  <c r="N2900" i="20"/>
  <c r="O2900" i="20"/>
  <c r="N2901" i="20"/>
  <c r="O2901" i="20"/>
  <c r="N2902" i="20"/>
  <c r="O2902" i="20"/>
  <c r="N2903" i="20"/>
  <c r="O2903" i="20"/>
  <c r="N2904" i="20"/>
  <c r="O2904" i="20"/>
  <c r="N2905" i="20"/>
  <c r="N2906" i="20"/>
  <c r="O2906" i="20"/>
  <c r="N2907" i="20"/>
  <c r="O2907" i="20"/>
  <c r="N2908" i="20"/>
  <c r="O2908" i="20"/>
  <c r="N2909" i="20"/>
  <c r="O2909" i="20"/>
  <c r="N2910" i="20"/>
  <c r="O2910" i="20"/>
  <c r="N2911" i="20"/>
  <c r="O2911" i="20"/>
  <c r="N2912" i="20"/>
  <c r="N2913" i="20"/>
  <c r="O2913" i="20"/>
  <c r="N2915" i="20"/>
  <c r="O2915" i="20"/>
  <c r="N2916" i="20"/>
  <c r="O2916" i="20"/>
  <c r="N2917" i="20"/>
  <c r="O2917" i="20"/>
  <c r="N2918" i="20"/>
  <c r="N2919" i="20"/>
  <c r="O2919" i="20"/>
  <c r="N2920" i="20"/>
  <c r="O2920" i="20"/>
  <c r="N2921" i="20"/>
  <c r="O2921" i="20"/>
  <c r="N2922" i="20"/>
  <c r="O2922" i="20"/>
  <c r="N2923" i="20"/>
  <c r="O2923" i="20"/>
  <c r="N2924" i="20"/>
  <c r="O2924" i="20"/>
  <c r="N2925" i="20"/>
  <c r="O2925" i="20"/>
  <c r="N2926" i="20"/>
  <c r="O2926" i="20"/>
  <c r="N2927" i="20"/>
  <c r="O2927" i="20"/>
  <c r="N2928" i="20"/>
  <c r="O2928" i="20"/>
  <c r="N2929" i="20"/>
  <c r="O2929" i="20"/>
  <c r="N2930" i="20"/>
  <c r="O2930" i="20"/>
  <c r="N2931" i="20"/>
  <c r="O2931" i="20"/>
  <c r="N2932" i="20"/>
  <c r="O2932" i="20"/>
  <c r="N2933" i="20"/>
  <c r="N2934" i="20"/>
  <c r="O2934" i="20"/>
  <c r="N2935" i="20"/>
  <c r="O2935" i="20"/>
  <c r="N2936" i="20"/>
  <c r="O2936" i="20"/>
  <c r="N2937" i="20"/>
  <c r="N2938" i="20"/>
  <c r="N2939" i="20"/>
  <c r="O2939" i="20"/>
  <c r="N2940" i="20"/>
  <c r="O2940" i="20"/>
  <c r="N2941" i="20"/>
  <c r="O2941" i="20"/>
  <c r="N2942" i="20"/>
  <c r="O2942" i="20"/>
  <c r="N2943" i="20"/>
  <c r="O2943" i="20"/>
  <c r="N2944" i="20"/>
  <c r="O2944" i="20"/>
  <c r="N2945" i="20"/>
  <c r="O2945" i="20"/>
  <c r="N2946" i="20"/>
  <c r="O2946" i="20"/>
  <c r="N2947" i="20"/>
  <c r="O2947" i="20"/>
  <c r="N2948" i="20"/>
  <c r="O2948" i="20"/>
  <c r="N2949" i="20"/>
  <c r="O2949" i="20"/>
  <c r="N2950" i="20"/>
  <c r="N2951" i="20"/>
  <c r="O2951" i="20"/>
  <c r="N2952" i="20"/>
  <c r="N2953" i="20"/>
  <c r="N2954" i="20"/>
  <c r="O2954" i="20"/>
  <c r="N2956" i="20"/>
  <c r="N2958" i="20"/>
  <c r="O2958" i="20"/>
  <c r="N2959" i="20"/>
  <c r="O2959" i="20"/>
  <c r="N2960" i="20"/>
  <c r="O2960" i="20"/>
  <c r="N2961" i="20"/>
  <c r="N2962" i="20"/>
  <c r="O2962" i="20"/>
  <c r="N2963" i="20"/>
  <c r="O2963" i="20"/>
  <c r="N2964" i="20"/>
  <c r="O2964" i="20"/>
  <c r="N2965" i="20"/>
  <c r="O2965" i="20"/>
  <c r="N2966" i="20"/>
  <c r="O2966" i="20"/>
  <c r="N2967" i="20"/>
  <c r="O2967" i="20"/>
  <c r="N2968" i="20"/>
  <c r="O2968" i="20"/>
  <c r="N2969" i="20"/>
  <c r="O2969" i="20"/>
  <c r="N2970" i="20"/>
  <c r="O2970" i="20"/>
  <c r="N2971" i="20"/>
  <c r="O2971" i="20"/>
  <c r="N2972" i="20"/>
  <c r="O2972" i="20"/>
  <c r="N2973" i="20"/>
  <c r="O2973" i="20"/>
  <c r="N2974" i="20"/>
  <c r="O2974" i="20"/>
  <c r="N2975" i="20"/>
  <c r="O2975" i="20"/>
  <c r="N2976" i="20"/>
  <c r="N2977" i="20"/>
  <c r="O2977" i="20"/>
  <c r="N2978" i="20"/>
  <c r="O2978" i="20"/>
  <c r="N2979" i="20"/>
  <c r="O2979" i="20"/>
  <c r="N2980" i="20"/>
  <c r="O2980" i="20"/>
  <c r="N2981" i="20"/>
  <c r="O2981" i="20"/>
  <c r="N2982" i="20"/>
  <c r="O2982" i="20"/>
  <c r="N2983" i="20"/>
  <c r="O2983" i="20"/>
  <c r="N2984" i="20"/>
  <c r="O2984" i="20"/>
  <c r="N2985" i="20"/>
  <c r="O2985" i="20"/>
  <c r="N2986" i="20"/>
  <c r="O2986" i="20"/>
  <c r="N2987" i="20"/>
  <c r="O2987" i="20"/>
  <c r="N2988" i="20"/>
  <c r="O2988" i="20"/>
  <c r="N2989" i="20"/>
  <c r="O2989" i="20"/>
  <c r="N2990" i="20"/>
  <c r="O2990" i="20"/>
  <c r="N2991" i="20"/>
  <c r="O2991" i="20"/>
  <c r="N2992" i="20"/>
  <c r="O2992" i="20"/>
  <c r="N2993" i="20"/>
  <c r="O2993" i="20"/>
  <c r="N2994" i="20"/>
  <c r="O2994" i="20"/>
  <c r="N2995" i="20"/>
  <c r="O2995" i="20"/>
  <c r="N2996" i="20"/>
  <c r="O2996" i="20"/>
  <c r="N2997" i="20"/>
  <c r="O2997" i="20"/>
  <c r="N2998" i="20"/>
  <c r="N2999" i="20"/>
  <c r="O2999" i="20"/>
  <c r="N3000" i="20"/>
  <c r="O3000" i="20"/>
  <c r="N3001" i="20"/>
  <c r="O3001" i="20"/>
  <c r="N3002" i="20"/>
  <c r="O3002" i="20"/>
  <c r="N3003" i="20"/>
  <c r="O3003" i="20"/>
  <c r="N3004" i="20"/>
  <c r="O3004" i="20"/>
  <c r="N3005" i="20"/>
  <c r="O3005" i="20"/>
  <c r="N3006" i="20"/>
  <c r="O3006" i="20"/>
  <c r="N3007" i="20"/>
  <c r="O3007" i="20"/>
  <c r="N3008" i="20"/>
  <c r="O3008" i="20"/>
  <c r="N3009" i="20"/>
  <c r="O3009" i="20"/>
  <c r="N3010" i="20"/>
  <c r="O3010" i="20"/>
  <c r="N3011" i="20"/>
  <c r="O3011" i="20"/>
  <c r="N3012" i="20"/>
  <c r="O3012" i="20"/>
  <c r="N3013" i="20"/>
  <c r="N3014" i="20"/>
  <c r="N3015" i="20"/>
  <c r="N3016" i="20"/>
  <c r="O3016" i="20"/>
  <c r="N3017" i="20"/>
  <c r="N3018" i="20"/>
  <c r="O3018" i="20"/>
  <c r="N3019" i="20"/>
  <c r="O3019" i="20"/>
  <c r="N3020" i="20"/>
  <c r="N3021" i="20"/>
  <c r="O3021" i="20"/>
  <c r="N3022" i="20"/>
  <c r="O3022" i="20"/>
  <c r="N3023" i="20"/>
  <c r="N3024" i="20"/>
  <c r="O3024" i="20"/>
  <c r="N3025" i="20"/>
  <c r="O3025" i="20"/>
  <c r="N3026" i="20"/>
  <c r="N3027" i="20"/>
  <c r="O3027" i="20"/>
  <c r="N3028" i="20"/>
  <c r="O3028" i="20"/>
  <c r="N3029" i="20"/>
  <c r="O3029" i="20"/>
  <c r="N3030" i="20"/>
  <c r="N3031" i="20"/>
  <c r="O3031" i="20"/>
  <c r="N3032" i="20"/>
  <c r="O3032" i="20"/>
  <c r="N3033" i="20"/>
  <c r="O3033" i="20"/>
  <c r="N3034" i="20"/>
  <c r="O3034" i="20"/>
  <c r="N3035" i="20"/>
  <c r="O3035" i="20"/>
  <c r="N3036" i="20"/>
  <c r="O3036" i="20"/>
  <c r="N3037" i="20"/>
  <c r="N3038" i="20"/>
  <c r="O3038" i="20"/>
  <c r="N3039" i="20"/>
  <c r="O3039" i="20"/>
  <c r="N3040" i="20"/>
  <c r="N3046" i="20"/>
  <c r="O3046" i="20"/>
  <c r="N3047" i="20"/>
  <c r="O3047" i="20"/>
  <c r="N3048" i="20"/>
  <c r="O3048" i="20"/>
  <c r="N3049" i="20"/>
  <c r="O3049" i="20"/>
  <c r="N3050" i="20"/>
  <c r="O3050" i="20"/>
  <c r="N3051" i="20"/>
  <c r="N3052" i="20"/>
  <c r="N3053" i="20"/>
  <c r="O3053" i="20"/>
  <c r="N3054" i="20"/>
  <c r="O3054" i="20"/>
  <c r="N3055" i="20"/>
  <c r="O3055" i="20"/>
  <c r="N3056" i="20"/>
  <c r="N3057" i="20"/>
  <c r="O3057" i="20"/>
  <c r="N3058" i="20"/>
  <c r="O3058" i="20"/>
  <c r="N3059" i="20"/>
  <c r="O3059" i="20"/>
  <c r="N3060" i="20"/>
  <c r="O3060" i="20"/>
  <c r="N3061" i="20"/>
  <c r="O3061" i="20"/>
  <c r="N3062" i="20"/>
  <c r="O3062" i="20"/>
  <c r="N3063" i="20"/>
  <c r="O3063" i="20"/>
  <c r="N3064" i="20"/>
  <c r="N3065" i="20"/>
  <c r="O3065" i="20"/>
  <c r="N3066" i="20"/>
  <c r="O3066" i="20"/>
  <c r="N3067" i="20"/>
  <c r="O3067" i="20"/>
  <c r="N3068" i="20"/>
  <c r="O3068" i="20"/>
  <c r="N3069" i="20"/>
  <c r="O3069" i="20"/>
  <c r="N3070" i="20"/>
  <c r="N3071" i="20"/>
  <c r="N3072" i="20"/>
  <c r="O3072" i="20"/>
  <c r="N3074" i="20"/>
  <c r="O3074" i="20"/>
  <c r="N3075" i="20"/>
  <c r="O3075" i="20"/>
  <c r="N3076" i="20"/>
  <c r="O3076" i="20"/>
  <c r="N3077" i="20"/>
  <c r="O3077" i="20"/>
  <c r="N3078" i="20"/>
  <c r="N3080" i="20"/>
  <c r="O3080" i="20"/>
  <c r="N3081" i="20"/>
  <c r="O3081" i="20"/>
  <c r="N3082" i="20"/>
  <c r="N3083" i="20"/>
  <c r="N3085" i="20"/>
  <c r="O3085" i="20"/>
  <c r="N3086" i="20"/>
  <c r="O3086" i="20"/>
  <c r="N3087" i="20"/>
  <c r="O3087" i="20"/>
  <c r="N3088" i="20"/>
  <c r="O3088" i="20"/>
  <c r="N3089" i="20"/>
  <c r="O3089" i="20"/>
  <c r="N3090" i="20"/>
  <c r="O3090" i="20"/>
  <c r="N3091" i="20"/>
  <c r="N3092" i="20"/>
  <c r="O3092" i="20"/>
  <c r="N3093" i="20"/>
  <c r="O3093" i="20"/>
  <c r="N3094" i="20"/>
  <c r="O3094" i="20"/>
  <c r="N3095" i="20"/>
  <c r="O3095" i="20"/>
  <c r="N3096" i="20"/>
  <c r="O3096" i="20"/>
  <c r="N3097" i="20"/>
  <c r="O3097" i="20"/>
  <c r="N3098" i="20"/>
  <c r="O3098" i="20"/>
  <c r="N3099" i="20"/>
  <c r="O3099" i="20"/>
  <c r="N3100" i="20"/>
  <c r="O3100" i="20"/>
  <c r="N3101" i="20"/>
  <c r="O3101" i="20"/>
  <c r="N3102" i="20"/>
  <c r="O3102" i="20"/>
  <c r="N3103" i="20"/>
  <c r="O3103" i="20"/>
  <c r="N3104" i="20"/>
  <c r="O3104" i="20"/>
  <c r="N3105" i="20"/>
  <c r="O3105" i="20"/>
  <c r="N3106" i="20"/>
  <c r="O3106" i="20"/>
  <c r="N3107" i="20"/>
  <c r="O3107" i="20"/>
  <c r="N3108" i="20"/>
  <c r="O3108" i="20"/>
  <c r="N3109" i="20"/>
  <c r="O3109" i="20"/>
  <c r="N3110" i="20"/>
  <c r="O3110" i="20"/>
  <c r="N3111" i="20"/>
  <c r="O3111" i="20"/>
  <c r="N3112" i="20"/>
  <c r="O3112" i="20"/>
  <c r="N3113" i="20"/>
  <c r="O3113" i="20"/>
  <c r="N3114" i="20"/>
  <c r="O3114" i="20"/>
  <c r="N3115" i="20"/>
  <c r="O3115" i="20"/>
  <c r="N3116" i="20"/>
  <c r="O3116" i="20"/>
  <c r="N3117" i="20"/>
  <c r="O3117" i="20"/>
  <c r="N3118" i="20"/>
  <c r="N3119" i="20"/>
  <c r="O3119" i="20"/>
  <c r="N3120" i="20"/>
  <c r="O3120" i="20"/>
  <c r="N3121" i="20"/>
  <c r="O3121" i="20"/>
  <c r="N3122" i="20"/>
  <c r="O3122" i="20"/>
  <c r="N3123" i="20"/>
  <c r="N3124" i="20"/>
  <c r="O3124" i="20"/>
  <c r="N3125" i="20"/>
  <c r="O3125" i="20"/>
  <c r="N3126" i="20"/>
  <c r="O3126" i="20"/>
  <c r="N3127" i="20"/>
  <c r="O3127" i="20"/>
  <c r="N3128" i="20"/>
  <c r="O3128" i="20"/>
  <c r="N3129" i="20"/>
  <c r="O3129" i="20"/>
  <c r="N3130" i="20"/>
  <c r="O3130" i="20"/>
  <c r="N3131" i="20"/>
  <c r="O3131" i="20"/>
  <c r="N3132" i="20"/>
  <c r="O3132" i="20"/>
  <c r="N3133" i="20"/>
  <c r="O3133" i="20"/>
  <c r="N3134" i="20"/>
  <c r="N3135" i="20"/>
  <c r="O3135" i="20"/>
  <c r="N3136" i="20"/>
  <c r="N3137" i="20"/>
  <c r="O3137" i="20"/>
  <c r="N3138" i="20"/>
  <c r="N3139" i="20"/>
  <c r="O3139" i="20"/>
  <c r="N3140" i="20"/>
  <c r="O3140" i="20"/>
  <c r="N3141" i="20"/>
  <c r="N3143" i="20"/>
  <c r="O3143" i="20"/>
  <c r="N3144" i="20"/>
  <c r="O3144" i="20"/>
  <c r="N3145" i="20"/>
  <c r="O3145" i="20"/>
  <c r="N3146" i="20"/>
  <c r="N3147" i="20"/>
  <c r="N3149" i="20"/>
  <c r="O3149" i="20"/>
  <c r="N3150" i="20"/>
  <c r="O3150" i="20"/>
  <c r="N3151" i="20"/>
  <c r="O3151" i="20"/>
  <c r="N3152" i="20"/>
  <c r="O3152" i="20"/>
  <c r="N3153" i="20"/>
  <c r="N3154" i="20"/>
  <c r="O3154" i="20"/>
  <c r="N3155" i="20"/>
  <c r="O3155" i="20"/>
  <c r="N3156" i="20"/>
  <c r="N3157" i="20"/>
  <c r="O3157" i="20"/>
  <c r="N3158" i="20"/>
  <c r="O3158" i="20"/>
  <c r="N3159" i="20"/>
  <c r="O3159" i="20"/>
  <c r="N3160" i="20"/>
  <c r="N3161" i="20"/>
  <c r="O3161" i="20"/>
  <c r="N3162" i="20"/>
  <c r="O3162" i="20"/>
  <c r="N3163" i="20"/>
  <c r="O3163" i="20"/>
  <c r="N3164" i="20"/>
  <c r="O3164" i="20"/>
  <c r="N3165" i="20"/>
  <c r="O3165" i="20"/>
  <c r="N3166" i="20"/>
  <c r="O3166" i="20"/>
  <c r="N3167" i="20"/>
  <c r="O3167" i="20"/>
  <c r="N3168" i="20"/>
  <c r="O3168" i="20"/>
  <c r="N3169" i="20"/>
  <c r="O3169" i="20"/>
  <c r="N3170" i="20"/>
  <c r="O3170" i="20"/>
  <c r="N3171" i="20"/>
  <c r="O3171" i="20"/>
  <c r="N3172" i="20"/>
  <c r="O3172" i="20"/>
  <c r="N3173" i="20"/>
  <c r="O3173" i="20"/>
  <c r="N3174" i="20"/>
  <c r="O3174" i="20"/>
  <c r="N3175" i="20"/>
  <c r="O3175" i="20"/>
  <c r="N3176" i="20"/>
  <c r="N3177" i="20"/>
  <c r="O3177" i="20"/>
  <c r="N3178" i="20"/>
  <c r="O3178" i="20"/>
  <c r="N3179" i="20"/>
  <c r="O3179" i="20"/>
  <c r="N3180" i="20"/>
  <c r="N3182" i="20"/>
  <c r="O3182" i="20"/>
  <c r="N3183" i="20"/>
  <c r="N3186" i="20"/>
  <c r="O3186" i="20"/>
  <c r="N3187" i="20"/>
  <c r="O3187" i="20"/>
  <c r="N3188" i="20"/>
  <c r="O3188" i="20"/>
  <c r="N3189" i="20"/>
  <c r="O3189" i="20"/>
  <c r="N3190" i="20"/>
  <c r="O3190" i="20"/>
  <c r="N3191" i="20"/>
  <c r="O3191" i="20"/>
  <c r="N3192" i="20"/>
  <c r="O3192" i="20"/>
  <c r="N3193" i="20"/>
  <c r="O3193" i="20"/>
  <c r="N3194" i="20"/>
  <c r="O3194" i="20"/>
  <c r="N3195" i="20"/>
  <c r="O3195" i="20"/>
  <c r="N3196" i="20"/>
  <c r="O3196" i="20"/>
  <c r="N3197" i="20"/>
  <c r="O3197" i="20"/>
  <c r="N3198" i="20"/>
  <c r="O3198" i="20"/>
  <c r="N3199" i="20"/>
  <c r="O3199" i="20"/>
  <c r="N3200" i="20"/>
  <c r="O3200" i="20"/>
  <c r="N3201" i="20"/>
  <c r="O3201" i="20"/>
  <c r="N3202" i="20"/>
  <c r="O3202" i="20"/>
  <c r="N3203" i="20"/>
  <c r="O3203" i="20"/>
  <c r="N3204" i="20"/>
  <c r="O3204" i="20"/>
  <c r="N3205" i="20"/>
  <c r="O3205" i="20"/>
  <c r="N3206" i="20"/>
  <c r="O3206" i="20"/>
  <c r="N3207" i="20"/>
  <c r="O3207" i="20"/>
  <c r="N3208" i="20"/>
  <c r="O3208" i="20"/>
  <c r="N3209" i="20"/>
  <c r="O3209" i="20"/>
  <c r="N3210" i="20"/>
  <c r="N3211" i="20"/>
  <c r="N3212" i="20"/>
  <c r="N3213" i="20"/>
  <c r="O3213" i="20"/>
  <c r="N3214" i="20"/>
  <c r="N3215" i="20"/>
  <c r="O3215" i="20"/>
  <c r="N3216" i="20"/>
  <c r="O3216" i="20"/>
  <c r="N3217" i="20"/>
  <c r="O3217" i="20"/>
  <c r="N3218" i="20"/>
  <c r="O3218" i="20"/>
  <c r="N3219" i="20"/>
  <c r="O3219" i="20"/>
  <c r="N3220" i="20"/>
  <c r="N3221" i="20"/>
  <c r="O3221" i="20"/>
  <c r="N3222" i="20"/>
  <c r="O3222" i="20"/>
  <c r="N3223" i="20"/>
  <c r="O3223" i="20"/>
  <c r="N3224" i="20"/>
  <c r="O3224" i="20"/>
  <c r="N3225" i="20"/>
  <c r="O3225" i="20"/>
  <c r="N3226" i="20"/>
  <c r="O3226" i="20"/>
  <c r="N3227" i="20"/>
  <c r="O3227" i="20"/>
  <c r="N3228" i="20"/>
  <c r="O3228" i="20"/>
  <c r="N3229" i="20"/>
  <c r="O3229" i="20"/>
  <c r="N3230" i="20"/>
  <c r="O3230" i="20"/>
  <c r="N3231" i="20"/>
  <c r="O3231" i="20"/>
  <c r="N3232" i="20"/>
  <c r="N3233" i="20"/>
  <c r="O3233" i="20"/>
  <c r="N3234" i="20"/>
  <c r="O3234" i="20"/>
  <c r="N3235" i="20"/>
  <c r="O3235" i="20"/>
  <c r="N3236" i="20"/>
  <c r="N3237" i="20"/>
  <c r="O3237" i="20"/>
  <c r="N3238" i="20"/>
  <c r="O3238" i="20"/>
  <c r="N3239" i="20"/>
  <c r="O3239" i="20"/>
  <c r="N3240" i="20"/>
  <c r="O3240" i="20"/>
  <c r="N3241" i="20"/>
  <c r="O3241" i="20"/>
  <c r="N3242" i="20"/>
  <c r="O3242" i="20"/>
  <c r="N3243" i="20"/>
  <c r="O3243" i="20"/>
  <c r="N3244" i="20"/>
  <c r="O3244" i="20"/>
  <c r="N3245" i="20"/>
  <c r="O3245" i="20"/>
  <c r="N3246" i="20"/>
  <c r="N3247" i="20"/>
  <c r="O3247" i="20"/>
  <c r="N3248" i="20"/>
  <c r="N3252" i="20"/>
  <c r="O3252" i="20"/>
  <c r="N3253" i="20"/>
  <c r="O3253" i="20"/>
  <c r="N3254" i="20"/>
  <c r="O3254" i="20"/>
  <c r="N3255" i="20"/>
  <c r="N3256" i="20"/>
  <c r="O3256" i="20"/>
  <c r="N3257" i="20"/>
  <c r="O3257" i="20"/>
  <c r="N3258" i="20"/>
  <c r="N3259" i="20"/>
  <c r="O3259" i="20"/>
  <c r="N3260" i="20"/>
  <c r="O3260" i="20"/>
  <c r="N3261" i="20"/>
  <c r="O3261" i="20"/>
  <c r="N3262" i="20"/>
  <c r="N3263" i="20"/>
  <c r="O3263" i="20"/>
  <c r="N3264" i="20"/>
  <c r="O3264" i="20"/>
  <c r="N3265" i="20"/>
  <c r="O3265" i="20"/>
  <c r="N3266" i="20"/>
  <c r="O3266" i="20"/>
  <c r="N3267" i="20"/>
  <c r="O3267" i="20"/>
  <c r="N3268" i="20"/>
  <c r="O3268" i="20"/>
  <c r="N3269" i="20"/>
  <c r="O3269" i="20"/>
  <c r="N3270" i="20"/>
  <c r="O3270" i="20"/>
  <c r="N3271" i="20"/>
  <c r="O3271" i="20"/>
  <c r="N3272" i="20"/>
  <c r="N3273" i="20"/>
  <c r="N3275" i="20"/>
  <c r="O3275" i="20"/>
  <c r="N3276" i="20"/>
  <c r="O3276" i="20"/>
  <c r="N3277" i="20"/>
  <c r="O3277" i="20"/>
  <c r="N3278" i="20"/>
  <c r="O3278" i="20"/>
  <c r="N3279" i="20"/>
  <c r="O3279" i="20"/>
  <c r="N3280" i="20"/>
  <c r="O3280" i="20"/>
  <c r="N3281" i="20"/>
  <c r="N3282" i="20"/>
  <c r="O3282" i="20"/>
  <c r="N3283" i="20"/>
  <c r="O3283" i="20"/>
  <c r="N3286" i="20"/>
  <c r="O3286" i="20"/>
  <c r="N3287" i="20"/>
  <c r="N3288" i="20"/>
  <c r="O3288" i="20"/>
  <c r="N3289" i="20"/>
  <c r="O3289" i="20"/>
  <c r="N3290" i="20"/>
  <c r="O3290" i="20"/>
  <c r="N3291" i="20"/>
  <c r="O3291" i="20"/>
  <c r="N3292" i="20"/>
  <c r="O3292" i="20"/>
  <c r="N3293" i="20"/>
  <c r="O3293" i="20"/>
  <c r="N3294" i="20"/>
  <c r="O3294" i="20"/>
  <c r="N3295" i="20"/>
  <c r="O3295" i="20"/>
  <c r="N3296" i="20"/>
  <c r="O3296" i="20"/>
  <c r="N3297" i="20"/>
  <c r="O3297" i="20"/>
  <c r="N3298" i="20"/>
  <c r="O3298" i="20"/>
  <c r="N3299" i="20"/>
  <c r="O3299" i="20"/>
  <c r="N3300" i="20"/>
  <c r="O3300" i="20"/>
  <c r="N3301" i="20"/>
  <c r="N3302" i="20"/>
  <c r="O3302" i="20"/>
  <c r="N3303" i="20"/>
  <c r="O3303" i="20"/>
  <c r="N3304" i="20"/>
  <c r="O3304" i="20"/>
  <c r="N3305" i="20"/>
  <c r="O3305" i="20"/>
  <c r="N3306" i="20"/>
  <c r="O3306" i="20"/>
  <c r="N3307" i="20"/>
  <c r="O3307" i="20"/>
  <c r="N3308" i="20"/>
  <c r="O3308" i="20"/>
  <c r="N3309" i="20"/>
  <c r="O3309" i="20"/>
  <c r="N3310" i="20"/>
  <c r="O3310" i="20"/>
  <c r="N3311" i="20"/>
  <c r="O3311" i="20"/>
  <c r="N3312" i="20"/>
  <c r="O3312" i="20"/>
  <c r="N3313" i="20"/>
  <c r="O3313" i="20"/>
  <c r="N3314" i="20"/>
  <c r="O3314" i="20"/>
  <c r="N3315" i="20"/>
  <c r="O3315" i="20"/>
  <c r="N3316" i="20"/>
  <c r="O3316" i="20"/>
  <c r="N3317" i="20"/>
  <c r="N3318" i="20"/>
  <c r="O3318" i="20"/>
  <c r="N3319" i="20"/>
  <c r="O3319" i="20"/>
  <c r="N3320" i="20"/>
  <c r="O3320" i="20"/>
  <c r="N3321" i="20"/>
  <c r="O3321" i="20"/>
  <c r="N3322" i="20"/>
  <c r="O3322" i="20"/>
  <c r="N3323" i="20"/>
  <c r="N3324" i="20"/>
  <c r="O3324" i="20"/>
  <c r="N3325" i="20"/>
  <c r="O3325" i="20"/>
  <c r="N3326" i="20"/>
  <c r="O3326" i="20"/>
  <c r="N3327" i="20"/>
  <c r="N3328" i="20"/>
  <c r="O3328" i="20"/>
  <c r="N3329" i="20"/>
  <c r="O3329" i="20"/>
  <c r="N3330" i="20"/>
  <c r="O3330" i="20"/>
  <c r="N3331" i="20"/>
  <c r="N3332" i="20"/>
  <c r="O3332" i="20"/>
  <c r="N3333" i="20"/>
  <c r="O3333" i="20"/>
  <c r="N3334" i="20"/>
  <c r="N3335" i="20"/>
  <c r="O3335" i="20"/>
  <c r="N3336" i="20"/>
  <c r="N3337" i="20"/>
  <c r="O3337" i="20"/>
  <c r="N3338" i="20"/>
  <c r="N3339" i="20"/>
  <c r="O3339" i="20"/>
  <c r="N3340" i="20"/>
  <c r="N3341" i="20"/>
  <c r="O3341" i="20"/>
  <c r="N3342" i="20"/>
  <c r="O3342" i="20"/>
  <c r="N3343" i="20"/>
  <c r="O3343" i="20"/>
  <c r="N3344" i="20"/>
  <c r="N3345" i="20"/>
  <c r="N3346" i="20"/>
  <c r="O3346" i="20"/>
  <c r="N3347" i="20"/>
  <c r="N3348" i="20"/>
  <c r="N3349" i="20"/>
  <c r="O3349" i="20"/>
  <c r="N3350" i="20"/>
  <c r="O3350" i="20"/>
  <c r="N3351" i="20"/>
  <c r="O3351" i="20"/>
  <c r="N3352" i="20"/>
  <c r="O3352" i="20"/>
  <c r="N3353" i="20"/>
  <c r="O3353" i="20"/>
  <c r="N3354" i="20"/>
  <c r="O3354" i="20"/>
  <c r="N3355" i="20"/>
  <c r="O3355" i="20"/>
  <c r="N3356" i="20"/>
  <c r="O3356" i="20"/>
  <c r="N3357" i="20"/>
  <c r="O3357" i="20"/>
  <c r="N3358" i="20"/>
  <c r="O3358" i="20"/>
  <c r="N3359" i="20"/>
  <c r="O3359" i="20"/>
  <c r="N3360" i="20"/>
  <c r="O3360" i="20"/>
  <c r="N3361" i="20"/>
  <c r="O3361" i="20"/>
  <c r="N3362" i="20"/>
  <c r="O3362" i="20"/>
  <c r="N3363" i="20"/>
  <c r="O3363" i="20"/>
  <c r="N3364" i="20"/>
  <c r="O3364" i="20"/>
  <c r="N3365" i="20"/>
  <c r="O3365" i="20"/>
  <c r="N3366" i="20"/>
  <c r="O3366" i="20"/>
  <c r="N3367" i="20"/>
  <c r="O3367" i="20"/>
  <c r="N3368" i="20"/>
  <c r="N3369" i="20"/>
  <c r="O3369" i="20"/>
  <c r="N3370" i="20"/>
  <c r="O3370" i="20"/>
  <c r="N3371" i="20"/>
  <c r="O3371" i="20"/>
  <c r="N3372" i="20"/>
  <c r="O3372" i="20"/>
  <c r="N3373" i="20"/>
  <c r="O3373" i="20"/>
  <c r="N3374" i="20"/>
  <c r="O3374" i="20"/>
  <c r="N3375" i="20"/>
  <c r="O3375" i="20"/>
  <c r="N3376" i="20"/>
  <c r="N3377" i="20"/>
  <c r="O3377" i="20"/>
  <c r="N3378" i="20"/>
  <c r="N3380" i="20"/>
  <c r="O3380" i="20"/>
  <c r="N3381" i="20"/>
  <c r="N3382" i="20"/>
  <c r="O3382" i="20"/>
  <c r="N3383" i="20"/>
  <c r="O3383" i="20"/>
  <c r="N3384" i="20"/>
  <c r="O3384" i="20"/>
  <c r="N3385" i="20"/>
  <c r="N3386" i="20"/>
  <c r="O3386" i="20"/>
  <c r="N3387" i="20"/>
  <c r="O3387" i="20"/>
  <c r="N3388" i="20"/>
  <c r="O3388" i="20"/>
  <c r="N3389" i="20"/>
  <c r="O3389" i="20"/>
  <c r="N3390" i="20"/>
  <c r="O3390" i="20"/>
  <c r="N3391" i="20"/>
  <c r="O3391" i="20"/>
  <c r="N3392" i="20"/>
  <c r="O3392" i="20"/>
  <c r="N3393" i="20"/>
  <c r="O3393" i="20"/>
  <c r="N3394" i="20"/>
  <c r="O3394" i="20"/>
  <c r="N3395" i="20"/>
  <c r="O3395" i="20"/>
  <c r="N3396" i="20"/>
  <c r="O3396" i="20"/>
  <c r="N3397" i="20"/>
  <c r="O3397" i="20"/>
  <c r="N3398" i="20"/>
  <c r="O3398" i="20"/>
  <c r="N3399" i="20"/>
  <c r="O3399" i="20"/>
  <c r="N3400" i="20"/>
  <c r="N3401" i="20"/>
  <c r="N3402" i="20"/>
  <c r="O3402" i="20"/>
  <c r="N3403" i="20"/>
  <c r="N3404" i="20"/>
  <c r="O3404" i="20"/>
  <c r="N3405" i="20"/>
  <c r="N3406" i="20"/>
  <c r="O3406" i="20"/>
  <c r="N3407" i="20"/>
  <c r="O3407" i="20"/>
  <c r="N3408" i="20"/>
  <c r="O3408" i="20"/>
  <c r="N3409" i="20"/>
  <c r="O3409" i="20"/>
  <c r="N3410" i="20"/>
  <c r="O3410" i="20"/>
  <c r="N3411" i="20"/>
  <c r="O3411" i="20"/>
  <c r="N3412" i="20"/>
  <c r="O3412" i="20"/>
  <c r="N3413" i="20"/>
  <c r="O3413" i="20"/>
  <c r="N3414" i="20"/>
  <c r="O3414" i="20"/>
  <c r="N3415" i="20"/>
  <c r="O3415" i="20"/>
  <c r="N3416" i="20"/>
  <c r="O3416" i="20"/>
  <c r="N3417" i="20"/>
  <c r="N3418" i="20"/>
  <c r="O3418" i="20"/>
  <c r="N3419" i="20"/>
  <c r="O3419" i="20"/>
  <c r="N3420" i="20"/>
  <c r="O3420" i="20"/>
  <c r="N3421" i="20"/>
  <c r="O3421" i="20"/>
  <c r="N3422" i="20"/>
  <c r="O3422" i="20"/>
  <c r="N3423" i="20"/>
  <c r="N3424" i="20"/>
  <c r="O3424" i="20"/>
  <c r="N3425" i="20"/>
  <c r="O3425" i="20"/>
  <c r="N3426" i="20"/>
  <c r="O3426" i="20"/>
  <c r="N3427" i="20"/>
  <c r="O3427" i="20"/>
  <c r="N3428" i="20"/>
  <c r="O3428" i="20"/>
  <c r="N3429" i="20"/>
  <c r="O3429" i="20"/>
  <c r="N3430" i="20"/>
  <c r="O3430" i="20"/>
  <c r="N3431" i="20"/>
  <c r="N3432" i="20"/>
  <c r="N3433" i="20"/>
  <c r="O3433" i="20"/>
  <c r="N3434" i="20"/>
  <c r="O3434" i="20"/>
  <c r="N3435" i="20"/>
  <c r="O3435" i="20"/>
  <c r="N3436" i="20"/>
  <c r="O3436" i="20"/>
  <c r="N3437" i="20"/>
  <c r="O3437" i="20"/>
  <c r="N3438" i="20"/>
  <c r="O3438" i="20"/>
  <c r="N3439" i="20"/>
  <c r="O3439" i="20"/>
  <c r="N3440" i="20"/>
  <c r="N3441" i="20"/>
  <c r="O3441" i="20"/>
  <c r="N3442" i="20"/>
  <c r="O3442" i="20"/>
  <c r="N3443" i="20"/>
  <c r="O3443" i="20"/>
  <c r="N3444" i="20"/>
  <c r="N3445" i="20"/>
  <c r="O3445" i="20"/>
  <c r="N3446" i="20"/>
  <c r="N3447" i="20"/>
  <c r="N3448" i="20"/>
  <c r="O3448" i="20"/>
  <c r="N3449" i="20"/>
  <c r="O3449" i="20"/>
  <c r="N3450" i="20"/>
  <c r="N3451" i="20"/>
  <c r="O3451" i="20"/>
  <c r="N3454" i="20"/>
  <c r="N3455" i="20"/>
  <c r="O3455" i="20"/>
  <c r="N3456" i="20"/>
  <c r="N3457" i="20"/>
  <c r="N3458" i="20"/>
  <c r="O3458" i="20"/>
  <c r="N3459" i="20"/>
  <c r="O3459" i="20"/>
  <c r="N3460" i="20"/>
  <c r="O3460" i="20"/>
  <c r="N3461" i="20"/>
  <c r="N3462" i="20"/>
  <c r="O3462" i="20"/>
  <c r="N3463" i="20"/>
  <c r="O3463" i="20"/>
  <c r="N3465" i="20"/>
  <c r="O3465" i="20"/>
  <c r="N3466" i="20"/>
  <c r="O3466" i="20"/>
  <c r="N3467" i="20"/>
  <c r="N3468" i="20"/>
  <c r="O3468" i="20"/>
  <c r="N3469" i="20"/>
  <c r="O3469" i="20"/>
  <c r="N3470" i="20"/>
  <c r="O3470" i="20"/>
  <c r="N3471" i="20"/>
  <c r="N3472" i="20"/>
  <c r="O3472" i="20"/>
  <c r="N3473" i="20"/>
  <c r="N3474" i="20"/>
  <c r="N3477" i="20"/>
  <c r="O3477" i="20"/>
  <c r="N3478" i="20"/>
  <c r="O3478" i="20"/>
  <c r="N3479" i="20"/>
  <c r="O3479" i="20"/>
  <c r="N3480" i="20"/>
  <c r="O3480" i="20"/>
  <c r="N3481" i="20"/>
  <c r="O3481" i="20"/>
  <c r="N3482" i="20"/>
  <c r="N3483" i="20"/>
  <c r="N3484" i="20"/>
  <c r="N3485" i="20"/>
  <c r="N3487" i="20"/>
  <c r="O3487" i="20"/>
  <c r="N3488" i="20"/>
  <c r="O3488" i="20"/>
  <c r="N3489" i="20"/>
  <c r="N3490" i="20"/>
  <c r="N3491" i="20"/>
  <c r="O3491" i="20"/>
  <c r="N3492" i="20"/>
  <c r="O3492" i="20"/>
  <c r="N3493" i="20"/>
  <c r="N3494" i="20"/>
  <c r="O3494" i="20"/>
  <c r="N3495" i="20"/>
  <c r="N3496" i="20"/>
  <c r="N3497" i="20"/>
  <c r="N3498" i="20"/>
  <c r="O3498" i="20"/>
  <c r="N3499" i="20"/>
  <c r="O3499" i="20"/>
  <c r="N3500" i="20"/>
  <c r="N3501" i="20"/>
  <c r="O3501" i="20"/>
  <c r="N3502" i="20"/>
  <c r="O3502" i="20"/>
  <c r="N3503" i="20"/>
  <c r="O3503" i="20"/>
  <c r="N3504" i="20"/>
  <c r="O3504" i="20"/>
  <c r="N3505" i="20"/>
  <c r="O3505" i="20"/>
  <c r="N3506" i="20"/>
  <c r="O3506" i="20"/>
  <c r="N3507" i="20"/>
  <c r="O3507" i="20"/>
  <c r="N3508" i="20"/>
  <c r="O3508" i="20"/>
  <c r="N3509" i="20"/>
  <c r="N3510" i="20"/>
  <c r="O3510" i="20"/>
  <c r="N3511" i="20"/>
  <c r="O3511" i="20"/>
  <c r="N3512" i="20"/>
  <c r="O3512" i="20"/>
  <c r="N3513" i="20"/>
  <c r="O3513" i="20"/>
  <c r="N3514" i="20"/>
  <c r="O3514" i="20"/>
  <c r="N3515" i="20"/>
  <c r="N3516" i="20"/>
  <c r="O3516" i="20"/>
  <c r="N3517" i="20"/>
  <c r="N3518" i="20"/>
  <c r="N3519" i="20"/>
  <c r="N3520" i="20"/>
  <c r="O3520" i="20"/>
  <c r="N3521" i="20"/>
  <c r="N3522" i="20"/>
  <c r="N3523" i="20"/>
  <c r="O3523" i="20"/>
  <c r="N3524" i="20"/>
  <c r="N3525" i="20"/>
  <c r="N3526" i="20"/>
  <c r="O3526" i="20"/>
  <c r="N3527" i="20"/>
  <c r="O3527" i="20"/>
  <c r="N3528" i="20"/>
  <c r="O3528" i="20"/>
  <c r="N3529" i="20"/>
  <c r="O3529" i="20"/>
  <c r="N3530" i="20"/>
  <c r="O3530" i="20"/>
  <c r="N3531" i="20"/>
  <c r="O3531" i="20"/>
  <c r="N3532" i="20"/>
  <c r="O3532" i="20"/>
  <c r="N3533" i="20"/>
  <c r="O3533" i="20"/>
  <c r="N3534" i="20"/>
  <c r="O3534" i="20"/>
  <c r="N3535" i="20"/>
  <c r="N3536" i="20"/>
  <c r="O3536" i="20"/>
  <c r="N3537" i="20"/>
  <c r="O3537" i="20"/>
  <c r="N3538" i="20"/>
  <c r="O3538" i="20"/>
  <c r="N3539" i="20"/>
  <c r="N3540" i="20"/>
  <c r="O3540" i="20"/>
  <c r="N3541" i="20"/>
  <c r="N3543" i="20"/>
  <c r="N3544" i="20"/>
  <c r="N3545" i="20"/>
  <c r="O3545" i="20"/>
  <c r="N3546" i="20"/>
  <c r="O3546" i="20"/>
  <c r="N3548" i="20"/>
  <c r="O3548" i="20"/>
  <c r="N3549" i="20"/>
  <c r="O3549" i="20"/>
  <c r="N3550" i="20"/>
  <c r="N3551" i="20"/>
  <c r="O3551" i="20"/>
  <c r="N3552" i="20"/>
  <c r="O3552" i="20"/>
  <c r="N3553" i="20"/>
  <c r="N3554" i="20"/>
  <c r="O3554" i="20"/>
  <c r="N3556" i="20"/>
  <c r="O3556" i="20"/>
  <c r="N3557" i="20"/>
  <c r="O3557" i="20"/>
  <c r="N3558" i="20"/>
  <c r="O3558" i="20"/>
  <c r="N3559" i="20"/>
  <c r="O3559" i="20"/>
  <c r="N3560" i="20"/>
  <c r="N3561" i="20"/>
  <c r="O3561" i="20"/>
  <c r="N3562" i="20"/>
  <c r="O3562" i="20"/>
  <c r="N3563" i="20"/>
  <c r="O3563" i="20"/>
  <c r="N3564" i="20"/>
  <c r="N3565" i="20"/>
  <c r="N3566" i="20"/>
  <c r="N3567" i="20"/>
  <c r="O3567" i="20"/>
  <c r="N3568" i="20"/>
  <c r="N3569" i="20"/>
  <c r="O3569" i="20"/>
  <c r="N3570" i="20"/>
  <c r="O3570" i="20"/>
  <c r="N3571" i="20"/>
  <c r="N3572" i="20"/>
  <c r="N3573" i="20"/>
  <c r="O3573" i="20"/>
  <c r="N3574" i="20"/>
  <c r="N3575" i="20"/>
  <c r="N3576" i="20"/>
  <c r="N3577" i="20"/>
  <c r="O3577" i="20"/>
  <c r="N3578" i="20"/>
  <c r="O3578" i="20"/>
  <c r="N3579" i="20"/>
  <c r="O3579" i="20"/>
  <c r="N3580" i="20"/>
  <c r="O3580" i="20"/>
  <c r="N3581" i="20"/>
  <c r="O3581" i="20"/>
  <c r="N3582" i="20"/>
  <c r="O3582" i="20"/>
  <c r="N3583" i="20"/>
  <c r="N3588" i="20"/>
  <c r="N3589" i="20"/>
  <c r="O3589" i="20"/>
  <c r="N3590" i="20"/>
  <c r="O3590" i="20"/>
  <c r="N3591" i="20"/>
  <c r="O3591" i="20"/>
  <c r="N3592" i="20"/>
  <c r="O3592" i="20"/>
  <c r="N3593" i="20"/>
  <c r="O3593" i="20"/>
  <c r="N3594" i="20"/>
  <c r="O3594" i="20"/>
  <c r="N3595" i="20"/>
  <c r="N3596" i="20"/>
  <c r="N3597" i="20"/>
  <c r="N3598" i="20"/>
  <c r="O3598" i="20"/>
  <c r="N3599" i="20"/>
  <c r="O3599" i="20"/>
  <c r="N3600" i="20"/>
  <c r="O3600" i="20"/>
  <c r="N3601" i="20"/>
  <c r="N3602" i="20"/>
  <c r="O3602" i="20"/>
  <c r="N3603" i="20"/>
  <c r="O3603" i="20"/>
  <c r="N3604" i="20"/>
  <c r="O3604" i="20"/>
  <c r="N3605" i="20"/>
  <c r="N3606" i="20"/>
  <c r="N3607" i="20"/>
  <c r="O3607" i="20"/>
  <c r="N3608" i="20"/>
  <c r="N3609" i="20"/>
  <c r="N3610" i="20"/>
  <c r="O3610" i="20"/>
  <c r="N3611" i="20"/>
  <c r="O3611" i="20"/>
  <c r="N3612" i="20"/>
  <c r="O3612" i="20"/>
  <c r="N3613" i="20"/>
  <c r="O3613" i="20"/>
  <c r="N3614" i="20"/>
  <c r="O3614" i="20"/>
  <c r="N3615" i="20"/>
  <c r="N3617" i="20"/>
  <c r="O3617" i="20"/>
  <c r="N3618" i="20"/>
  <c r="O3618" i="20"/>
  <c r="N3619" i="20"/>
  <c r="O3619" i="20"/>
  <c r="N3620" i="20"/>
  <c r="O3620" i="20"/>
  <c r="N3621" i="20"/>
  <c r="O3621" i="20"/>
  <c r="N3622" i="20"/>
  <c r="O3622" i="20"/>
  <c r="N3623" i="20"/>
  <c r="O3623" i="20"/>
  <c r="N3624" i="20"/>
  <c r="O3624" i="20"/>
  <c r="N3625" i="20"/>
  <c r="O3625" i="20"/>
  <c r="N3626" i="20"/>
  <c r="O3626" i="20"/>
  <c r="N3627" i="20"/>
  <c r="N3628" i="20"/>
  <c r="O3628" i="20"/>
  <c r="N3629" i="20"/>
  <c r="O3629" i="20"/>
  <c r="N3630" i="20"/>
  <c r="O3630" i="20"/>
  <c r="N3631" i="20"/>
  <c r="O3631" i="20"/>
  <c r="N3632" i="20"/>
  <c r="O3632" i="20"/>
  <c r="N3633" i="20"/>
  <c r="O3633" i="20"/>
  <c r="N3634" i="20"/>
  <c r="O3634" i="20"/>
  <c r="N3635" i="20"/>
  <c r="O3635" i="20"/>
  <c r="N3636" i="20"/>
  <c r="O3636" i="20"/>
  <c r="N3637" i="20"/>
  <c r="O3637" i="20"/>
  <c r="N3638" i="20"/>
  <c r="O3638" i="20"/>
  <c r="N3639" i="20"/>
  <c r="O3639" i="20"/>
  <c r="N3640" i="20"/>
  <c r="N3641" i="20"/>
  <c r="O3641" i="20"/>
  <c r="N3642" i="20"/>
  <c r="O3642" i="20"/>
  <c r="N3643" i="20"/>
  <c r="O3643" i="20"/>
  <c r="N3644" i="20"/>
  <c r="O3644" i="20"/>
  <c r="N3645" i="20"/>
  <c r="O3645" i="20"/>
  <c r="N3646" i="20"/>
  <c r="O3646" i="20"/>
  <c r="N3647" i="20"/>
  <c r="N3648" i="20"/>
  <c r="O3648" i="20"/>
  <c r="N3649" i="20"/>
  <c r="O3649" i="20"/>
  <c r="N3650" i="20"/>
  <c r="O3650" i="20"/>
  <c r="N3651" i="20"/>
  <c r="O3651" i="20"/>
  <c r="N3652" i="20"/>
  <c r="N3653" i="20"/>
  <c r="O3653" i="20"/>
  <c r="N3654" i="20"/>
  <c r="O3654" i="20"/>
  <c r="N3655" i="20"/>
  <c r="N3656" i="20"/>
  <c r="O3656" i="20"/>
  <c r="N3657" i="20"/>
  <c r="O3657" i="20"/>
  <c r="N3658" i="20"/>
  <c r="O3658" i="20"/>
  <c r="N3659" i="20"/>
  <c r="O3659" i="20"/>
  <c r="N3660" i="20"/>
  <c r="O3660" i="20"/>
  <c r="N3661" i="20"/>
  <c r="O3661" i="20"/>
  <c r="N3662" i="20"/>
  <c r="O3662" i="20"/>
  <c r="N3663" i="20"/>
  <c r="N3664" i="20"/>
  <c r="N3665" i="20"/>
  <c r="O3665" i="20"/>
  <c r="N3666" i="20"/>
  <c r="O3666" i="20"/>
  <c r="N3667" i="20"/>
  <c r="O3667" i="20"/>
  <c r="N3668" i="20"/>
  <c r="O3668" i="20"/>
  <c r="N3669" i="20"/>
  <c r="O3669" i="20"/>
  <c r="N3670" i="20"/>
  <c r="O3670" i="20"/>
  <c r="N3671" i="20"/>
  <c r="O3671" i="20"/>
  <c r="N3672" i="20"/>
  <c r="O3672" i="20"/>
  <c r="N3673" i="20"/>
  <c r="O3673" i="20"/>
  <c r="N3674" i="20"/>
  <c r="O3674" i="20"/>
  <c r="N3675" i="20"/>
  <c r="O3675" i="20"/>
  <c r="N3676" i="20"/>
  <c r="O3676" i="20"/>
  <c r="N3677" i="20"/>
  <c r="O3677" i="20"/>
  <c r="N3678" i="20"/>
  <c r="O3678" i="20"/>
  <c r="N3679" i="20"/>
  <c r="O3679" i="20"/>
  <c r="N3680" i="20"/>
  <c r="O3680" i="20"/>
  <c r="N3681" i="20"/>
  <c r="O3681" i="20"/>
  <c r="N3682" i="20"/>
  <c r="O3682" i="20"/>
  <c r="N3683" i="20"/>
  <c r="O3683" i="20"/>
  <c r="N3684" i="20"/>
  <c r="O3684" i="20"/>
  <c r="N3685" i="20"/>
  <c r="O3685" i="20"/>
  <c r="N3686" i="20"/>
  <c r="O3686" i="20"/>
  <c r="N3687" i="20"/>
  <c r="O3687" i="20"/>
  <c r="N3688" i="20"/>
  <c r="O3688" i="20"/>
  <c r="N3689" i="20"/>
  <c r="O3689" i="20"/>
  <c r="N3690" i="20"/>
  <c r="O3690" i="20"/>
  <c r="N3691" i="20"/>
  <c r="O3691" i="20"/>
  <c r="N3692" i="20"/>
  <c r="N3693" i="20"/>
  <c r="O3693" i="20"/>
  <c r="N3694" i="20"/>
  <c r="O3694" i="20"/>
  <c r="N3695" i="20"/>
  <c r="O3695" i="20"/>
  <c r="N3696" i="20"/>
  <c r="N3698" i="20"/>
  <c r="O3698" i="20"/>
  <c r="N3699" i="20"/>
  <c r="O3699" i="20"/>
  <c r="N3700" i="20"/>
  <c r="N3701" i="20"/>
  <c r="O3701" i="20"/>
  <c r="N3702" i="20"/>
  <c r="O3702" i="20"/>
  <c r="N3703" i="20"/>
  <c r="O3703" i="20"/>
  <c r="N3704" i="20"/>
  <c r="N3705" i="20"/>
  <c r="N3706" i="20"/>
  <c r="N3707" i="20"/>
  <c r="O3707" i="20"/>
  <c r="N3708" i="20"/>
  <c r="N3709" i="20"/>
  <c r="N3710" i="20"/>
  <c r="N3711" i="20"/>
  <c r="N3712" i="20"/>
  <c r="N3713" i="20"/>
  <c r="O3713" i="20"/>
  <c r="N3714" i="20"/>
  <c r="O3714" i="20"/>
  <c r="N3715" i="20"/>
  <c r="O3715" i="20"/>
  <c r="N3716" i="20"/>
  <c r="N3717" i="20"/>
  <c r="N3718" i="20"/>
  <c r="N3719" i="20"/>
  <c r="N3720" i="20"/>
  <c r="N3721" i="20"/>
  <c r="O3721" i="20"/>
  <c r="N3722" i="20"/>
  <c r="O3722" i="20"/>
  <c r="N3723" i="20"/>
  <c r="N3724" i="20"/>
  <c r="O3724" i="20"/>
  <c r="N3725" i="20"/>
  <c r="O3725" i="20"/>
  <c r="N3726" i="20"/>
  <c r="O3726" i="20"/>
  <c r="N3727" i="20"/>
  <c r="O3727" i="20"/>
  <c r="N3728" i="20"/>
  <c r="O3728" i="20"/>
  <c r="N3729" i="20"/>
  <c r="O3729" i="20"/>
  <c r="N3730" i="20"/>
  <c r="O3730" i="20"/>
  <c r="N3731" i="20"/>
  <c r="N3732" i="20"/>
  <c r="N3733" i="20"/>
  <c r="N3734" i="20"/>
  <c r="N3735" i="20"/>
  <c r="N3736" i="20"/>
  <c r="O3736" i="20"/>
  <c r="N3737" i="20"/>
  <c r="O3737" i="20"/>
  <c r="N3738" i="20"/>
  <c r="O3738" i="20"/>
  <c r="N3739" i="20"/>
  <c r="N3742" i="20"/>
  <c r="O3742" i="20"/>
  <c r="N3743" i="20"/>
  <c r="N3744" i="20"/>
  <c r="N3745" i="20"/>
  <c r="N3746" i="20"/>
  <c r="N3748" i="20"/>
  <c r="O3748" i="20"/>
  <c r="N3749" i="20"/>
  <c r="O3749" i="20"/>
  <c r="N3750" i="20"/>
  <c r="O3750" i="20"/>
  <c r="N3751" i="20"/>
  <c r="N3752" i="20"/>
  <c r="N3753" i="20"/>
  <c r="N3754" i="20"/>
  <c r="N3755" i="20"/>
  <c r="O3755" i="20"/>
  <c r="N3756" i="20"/>
  <c r="O3756" i="20"/>
  <c r="N3757" i="20"/>
  <c r="O3757" i="20"/>
  <c r="N3758" i="20"/>
  <c r="N3759" i="20"/>
  <c r="O3759" i="20"/>
  <c r="N3760" i="20"/>
  <c r="N3762" i="20"/>
  <c r="N3763" i="20"/>
  <c r="N3764" i="20"/>
  <c r="O3764" i="20"/>
  <c r="N3765" i="20"/>
  <c r="O3765" i="20"/>
  <c r="N3766" i="20"/>
  <c r="N3767" i="20"/>
  <c r="N3768" i="20"/>
  <c r="O3768" i="20"/>
  <c r="N3769" i="20"/>
  <c r="O3769" i="20"/>
  <c r="N3770" i="20"/>
  <c r="N3771" i="20"/>
  <c r="N3772" i="20"/>
  <c r="N3773" i="20"/>
  <c r="O3773" i="20"/>
  <c r="N3774" i="20"/>
  <c r="N3776" i="20"/>
  <c r="N3777" i="20"/>
  <c r="N3778" i="20"/>
  <c r="O3778" i="20"/>
  <c r="N3779" i="20"/>
  <c r="O3779" i="20"/>
  <c r="N3780" i="20"/>
  <c r="O3780" i="20"/>
  <c r="N3781" i="20"/>
  <c r="O3781" i="20"/>
  <c r="N3782" i="20"/>
  <c r="O3782" i="20"/>
  <c r="N3783" i="20"/>
  <c r="N3785" i="20"/>
  <c r="O3785" i="20"/>
  <c r="N3786" i="20"/>
  <c r="N3787" i="20"/>
  <c r="O3787" i="20"/>
  <c r="N3788" i="20"/>
  <c r="O3788" i="20"/>
  <c r="N3789" i="20"/>
  <c r="N3790" i="20"/>
  <c r="O3790" i="20"/>
  <c r="N3791" i="20"/>
  <c r="O3791" i="20"/>
  <c r="N3792" i="20"/>
  <c r="O3792" i="20"/>
  <c r="N3793" i="20"/>
  <c r="N3794" i="20"/>
  <c r="O3794" i="20"/>
  <c r="N3795" i="20"/>
  <c r="O3795" i="20"/>
  <c r="N3796" i="20"/>
  <c r="O3796" i="20"/>
  <c r="N3797" i="20"/>
  <c r="O3797" i="20"/>
  <c r="N3799" i="20"/>
  <c r="N3801" i="20"/>
  <c r="N3803" i="20"/>
  <c r="N3805" i="20"/>
  <c r="O3805" i="20"/>
  <c r="N3806" i="20"/>
  <c r="O3806" i="20"/>
  <c r="N3807" i="20"/>
  <c r="O3807" i="20"/>
  <c r="N3808" i="20"/>
  <c r="O3808" i="20"/>
  <c r="N3809" i="20"/>
  <c r="O3809" i="20"/>
  <c r="N3810" i="20"/>
  <c r="O3810" i="20"/>
  <c r="N3811" i="20"/>
  <c r="N3812" i="20"/>
  <c r="O3812" i="20"/>
  <c r="N3813" i="20"/>
  <c r="O3813" i="20"/>
  <c r="N3814" i="20"/>
  <c r="N3815" i="20"/>
  <c r="O3815" i="20"/>
  <c r="N3816" i="20"/>
  <c r="O3816" i="20"/>
  <c r="N3817" i="20"/>
  <c r="O3817" i="20"/>
  <c r="N3818" i="20"/>
  <c r="O3818" i="20"/>
  <c r="N3819" i="20"/>
  <c r="N3820" i="20"/>
  <c r="O3820" i="20"/>
  <c r="N3821" i="20"/>
  <c r="N3822" i="20"/>
  <c r="N3823" i="20"/>
  <c r="O3823" i="20"/>
  <c r="N3824" i="20"/>
  <c r="O3824" i="20"/>
  <c r="N3825" i="20"/>
  <c r="O3825" i="20"/>
  <c r="N3826" i="20"/>
  <c r="N3827" i="20"/>
  <c r="N3828" i="20"/>
  <c r="N3829" i="20"/>
  <c r="N3830" i="20"/>
  <c r="N3831" i="20"/>
  <c r="N3832" i="20"/>
  <c r="O3832" i="20"/>
  <c r="N3833" i="20"/>
  <c r="O3833" i="20"/>
  <c r="N3834" i="20"/>
  <c r="O3834" i="20"/>
  <c r="N3835" i="20"/>
  <c r="N3837" i="20"/>
  <c r="O3837" i="20"/>
  <c r="N3838" i="20"/>
  <c r="N3840" i="20"/>
  <c r="O3840" i="20"/>
  <c r="N3842" i="20"/>
  <c r="O3842" i="20"/>
  <c r="N3843" i="20"/>
  <c r="O3843" i="20"/>
  <c r="N3844" i="20"/>
  <c r="O3844" i="20"/>
  <c r="N3845" i="20"/>
  <c r="O3845" i="20"/>
  <c r="N3846" i="20"/>
  <c r="N3848" i="20"/>
  <c r="N3849" i="20"/>
  <c r="O3849" i="20"/>
  <c r="N3850" i="20"/>
  <c r="O3850" i="20"/>
  <c r="N3852" i="20"/>
  <c r="N3853" i="20"/>
  <c r="N3854" i="20"/>
  <c r="O3854" i="20"/>
  <c r="N3855" i="20"/>
  <c r="N3857" i="20"/>
  <c r="O3857" i="20"/>
  <c r="N3858" i="20"/>
  <c r="O3858" i="20"/>
  <c r="N3859" i="20"/>
  <c r="N3860" i="20"/>
  <c r="O3860" i="20"/>
  <c r="N3861" i="20"/>
  <c r="N3867" i="20"/>
  <c r="N3868" i="20"/>
  <c r="N3869" i="20"/>
  <c r="N3870" i="20"/>
  <c r="N3871" i="20"/>
  <c r="N3872" i="20"/>
  <c r="O3872" i="20"/>
  <c r="N3873" i="20"/>
  <c r="O3873" i="20"/>
  <c r="N3874" i="20"/>
  <c r="O3874" i="20"/>
  <c r="N3875" i="20"/>
  <c r="O3875" i="20"/>
  <c r="N3876" i="20"/>
  <c r="O3876" i="20"/>
  <c r="N3877" i="20"/>
  <c r="N3878" i="20"/>
  <c r="N3879" i="20"/>
  <c r="O3879" i="20"/>
  <c r="N3880" i="20"/>
  <c r="O3880" i="20"/>
  <c r="N3881" i="20"/>
  <c r="N3882" i="20"/>
  <c r="N3883" i="20"/>
  <c r="N3884" i="20"/>
  <c r="O3884" i="20"/>
  <c r="N3885" i="20"/>
  <c r="O3885" i="20"/>
  <c r="N3886" i="20"/>
  <c r="O3886" i="20"/>
  <c r="N3887" i="20"/>
  <c r="O3887" i="20"/>
  <c r="N3888" i="20"/>
  <c r="O3888" i="20"/>
  <c r="N3889" i="20"/>
  <c r="O3889" i="20"/>
  <c r="N3890" i="20"/>
  <c r="O3890" i="20"/>
  <c r="N3892" i="20"/>
  <c r="N3893" i="20"/>
  <c r="O3893" i="20"/>
  <c r="N3894" i="20"/>
  <c r="O3894" i="20"/>
  <c r="N3895" i="20"/>
  <c r="O3895" i="20"/>
  <c r="N3896" i="20"/>
  <c r="O3896" i="20"/>
  <c r="N3897" i="20"/>
  <c r="O3897" i="20"/>
  <c r="N3898" i="20"/>
  <c r="N3899" i="20"/>
  <c r="O3899" i="20"/>
  <c r="N3900" i="20"/>
  <c r="N3905" i="20"/>
  <c r="O3905" i="20"/>
  <c r="N3906" i="20"/>
  <c r="O3906" i="20"/>
  <c r="N3907" i="20"/>
  <c r="N3908" i="20"/>
  <c r="O3908" i="20"/>
  <c r="N3909" i="20"/>
  <c r="N3911" i="20"/>
  <c r="N3912" i="20"/>
  <c r="O3912" i="20"/>
  <c r="N3913" i="20"/>
  <c r="O3913" i="20"/>
  <c r="N3914" i="20"/>
  <c r="O3914" i="20"/>
  <c r="N3915" i="20"/>
  <c r="O3915" i="20"/>
  <c r="N3916" i="20"/>
  <c r="N3917" i="20"/>
  <c r="N3918" i="20"/>
  <c r="O3918" i="20"/>
  <c r="N3919" i="20"/>
  <c r="O3919" i="20"/>
  <c r="N3920" i="20"/>
  <c r="O3920" i="20"/>
  <c r="N3921" i="20"/>
  <c r="N3922" i="20"/>
  <c r="O3922" i="20"/>
  <c r="N3923" i="20"/>
  <c r="O3923" i="20"/>
  <c r="N3924" i="20"/>
  <c r="O3924" i="20"/>
  <c r="N3925" i="20"/>
  <c r="O3925" i="20"/>
  <c r="N3926" i="20"/>
  <c r="O3926" i="20"/>
  <c r="N3927" i="20"/>
  <c r="O3927" i="20"/>
  <c r="N3928" i="20"/>
  <c r="O3928" i="20"/>
  <c r="N3929" i="20"/>
  <c r="O3929" i="20"/>
  <c r="N3930" i="20"/>
  <c r="O3930" i="20"/>
  <c r="N3931" i="20"/>
  <c r="N3932" i="20"/>
  <c r="N3933" i="20"/>
  <c r="O3933" i="20"/>
  <c r="N3934" i="20"/>
  <c r="O3934" i="20"/>
  <c r="N3935" i="20"/>
  <c r="N3937" i="20"/>
  <c r="N3938" i="20"/>
  <c r="N3939" i="20"/>
  <c r="N3940" i="20"/>
  <c r="O3940" i="20"/>
  <c r="N3941" i="20"/>
  <c r="O3941" i="20"/>
  <c r="N3942" i="20"/>
  <c r="O3942" i="20"/>
  <c r="N3943" i="20"/>
  <c r="O3943" i="20"/>
  <c r="N3944" i="20"/>
  <c r="O3944" i="20"/>
  <c r="N3945" i="20"/>
  <c r="O3945" i="20"/>
  <c r="N3946" i="20"/>
  <c r="O3946" i="20"/>
  <c r="N3947" i="20"/>
  <c r="O3947" i="20"/>
  <c r="N3948" i="20"/>
  <c r="O3948" i="20"/>
  <c r="N3949" i="20"/>
  <c r="O3949" i="20"/>
  <c r="N3950" i="20"/>
  <c r="O3950" i="20"/>
  <c r="N3951" i="20"/>
  <c r="N3952" i="20"/>
  <c r="O3952" i="20"/>
  <c r="N3953" i="20"/>
  <c r="O3953" i="20"/>
  <c r="N3954" i="20"/>
  <c r="O3954" i="20"/>
  <c r="N3955" i="20"/>
  <c r="O3955" i="20"/>
  <c r="N3956" i="20"/>
  <c r="O3956" i="20"/>
  <c r="N3957" i="20"/>
  <c r="N3958" i="20"/>
  <c r="O3958" i="20"/>
  <c r="N3959" i="20"/>
  <c r="N3960" i="20"/>
  <c r="N3961" i="20"/>
  <c r="N3962" i="20"/>
  <c r="N3963" i="20"/>
  <c r="O3963" i="20"/>
  <c r="N3964" i="20"/>
  <c r="N3965" i="20"/>
  <c r="N3966" i="20"/>
  <c r="N3967" i="20"/>
  <c r="N3968" i="20"/>
  <c r="N3969" i="20"/>
  <c r="N3970" i="20"/>
  <c r="N3971" i="20"/>
  <c r="N3972" i="20"/>
  <c r="N3973" i="20"/>
  <c r="O3973" i="20"/>
  <c r="N3974" i="20"/>
  <c r="N3975" i="20"/>
  <c r="N3976" i="20"/>
  <c r="O3976" i="20"/>
  <c r="N3977" i="20"/>
  <c r="N3980" i="20"/>
  <c r="N3981" i="20"/>
  <c r="N3984" i="20"/>
  <c r="O3984" i="20"/>
  <c r="N3985" i="20"/>
  <c r="N3986" i="20"/>
  <c r="N3987" i="20"/>
  <c r="N3988" i="20"/>
  <c r="N3989" i="20"/>
  <c r="N3990" i="20"/>
  <c r="N3991" i="20"/>
  <c r="N3992" i="20"/>
  <c r="N3994" i="20"/>
  <c r="O3994" i="20"/>
  <c r="N3996" i="20"/>
  <c r="N3997" i="20"/>
  <c r="N3998" i="20"/>
  <c r="O3998" i="20"/>
  <c r="N3999" i="20"/>
  <c r="N4002" i="20"/>
  <c r="N4003" i="20"/>
  <c r="N4004" i="20"/>
  <c r="O4004" i="20"/>
  <c r="N4005" i="20"/>
  <c r="N4007" i="20"/>
  <c r="N4008" i="20"/>
  <c r="O4008" i="20"/>
  <c r="N4009" i="20"/>
  <c r="N4010" i="20"/>
  <c r="N4012" i="20"/>
  <c r="N4013" i="20"/>
  <c r="N4014" i="20"/>
  <c r="O4014" i="20"/>
  <c r="N4016" i="20"/>
  <c r="N4017" i="20"/>
  <c r="O4017" i="20"/>
  <c r="N4018" i="20"/>
  <c r="N4019" i="20"/>
  <c r="N4020" i="20"/>
  <c r="O4020" i="20"/>
  <c r="N4021" i="20"/>
  <c r="O4021" i="20"/>
  <c r="N4022" i="20"/>
  <c r="N4023" i="20"/>
  <c r="N4024" i="20"/>
  <c r="O4024" i="20"/>
  <c r="N4025" i="20"/>
  <c r="N4026" i="20"/>
  <c r="N4027" i="20"/>
  <c r="N4028" i="20"/>
  <c r="N4029" i="20"/>
  <c r="N4030" i="20"/>
  <c r="O4030" i="20"/>
  <c r="N4031" i="20"/>
  <c r="O4031" i="20"/>
  <c r="N4033" i="20"/>
  <c r="O4033" i="20"/>
  <c r="N4034" i="20"/>
  <c r="O4034" i="20"/>
  <c r="N4035" i="20"/>
  <c r="N4036" i="20"/>
  <c r="O4036" i="20"/>
  <c r="N4037" i="20"/>
  <c r="O4037" i="20"/>
  <c r="N4038" i="20"/>
  <c r="O4038" i="20"/>
  <c r="N4039" i="20"/>
  <c r="O4039" i="20"/>
  <c r="N4040" i="20"/>
  <c r="O4040" i="20"/>
  <c r="N4041" i="20"/>
  <c r="O4041" i="20"/>
  <c r="N4042" i="20"/>
  <c r="N4044" i="20"/>
  <c r="O4044" i="20"/>
  <c r="N4045" i="20"/>
  <c r="N4046" i="20"/>
  <c r="N4047" i="20"/>
  <c r="N4048" i="20"/>
  <c r="O4048" i="20"/>
  <c r="N4049" i="20"/>
  <c r="N4050" i="20"/>
  <c r="N4051" i="20"/>
  <c r="N4052" i="20"/>
  <c r="N4053" i="20"/>
  <c r="O4053" i="20"/>
  <c r="N4054" i="20"/>
  <c r="N4055" i="20"/>
  <c r="N4056" i="20"/>
  <c r="N4058" i="20"/>
  <c r="N4061" i="20"/>
  <c r="N4062" i="20"/>
  <c r="N4063" i="20"/>
  <c r="N4064" i="20"/>
  <c r="O4064" i="20"/>
  <c r="N4066" i="20"/>
  <c r="N4067" i="20"/>
  <c r="N4070" i="20"/>
  <c r="N4075" i="20"/>
  <c r="N4076" i="20"/>
  <c r="O4076" i="20"/>
  <c r="N4077" i="20"/>
  <c r="N4079" i="20"/>
  <c r="N4080" i="20"/>
  <c r="O4080" i="20"/>
  <c r="N4083" i="20"/>
  <c r="N4085" i="20"/>
  <c r="N4086" i="20"/>
  <c r="O4086" i="20"/>
  <c r="N4087" i="20"/>
  <c r="N4088" i="20"/>
  <c r="N4091" i="20"/>
  <c r="O4091" i="20"/>
  <c r="N4092" i="20"/>
  <c r="O4092" i="20"/>
  <c r="N4093" i="20"/>
  <c r="N4094" i="20"/>
  <c r="N4096" i="20"/>
  <c r="N4097" i="20"/>
  <c r="O4097" i="20"/>
  <c r="N4098" i="20"/>
  <c r="O4098" i="20"/>
  <c r="N4100" i="20"/>
  <c r="O4100" i="20"/>
  <c r="N4101" i="20"/>
  <c r="N4102" i="20"/>
  <c r="N4105" i="20"/>
  <c r="N4106" i="20"/>
  <c r="N4107" i="20"/>
  <c r="O4107" i="20"/>
  <c r="N4108" i="20"/>
  <c r="N4110" i="20"/>
  <c r="O4110" i="20"/>
  <c r="N4114" i="20"/>
  <c r="N4115" i="20"/>
  <c r="N4116" i="20"/>
  <c r="O4116" i="20"/>
  <c r="N4117" i="20"/>
  <c r="N4118" i="20"/>
  <c r="N4119" i="20"/>
  <c r="O4119" i="20"/>
  <c r="N4120" i="20"/>
  <c r="N4121" i="20"/>
  <c r="N4123" i="20"/>
  <c r="N4125" i="20"/>
  <c r="N4127" i="20"/>
  <c r="N4128" i="20"/>
  <c r="N4129" i="20"/>
  <c r="N4130" i="20"/>
  <c r="O4130" i="20"/>
  <c r="N4134" i="20"/>
  <c r="N4135" i="20"/>
  <c r="N4136" i="20"/>
  <c r="N4138" i="20"/>
  <c r="N4140" i="20"/>
  <c r="N4142" i="20"/>
  <c r="N4143" i="20"/>
  <c r="N4144" i="20"/>
  <c r="N4145" i="20"/>
  <c r="O4145" i="20"/>
  <c r="N4150" i="20"/>
  <c r="N4156" i="20"/>
  <c r="N4211" i="20"/>
  <c r="O4211" i="20"/>
  <c r="N4213" i="20"/>
  <c r="O4213" i="20"/>
  <c r="N4214" i="20"/>
  <c r="O4214" i="20"/>
  <c r="N4260" i="20"/>
  <c r="O4260" i="20"/>
  <c r="N4261" i="20"/>
  <c r="O4261" i="20"/>
  <c r="N4262" i="20"/>
  <c r="O4262" i="20"/>
  <c r="N4283" i="20"/>
  <c r="O4283" i="20"/>
  <c r="N4284" i="20"/>
  <c r="O4284" i="20"/>
  <c r="O4490" i="20"/>
  <c r="O4491" i="20"/>
  <c r="O4492" i="20"/>
  <c r="N4493" i="20"/>
  <c r="O4493" i="20"/>
  <c r="N4494" i="20"/>
  <c r="O4494" i="20"/>
  <c r="N4495" i="20"/>
  <c r="O4495" i="20"/>
  <c r="N4496" i="20"/>
  <c r="O4496" i="20"/>
  <c r="N4497" i="20"/>
  <c r="N4498" i="20"/>
  <c r="O4498" i="20"/>
  <c r="N4499" i="20"/>
  <c r="O4499" i="20"/>
  <c r="N4500" i="20"/>
  <c r="N4501" i="20"/>
  <c r="O4501" i="20"/>
  <c r="N4502" i="20"/>
  <c r="O4502" i="20"/>
  <c r="N4503" i="20"/>
  <c r="O4503" i="20"/>
  <c r="N4504" i="20"/>
  <c r="O4504" i="20"/>
  <c r="N4505" i="20"/>
  <c r="O4505" i="20"/>
  <c r="N4506" i="20"/>
  <c r="O4506" i="20"/>
  <c r="N4507" i="20"/>
  <c r="O4507" i="20"/>
  <c r="N4508" i="20"/>
  <c r="O4508" i="20"/>
  <c r="N4509" i="20"/>
  <c r="O4509" i="20"/>
  <c r="N4510" i="20"/>
  <c r="O4510" i="20"/>
  <c r="N4511" i="20"/>
  <c r="O4511" i="20"/>
  <c r="N4512" i="20"/>
  <c r="O4512" i="20"/>
  <c r="N4513" i="20"/>
  <c r="O4513" i="20"/>
  <c r="N4514" i="20"/>
  <c r="O4514" i="20"/>
  <c r="N4515" i="20"/>
  <c r="O4515" i="20"/>
  <c r="N4516" i="20"/>
  <c r="O4516" i="20"/>
  <c r="N4517" i="20"/>
  <c r="O4517" i="20"/>
  <c r="N4518" i="20"/>
  <c r="O4518" i="20"/>
  <c r="N4519" i="20"/>
  <c r="O4519" i="20"/>
  <c r="N4520" i="20"/>
  <c r="O4520" i="20"/>
  <c r="N4521" i="20"/>
  <c r="N4522" i="20"/>
  <c r="N4523" i="20"/>
  <c r="O4523" i="20"/>
  <c r="N4524" i="20"/>
  <c r="O4524" i="20"/>
  <c r="N4525" i="20"/>
  <c r="O4525" i="20"/>
  <c r="N4526" i="20"/>
  <c r="O4526" i="20"/>
  <c r="N4527" i="20"/>
  <c r="N4528" i="20"/>
  <c r="O4528" i="20"/>
  <c r="N4529" i="20"/>
  <c r="N4530" i="20"/>
  <c r="O4530" i="20"/>
  <c r="N4531" i="20"/>
  <c r="O4531" i="20"/>
  <c r="N4532" i="20"/>
  <c r="O4532" i="20"/>
  <c r="N4533" i="20"/>
  <c r="O4533" i="20"/>
  <c r="N4534" i="20"/>
  <c r="O4534" i="20"/>
  <c r="N4535" i="20"/>
  <c r="O4535" i="20"/>
  <c r="N4536" i="20"/>
  <c r="O4536" i="20"/>
  <c r="N4537" i="20"/>
  <c r="O4537" i="20"/>
  <c r="N4538" i="20"/>
  <c r="O4538" i="20"/>
  <c r="N4539" i="20"/>
  <c r="N4540" i="20"/>
  <c r="O4540" i="20"/>
  <c r="N4541" i="20"/>
  <c r="O4541" i="20"/>
  <c r="N4542" i="20"/>
  <c r="O4542" i="20"/>
  <c r="N4543" i="20"/>
  <c r="O4543" i="20"/>
  <c r="N4544" i="20"/>
  <c r="O4544" i="20"/>
  <c r="N4545" i="20"/>
  <c r="O4545" i="20"/>
  <c r="N4546" i="20"/>
  <c r="O4546" i="20"/>
  <c r="N4547" i="20"/>
  <c r="O4547" i="20"/>
  <c r="N4548" i="20"/>
  <c r="O4548" i="20"/>
  <c r="N4549" i="20"/>
  <c r="O4549" i="20"/>
  <c r="N4550" i="20"/>
  <c r="O4550" i="20"/>
  <c r="N4551" i="20"/>
  <c r="O4551" i="20"/>
  <c r="N4552" i="20"/>
  <c r="O4552" i="20"/>
  <c r="N4553" i="20"/>
  <c r="O4553" i="20"/>
  <c r="N4554" i="20"/>
  <c r="O4554" i="20"/>
  <c r="N4555" i="20"/>
  <c r="O4555" i="20"/>
  <c r="N4556" i="20"/>
  <c r="O4556" i="20"/>
  <c r="N4557" i="20"/>
  <c r="O4557" i="20"/>
  <c r="N4558" i="20"/>
  <c r="O4558" i="20"/>
  <c r="N4559" i="20"/>
  <c r="O4559" i="20"/>
  <c r="N4560" i="20"/>
  <c r="O4560" i="20"/>
  <c r="N4561" i="20"/>
  <c r="O4561" i="20"/>
  <c r="N4562" i="20"/>
  <c r="O4562" i="20"/>
  <c r="N4563" i="20"/>
  <c r="O4563" i="20"/>
  <c r="N4564" i="20"/>
  <c r="O4564" i="20"/>
  <c r="N4565" i="20"/>
  <c r="O4565" i="20"/>
  <c r="N4566" i="20"/>
  <c r="O4566" i="20"/>
  <c r="N4567" i="20"/>
  <c r="O4567" i="20"/>
  <c r="N4568" i="20"/>
  <c r="O4568" i="20"/>
  <c r="N4569" i="20"/>
  <c r="N4570" i="20"/>
  <c r="O4570" i="20"/>
  <c r="N4571" i="20"/>
  <c r="O4571" i="20"/>
  <c r="N4572" i="20"/>
  <c r="O4572" i="20"/>
  <c r="N4573" i="20"/>
  <c r="O4573" i="20"/>
  <c r="N4574" i="20"/>
  <c r="O4574" i="20"/>
  <c r="N4575" i="20"/>
  <c r="O4575" i="20"/>
  <c r="N4576" i="20"/>
  <c r="O4576" i="20"/>
  <c r="N4577" i="20"/>
  <c r="O4577" i="20"/>
  <c r="N4578" i="20"/>
  <c r="O4578" i="20"/>
  <c r="N4579" i="20"/>
  <c r="N4580" i="20"/>
  <c r="N4581" i="20"/>
  <c r="O4581" i="20"/>
  <c r="N4582" i="20"/>
  <c r="O4582" i="20"/>
  <c r="N4583" i="20"/>
  <c r="N4584" i="20"/>
  <c r="O4584" i="20"/>
  <c r="N4585" i="20"/>
  <c r="O4585" i="20"/>
  <c r="N4586" i="20"/>
  <c r="O4586" i="20"/>
  <c r="N4587" i="20"/>
  <c r="O4587" i="20"/>
  <c r="N4588" i="20"/>
  <c r="O4588" i="20"/>
  <c r="N4589" i="20"/>
  <c r="O4589" i="20"/>
  <c r="N4590" i="20"/>
  <c r="O4590" i="20"/>
  <c r="N4591" i="20"/>
  <c r="O4591" i="20"/>
  <c r="N4592" i="20"/>
  <c r="O4592" i="20"/>
  <c r="N4593" i="20"/>
  <c r="O4593" i="20"/>
  <c r="N4594" i="20"/>
  <c r="O4594" i="20"/>
  <c r="N4595" i="20"/>
  <c r="N4597" i="20"/>
  <c r="O4597" i="20"/>
  <c r="N4598" i="20"/>
  <c r="O4598" i="20"/>
  <c r="N4599" i="20"/>
  <c r="N4600" i="20"/>
  <c r="O4600" i="20"/>
  <c r="N4601" i="20"/>
  <c r="N4602" i="20"/>
  <c r="O4602" i="20"/>
  <c r="N4604" i="20"/>
  <c r="O4604" i="20"/>
  <c r="N4605" i="20"/>
  <c r="O4605" i="20"/>
  <c r="N4606" i="20"/>
  <c r="N4607" i="20"/>
  <c r="N4608" i="20"/>
  <c r="N4609" i="20"/>
  <c r="O4609" i="20"/>
  <c r="N4610" i="20"/>
  <c r="O4610" i="20"/>
  <c r="N4611" i="20"/>
  <c r="O4611" i="20"/>
  <c r="N4612" i="20"/>
  <c r="N4613" i="20"/>
  <c r="O4613" i="20"/>
  <c r="N4614" i="20"/>
  <c r="N4618" i="20"/>
  <c r="O4618" i="20"/>
  <c r="N4619" i="20"/>
  <c r="N4620" i="20"/>
  <c r="O4620" i="20"/>
  <c r="N4621" i="20"/>
  <c r="O4621" i="20"/>
  <c r="N4622" i="20"/>
  <c r="N4623" i="20"/>
  <c r="O4623" i="20"/>
  <c r="N4624" i="20"/>
  <c r="O4624" i="20"/>
  <c r="N4625" i="20"/>
  <c r="O4625" i="20"/>
  <c r="N4626" i="20"/>
  <c r="O4626" i="20"/>
  <c r="N4627" i="20"/>
  <c r="O4627" i="20"/>
  <c r="N4628" i="20"/>
  <c r="O4628" i="20"/>
  <c r="N4629" i="20"/>
  <c r="N4632" i="20"/>
  <c r="O4632" i="20"/>
  <c r="N4634" i="20"/>
  <c r="O4634" i="20"/>
  <c r="N4635" i="20"/>
  <c r="N4636" i="20"/>
  <c r="N4637" i="20"/>
  <c r="N4639" i="20"/>
  <c r="N4640" i="20"/>
  <c r="O4640" i="20"/>
  <c r="N4641" i="20"/>
  <c r="O4641" i="20"/>
  <c r="N4642" i="20"/>
  <c r="O4642" i="20"/>
  <c r="N4643" i="20"/>
  <c r="N4644" i="20"/>
  <c r="N4645" i="20"/>
  <c r="N4647" i="20"/>
  <c r="N4648" i="20"/>
  <c r="N4650" i="20"/>
  <c r="N4651" i="20"/>
  <c r="N4652" i="20"/>
  <c r="N4653" i="20"/>
  <c r="N4654" i="20"/>
  <c r="N4657" i="20"/>
  <c r="N4658" i="20"/>
  <c r="N4659" i="20"/>
  <c r="N4660" i="20"/>
  <c r="N4661" i="20"/>
  <c r="N4662" i="20"/>
  <c r="N4663" i="20"/>
  <c r="N4664" i="20"/>
  <c r="O4664" i="20"/>
  <c r="N4665" i="20"/>
  <c r="N4666" i="20"/>
  <c r="N4667" i="20"/>
  <c r="N4668" i="20"/>
  <c r="N4669" i="20"/>
  <c r="N4670" i="20"/>
  <c r="N4671" i="20"/>
  <c r="N4672" i="20"/>
  <c r="N4673" i="20"/>
  <c r="N4676" i="20"/>
  <c r="N4677" i="20"/>
  <c r="O4677" i="20"/>
  <c r="N4732" i="20"/>
  <c r="O4732" i="20"/>
  <c r="N4735" i="20"/>
  <c r="O4735" i="20"/>
  <c r="N4750" i="20"/>
  <c r="O4750" i="20"/>
  <c r="N4751" i="20"/>
  <c r="O4751" i="20"/>
  <c r="N4752" i="20"/>
  <c r="O4752" i="20"/>
  <c r="N4753" i="20"/>
  <c r="O4753" i="20"/>
  <c r="N4754" i="20"/>
  <c r="O4754" i="20"/>
  <c r="N4755" i="20"/>
  <c r="O4755" i="20"/>
  <c r="N4756" i="20"/>
  <c r="O4756" i="20"/>
  <c r="N4757" i="20"/>
  <c r="N4758" i="20"/>
  <c r="O4758" i="20"/>
  <c r="N4759" i="20"/>
  <c r="O4759" i="20"/>
  <c r="N4760" i="20"/>
  <c r="O4760" i="20"/>
  <c r="N4761" i="20"/>
  <c r="O4761" i="20"/>
  <c r="N4762" i="20"/>
  <c r="O4762" i="20"/>
  <c r="N4763" i="20"/>
  <c r="O4763" i="20"/>
  <c r="N4764" i="20"/>
  <c r="O4764" i="20"/>
  <c r="N4765" i="20"/>
  <c r="N4766" i="20"/>
  <c r="O4766" i="20"/>
  <c r="N4767" i="20"/>
  <c r="O4767" i="20"/>
  <c r="N4768" i="20"/>
  <c r="N4769" i="20"/>
  <c r="O4769" i="20"/>
  <c r="N4770" i="20"/>
  <c r="N4772" i="20"/>
  <c r="N4773" i="20"/>
  <c r="O4773" i="20"/>
  <c r="N4774" i="20"/>
  <c r="O4774" i="20"/>
  <c r="N4775" i="20"/>
  <c r="O4775" i="20"/>
  <c r="N4776" i="20"/>
  <c r="O4776" i="20"/>
  <c r="N4777" i="20"/>
  <c r="O4777" i="20"/>
  <c r="N4778" i="20"/>
  <c r="O4778" i="20"/>
  <c r="N4779" i="20"/>
  <c r="N4780" i="20"/>
  <c r="O4780" i="20"/>
  <c r="N4781" i="20"/>
  <c r="O4781" i="20"/>
  <c r="N4782" i="20"/>
  <c r="O4782" i="20"/>
  <c r="N4783" i="20"/>
  <c r="O4783" i="20"/>
  <c r="N4784" i="20"/>
  <c r="O4784" i="20"/>
  <c r="N4785" i="20"/>
  <c r="N4786" i="20"/>
  <c r="N4787" i="20"/>
  <c r="O4787" i="20"/>
  <c r="N4788" i="20"/>
  <c r="O4788" i="20"/>
  <c r="N4789" i="20"/>
  <c r="O4789" i="20"/>
  <c r="N4790" i="20"/>
  <c r="N4791" i="20"/>
  <c r="N4792" i="20"/>
  <c r="N4793" i="20"/>
  <c r="O4793" i="20"/>
  <c r="N4794" i="20"/>
  <c r="O4794" i="20"/>
  <c r="N4795" i="20"/>
  <c r="O4795" i="20"/>
  <c r="N4796" i="20"/>
  <c r="N4797" i="20"/>
  <c r="O4797" i="20"/>
  <c r="N4798" i="20"/>
  <c r="O4798" i="20"/>
  <c r="N4799" i="20"/>
  <c r="O4799" i="20"/>
  <c r="N4800" i="20"/>
  <c r="N4801" i="20"/>
  <c r="N4803" i="20"/>
  <c r="O4803" i="20"/>
  <c r="N4804" i="20"/>
  <c r="N4805" i="20"/>
  <c r="O4805" i="20"/>
  <c r="N4806" i="20"/>
  <c r="O4806" i="20"/>
  <c r="N4807" i="20"/>
  <c r="N4808" i="20"/>
  <c r="N4809" i="20"/>
  <c r="O4809" i="20"/>
  <c r="N4811" i="20"/>
  <c r="O4811" i="20"/>
  <c r="N4812" i="20"/>
  <c r="O4812" i="20"/>
  <c r="N4813" i="20"/>
  <c r="O4813" i="20"/>
  <c r="N4814" i="20"/>
  <c r="O4814" i="20"/>
  <c r="N4815" i="20"/>
  <c r="N4817" i="20"/>
  <c r="O4817" i="20"/>
  <c r="N4818" i="20"/>
  <c r="O4818" i="20"/>
  <c r="N4819" i="20"/>
  <c r="O4819" i="20"/>
  <c r="N4820" i="20"/>
  <c r="O4820" i="20"/>
  <c r="N4821" i="20"/>
  <c r="O4821" i="20"/>
  <c r="N4822" i="20"/>
  <c r="N4823" i="20"/>
  <c r="N4824" i="20"/>
  <c r="O4824" i="20"/>
  <c r="N4825" i="20"/>
  <c r="O4825" i="20"/>
  <c r="N4826" i="20"/>
  <c r="N4827" i="20"/>
  <c r="O4827" i="20"/>
  <c r="N4828" i="20"/>
  <c r="O4828" i="20"/>
  <c r="N4829" i="20"/>
  <c r="N4830" i="20"/>
  <c r="N4832" i="20"/>
  <c r="O4832" i="20"/>
  <c r="N4833" i="20"/>
  <c r="O4833" i="20"/>
  <c r="N4834" i="20"/>
  <c r="O4834" i="20"/>
  <c r="N4835" i="20"/>
  <c r="N4836" i="20"/>
  <c r="O4836" i="20"/>
  <c r="N4837" i="20"/>
  <c r="O4837" i="20"/>
  <c r="N4838" i="20"/>
  <c r="O4838" i="20"/>
  <c r="N4839" i="20"/>
  <c r="O4839" i="20"/>
  <c r="N4840" i="20"/>
  <c r="O4840" i="20"/>
  <c r="N4841" i="20"/>
  <c r="O4841" i="20"/>
  <c r="N4842" i="20"/>
  <c r="O4842" i="20"/>
  <c r="N4843" i="20"/>
  <c r="O4843" i="20"/>
  <c r="N4844" i="20"/>
  <c r="O4844" i="20"/>
  <c r="N4845" i="20"/>
  <c r="O4845" i="20"/>
  <c r="N4846" i="20"/>
  <c r="O4846" i="20"/>
  <c r="N4847" i="20"/>
  <c r="O4847" i="20"/>
  <c r="N4848" i="20"/>
  <c r="O4848" i="20"/>
  <c r="N4849" i="20"/>
  <c r="O4849" i="20"/>
  <c r="N4850" i="20"/>
  <c r="O4850" i="20"/>
  <c r="N4851" i="20"/>
  <c r="O4851" i="20"/>
  <c r="N4852" i="20"/>
  <c r="O4852" i="20"/>
  <c r="N4853" i="20"/>
  <c r="O4853" i="20"/>
  <c r="N4854" i="20"/>
  <c r="O4854" i="20"/>
  <c r="N4855" i="20"/>
  <c r="O4855" i="20"/>
  <c r="N4856" i="20"/>
  <c r="O4856" i="20"/>
  <c r="N4857" i="20"/>
  <c r="O4857" i="20"/>
  <c r="N4858" i="20"/>
  <c r="O4858" i="20"/>
  <c r="N4859" i="20"/>
  <c r="O4859" i="20"/>
  <c r="N4860" i="20"/>
  <c r="O4860" i="20"/>
  <c r="N4861" i="20"/>
  <c r="O4861" i="20"/>
  <c r="N4862" i="20"/>
  <c r="O3473" i="20"/>
  <c r="O4085" i="20"/>
  <c r="O3524" i="20"/>
  <c r="O4066" i="20"/>
  <c r="O3123" i="20"/>
  <c r="O3962" i="20"/>
  <c r="O4005" i="20"/>
  <c r="O4007" i="20"/>
  <c r="O3746" i="20"/>
  <c r="O2956" i="20"/>
  <c r="O2784" i="20"/>
  <c r="O2779" i="20"/>
  <c r="O2267" i="20"/>
  <c r="O3515" i="20"/>
  <c r="O3083" i="20"/>
  <c r="O4601" i="20"/>
  <c r="O1613" i="20"/>
  <c r="O1585" i="20"/>
  <c r="O958" i="20"/>
  <c r="O826" i="20"/>
  <c r="O4077" i="20"/>
  <c r="O2415" i="20"/>
  <c r="O3974" i="20"/>
  <c r="O3838" i="20"/>
  <c r="O2355" i="20"/>
  <c r="J3656" i="24"/>
  <c r="O3959" i="20"/>
  <c r="O4612" i="20"/>
  <c r="O3432" i="20"/>
  <c r="O4062" i="20"/>
  <c r="O1635" i="20"/>
  <c r="O3723" i="20"/>
  <c r="O3704" i="20"/>
  <c r="O4670" i="20"/>
  <c r="O596" i="20"/>
  <c r="O3541" i="20"/>
  <c r="O922" i="20"/>
  <c r="O711" i="20"/>
  <c r="O2473" i="20"/>
  <c r="O4804" i="20"/>
  <c r="N2274" i="20"/>
  <c r="O4150" i="20"/>
  <c r="O1594" i="20"/>
  <c r="O3078" i="20"/>
  <c r="O3975" i="20"/>
  <c r="O3655" i="20"/>
  <c r="O3440" i="20"/>
  <c r="O478" i="20"/>
  <c r="AF1355" i="20" l="1"/>
  <c r="AG1355" i="20" s="1"/>
  <c r="AE1355" i="20"/>
  <c r="AF1006" i="20"/>
  <c r="AG1006" i="20" s="1"/>
  <c r="AE1006" i="20"/>
  <c r="O2801" i="20"/>
  <c r="O4105" i="20"/>
  <c r="O3892" i="20"/>
  <c r="O4144" i="20"/>
  <c r="O1880" i="20"/>
  <c r="O2860" i="20"/>
  <c r="O257" i="20"/>
  <c r="O2750" i="20"/>
  <c r="O4770" i="20"/>
  <c r="O3712" i="20"/>
  <c r="O657" i="20"/>
  <c r="O3696" i="20"/>
  <c r="J3651" i="24"/>
  <c r="J3655" i="24"/>
  <c r="O4067" i="20"/>
  <c r="O1226" i="20"/>
  <c r="O4088" i="20"/>
  <c r="O2581" i="20"/>
  <c r="O597" i="20"/>
  <c r="O894" i="20"/>
  <c r="O1396" i="20" l="1"/>
  <c r="O2514" i="20"/>
  <c r="O819" i="20"/>
  <c r="J3652" i="24"/>
  <c r="O410" i="20"/>
  <c r="O409" i="20"/>
  <c r="O3522" i="20"/>
  <c r="O4156" i="20"/>
  <c r="O4093" i="20"/>
  <c r="O4117" i="20"/>
  <c r="O4058" i="20"/>
  <c r="O3831" i="20"/>
  <c r="O2091" i="20"/>
  <c r="J3648" i="24"/>
  <c r="O3771" i="20"/>
  <c r="O3248" i="20"/>
  <c r="O3450" i="20"/>
  <c r="O1680" i="20"/>
  <c r="O2938" i="20"/>
  <c r="O3964" i="20"/>
  <c r="O3348" i="20"/>
  <c r="O1400" i="20"/>
  <c r="V4129" i="20"/>
  <c r="O3883" i="20"/>
  <c r="O4790" i="20"/>
  <c r="O1671" i="20"/>
  <c r="J3649" i="24"/>
  <c r="O4644" i="20"/>
  <c r="O3793" i="20"/>
  <c r="O3828" i="20"/>
  <c r="O1583" i="20"/>
  <c r="O3992" i="20"/>
  <c r="O3180" i="20"/>
  <c r="O3939" i="20"/>
  <c r="O3134" i="20"/>
  <c r="O3461" i="20"/>
  <c r="O1679" i="20"/>
  <c r="O2810" i="20"/>
  <c r="O3064" i="20"/>
  <c r="O3700" i="20"/>
  <c r="O3118" i="20"/>
  <c r="O2193" i="20"/>
  <c r="O793" i="20"/>
  <c r="O222" i="20"/>
  <c r="O736" i="20"/>
  <c r="O4138" i="20"/>
  <c r="O844" i="20"/>
  <c r="O4539" i="20"/>
  <c r="AC4129" i="20" l="1"/>
  <c r="AD4129" i="20"/>
  <c r="O520" i="20"/>
  <c r="O1631" i="20"/>
  <c r="O1590" i="20"/>
  <c r="O1866" i="20"/>
  <c r="O1526" i="20"/>
  <c r="O4129" i="20"/>
  <c r="O3051" i="20"/>
  <c r="O1334" i="20"/>
  <c r="O2661" i="20"/>
  <c r="O4497" i="20"/>
  <c r="O305" i="20"/>
  <c r="J3643" i="24"/>
  <c r="O3830" i="20"/>
  <c r="O3855" i="20"/>
  <c r="O3770" i="20"/>
  <c r="K3648" i="24"/>
  <c r="K3649" i="24"/>
  <c r="K3650" i="24"/>
  <c r="K3651" i="24"/>
  <c r="K3652" i="24"/>
  <c r="K3653" i="24"/>
  <c r="K3654" i="24"/>
  <c r="K3655" i="24"/>
  <c r="K3656" i="24"/>
  <c r="J3640" i="24"/>
  <c r="O3977" i="20"/>
  <c r="O2550" i="20"/>
  <c r="O872" i="20"/>
  <c r="AF4129" i="20" l="1"/>
  <c r="AG4129" i="20" s="1"/>
  <c r="AE4129" i="20"/>
  <c r="O3539" i="20"/>
  <c r="O667" i="20"/>
  <c r="O3853" i="20"/>
  <c r="O1746" i="20"/>
  <c r="J3641" i="24"/>
  <c r="J3642" i="24"/>
  <c r="O2585" i="20"/>
  <c r="O3739" i="20"/>
  <c r="O2593" i="20"/>
  <c r="O2905" i="20"/>
  <c r="O2599" i="20"/>
  <c r="O2658" i="20"/>
  <c r="O1873" i="20" l="1"/>
  <c r="O3543" i="20"/>
  <c r="O2379" i="20"/>
  <c r="O4660" i="20"/>
  <c r="O1666" i="20"/>
  <c r="O2612" i="20"/>
  <c r="O3444" i="20"/>
  <c r="O2933" i="20"/>
  <c r="O2405" i="20"/>
  <c r="O1627" i="20"/>
  <c r="O3735" i="20"/>
  <c r="O4143" i="20"/>
  <c r="O4676" i="20"/>
  <c r="O1815" i="20"/>
  <c r="O4800" i="20"/>
  <c r="O1801" i="20"/>
  <c r="O4016" i="20"/>
  <c r="O3720" i="20"/>
  <c r="O3568" i="20"/>
  <c r="O3783" i="20"/>
  <c r="O3141" i="20"/>
  <c r="O2464" i="20"/>
  <c r="J3638" i="24"/>
  <c r="O4606" i="20"/>
  <c r="K3645" i="24"/>
  <c r="K3646" i="24"/>
  <c r="K3647" i="24"/>
  <c r="O2145" i="20"/>
  <c r="O3575" i="20"/>
  <c r="O3345" i="20"/>
  <c r="O1859" i="20"/>
  <c r="J3639" i="24"/>
  <c r="O3754" i="20"/>
  <c r="O2768" i="20"/>
  <c r="O4140" i="20"/>
  <c r="O3767" i="20"/>
  <c r="O4047" i="20"/>
  <c r="O3246" i="20"/>
  <c r="O3916" i="20" l="1"/>
  <c r="O3877" i="20"/>
  <c r="O3967" i="20"/>
  <c r="O4661" i="20"/>
  <c r="O1448" i="20"/>
  <c r="O1726" i="20"/>
  <c r="O4786" i="20"/>
  <c r="O1678" i="20"/>
  <c r="O891" i="20"/>
  <c r="O805" i="20"/>
  <c r="O3965" i="20"/>
  <c r="O3763" i="20"/>
  <c r="O4045" i="20"/>
  <c r="O1669" i="20"/>
  <c r="O1788" i="20"/>
  <c r="O3772" i="20"/>
  <c r="O4662" i="20"/>
  <c r="O1617" i="20"/>
  <c r="O4768" i="20"/>
  <c r="O1730" i="20"/>
  <c r="O3822" i="20"/>
  <c r="O1031" i="20"/>
  <c r="O2950" i="20"/>
  <c r="O3519" i="20"/>
  <c r="O4106" i="20"/>
  <c r="O4108" i="20"/>
  <c r="O4063" i="20"/>
  <c r="O4639" i="20"/>
  <c r="O4075" i="20"/>
  <c r="O3605" i="20"/>
  <c r="O4009" i="20"/>
  <c r="O1402" i="20"/>
  <c r="O1741" i="20"/>
  <c r="O2404" i="20"/>
  <c r="O4035" i="20"/>
  <c r="O3146" i="20"/>
  <c r="O4522" i="20"/>
  <c r="O1817" i="20"/>
  <c r="O3968" i="20"/>
  <c r="O1751" i="20"/>
  <c r="O2662" i="20"/>
  <c r="O4079" i="20"/>
  <c r="O3719" i="20"/>
  <c r="O4027" i="20"/>
  <c r="O3917" i="20"/>
  <c r="O2462" i="20"/>
  <c r="O4666" i="20"/>
  <c r="O2912" i="20"/>
  <c r="O2726" i="20"/>
  <c r="O1511" i="20"/>
  <c r="O4765" i="20"/>
  <c r="O1686" i="20"/>
  <c r="O3760" i="20"/>
  <c r="O2637" i="20"/>
  <c r="O3878" i="20"/>
  <c r="O4599" i="20"/>
  <c r="O3495" i="20"/>
  <c r="O2654" i="20"/>
  <c r="O3381" i="20"/>
  <c r="J3632" i="24"/>
  <c r="J3637" i="24"/>
  <c r="O4070" i="20"/>
  <c r="O3147" i="20"/>
  <c r="O3766" i="20"/>
  <c r="J3635" i="24"/>
  <c r="J3630" i="24"/>
  <c r="O1881" i="20"/>
  <c r="K3639" i="24"/>
  <c r="K3640" i="24"/>
  <c r="K3641" i="24"/>
  <c r="K3642" i="24"/>
  <c r="K3643" i="24"/>
  <c r="K3644" i="24"/>
  <c r="O2705" i="20"/>
  <c r="O3553" i="20"/>
  <c r="O3811" i="20" l="1"/>
  <c r="O1685" i="20"/>
  <c r="O2816" i="20"/>
  <c r="O1561" i="20"/>
  <c r="O2527" i="20"/>
  <c r="O1444" i="20"/>
  <c r="O1805" i="20"/>
  <c r="J3634" i="24"/>
  <c r="J3621" i="24"/>
  <c r="O1618" i="20"/>
  <c r="O3988" i="20"/>
  <c r="O1809" i="20"/>
  <c r="O1032" i="20"/>
  <c r="O210" i="20"/>
  <c r="O3799" i="20"/>
  <c r="O451" i="20"/>
  <c r="O1831" i="20"/>
  <c r="J3633" i="24"/>
  <c r="O4118" i="20"/>
  <c r="O2312" i="20"/>
  <c r="O3909" i="20" l="1"/>
  <c r="O772" i="20"/>
  <c r="O3911" i="20"/>
  <c r="O1870" i="20"/>
  <c r="O3821" i="20"/>
  <c r="O1244" i="20"/>
  <c r="J3628" i="24"/>
  <c r="O3091" i="20"/>
  <c r="O1551" i="20"/>
  <c r="O1773" i="20"/>
  <c r="J3626" i="24"/>
  <c r="J3627" i="24"/>
  <c r="J3629" i="24"/>
  <c r="O1783" i="20" l="1"/>
  <c r="O1762" i="20"/>
  <c r="O4529" i="20"/>
  <c r="O1261" i="20"/>
  <c r="O3417" i="20"/>
  <c r="O4671" i="20"/>
  <c r="O4102" i="20"/>
  <c r="K3632" i="24"/>
  <c r="K3633" i="24"/>
  <c r="K3634" i="24"/>
  <c r="K3635" i="24"/>
  <c r="K3636" i="24"/>
  <c r="K3637" i="24"/>
  <c r="K3638" i="24"/>
  <c r="O1593" i="20"/>
  <c r="J3623" i="24"/>
  <c r="O4595" i="20"/>
  <c r="O668" i="20"/>
  <c r="O2759" i="20"/>
  <c r="J3631" i="24"/>
  <c r="O2511" i="20"/>
  <c r="J3618" i="24"/>
  <c r="O3431" i="20"/>
  <c r="J3625" i="24"/>
  <c r="U2574" i="20"/>
  <c r="O172" i="20"/>
  <c r="AC2574" i="20" l="1"/>
  <c r="AD2574" i="20"/>
  <c r="O3517" i="20"/>
  <c r="O3869" i="20"/>
  <c r="O2574" i="20"/>
  <c r="O1306" i="20"/>
  <c r="O3467" i="20"/>
  <c r="O4115" i="20"/>
  <c r="O1001" i="20"/>
  <c r="O3518" i="20"/>
  <c r="O2773" i="20"/>
  <c r="O1674" i="20"/>
  <c r="O3013" i="20"/>
  <c r="O3484" i="20"/>
  <c r="O3338" i="20"/>
  <c r="O3969" i="20"/>
  <c r="O2124" i="20"/>
  <c r="O3220" i="20"/>
  <c r="AE2574" i="20" l="1"/>
  <c r="AF2574" i="20"/>
  <c r="AG2574" i="20" s="1"/>
  <c r="O1876" i="20"/>
  <c r="O804" i="20"/>
  <c r="O2470" i="20"/>
  <c r="O2506" i="20"/>
  <c r="O3560" i="20"/>
  <c r="O684" i="20" l="1"/>
  <c r="O3214" i="20"/>
  <c r="J3620" i="24"/>
  <c r="O1684" i="20"/>
  <c r="O1775" i="20"/>
  <c r="K3622" i="24"/>
  <c r="K3623" i="24"/>
  <c r="K3624" i="24"/>
  <c r="K3625" i="24"/>
  <c r="K3626" i="24"/>
  <c r="K3627" i="24"/>
  <c r="K3628" i="24"/>
  <c r="K3629" i="24"/>
  <c r="K3630" i="24"/>
  <c r="O4128" i="20" l="1"/>
  <c r="J3617" i="24"/>
  <c r="J3606" i="24"/>
  <c r="K3620" i="24"/>
  <c r="K3618" i="24"/>
  <c r="J3619" i="24"/>
  <c r="K3619" i="24" s="1"/>
  <c r="J3608" i="24"/>
  <c r="O2233" i="20"/>
  <c r="O3615" i="20"/>
  <c r="O2697" i="20"/>
  <c r="K3621" i="24"/>
  <c r="K3631" i="24"/>
  <c r="J3615" i="24"/>
  <c r="O4673" i="20" l="1"/>
  <c r="O4658" i="20"/>
  <c r="O822" i="20"/>
  <c r="O3344" i="20"/>
  <c r="O1308" i="20"/>
  <c r="J3614" i="24"/>
  <c r="O284" i="20"/>
  <c r="O4134" i="20" l="1"/>
  <c r="O4135" i="20"/>
  <c r="O4669" i="20"/>
  <c r="O1041" i="20"/>
  <c r="O3938" i="20"/>
  <c r="J3607" i="24"/>
  <c r="J3602" i="24"/>
  <c r="O4569" i="20"/>
  <c r="J3616" i="24"/>
  <c r="O3023" i="20" l="1"/>
  <c r="O3846" i="20"/>
  <c r="O4120" i="20"/>
  <c r="J3611" i="24"/>
  <c r="J3600" i="24"/>
  <c r="J3612" i="24"/>
  <c r="J3609" i="24"/>
  <c r="O3493" i="20"/>
  <c r="J3613" i="24"/>
  <c r="J3601" i="24"/>
  <c r="O4127" i="20" l="1"/>
  <c r="O3935" i="20"/>
  <c r="O1803" i="20"/>
  <c r="O1715" i="20"/>
  <c r="O3040" i="20"/>
  <c r="O1791" i="20"/>
  <c r="O1504" i="20"/>
  <c r="O3485" i="20"/>
  <c r="O3716" i="20"/>
  <c r="O350" i="20"/>
  <c r="O2199" i="20"/>
  <c r="O2063" i="20" l="1"/>
  <c r="O1843" i="20"/>
  <c r="K3608" i="24"/>
  <c r="K3609" i="24"/>
  <c r="K3610" i="24"/>
  <c r="K3611" i="24"/>
  <c r="K3612" i="24"/>
  <c r="K3613" i="24"/>
  <c r="K3614" i="24"/>
  <c r="K3615" i="24"/>
  <c r="K3616" i="24"/>
  <c r="K3617" i="24"/>
  <c r="O2953" i="20" l="1"/>
  <c r="J3603" i="24"/>
  <c r="J3586" i="24"/>
  <c r="O4672" i="20" l="1"/>
  <c r="O4042" i="20"/>
  <c r="O2918" i="20"/>
  <c r="O3601" i="20"/>
  <c r="O1528" i="20" l="1"/>
  <c r="O1725" i="20"/>
  <c r="O1673" i="20"/>
  <c r="O4101" i="20"/>
  <c r="O823" i="20" l="1"/>
  <c r="J3597" i="24"/>
  <c r="J3590" i="24"/>
  <c r="O4056" i="20"/>
  <c r="J3598" i="24"/>
  <c r="J3599" i="24"/>
  <c r="K3599" i="24" s="1"/>
  <c r="J3596" i="24"/>
  <c r="J3595" i="24"/>
  <c r="O3762" i="20"/>
  <c r="O1469" i="20"/>
  <c r="K3600" i="24"/>
  <c r="K3601" i="24"/>
  <c r="K3602" i="24"/>
  <c r="K3603" i="24"/>
  <c r="K3604" i="24"/>
  <c r="K3605" i="24"/>
  <c r="K3606" i="24"/>
  <c r="K3607" i="24"/>
  <c r="O3153" i="20" l="1"/>
  <c r="O3447" i="20"/>
  <c r="O1742" i="20"/>
  <c r="O3970" i="20"/>
  <c r="O1228" i="20"/>
  <c r="O1861" i="20"/>
  <c r="O1074" i="20"/>
  <c r="O2358" i="20"/>
  <c r="O611" i="20" l="1"/>
  <c r="O3176" i="20"/>
  <c r="O1832" i="20"/>
  <c r="O757" i="20"/>
  <c r="J3589" i="24"/>
  <c r="O1829" i="20"/>
  <c r="J3585" i="24"/>
  <c r="O2761" i="20"/>
  <c r="O1828" i="20"/>
  <c r="O446" i="20"/>
  <c r="J3587" i="24"/>
  <c r="J3580" i="24"/>
  <c r="O4121" i="20"/>
  <c r="O1690" i="20"/>
  <c r="O2976" i="20"/>
  <c r="O4123" i="20"/>
  <c r="O4125" i="20"/>
  <c r="O1752" i="20" l="1"/>
  <c r="O1786" i="20"/>
  <c r="O2316" i="20"/>
  <c r="O3071" i="20"/>
  <c r="O120" i="20"/>
  <c r="O3550" i="20"/>
  <c r="O3273" i="20"/>
  <c r="O1010" i="20"/>
  <c r="O223" i="20"/>
  <c r="O2496" i="20"/>
  <c r="K3589" i="24"/>
  <c r="K3590" i="24"/>
  <c r="K3591" i="24"/>
  <c r="K3592" i="24"/>
  <c r="K3593" i="24"/>
  <c r="K3594" i="24"/>
  <c r="K3595" i="24"/>
  <c r="K3596" i="24"/>
  <c r="K3597" i="24"/>
  <c r="K3598" i="24"/>
  <c r="O3980" i="20"/>
  <c r="O1846" i="20"/>
  <c r="O4114" i="20"/>
  <c r="O3210" i="20" l="1"/>
  <c r="O3327" i="20"/>
  <c r="O4527" i="20"/>
  <c r="O3331" i="20"/>
  <c r="J3584" i="24"/>
  <c r="K3584" i="24" s="1"/>
  <c r="J3583" i="24"/>
  <c r="K3583" i="24" s="1"/>
  <c r="J3579" i="24"/>
  <c r="O1826" i="20"/>
  <c r="J3581" i="24"/>
  <c r="K3581" i="24" s="1"/>
  <c r="J3576" i="24"/>
  <c r="J3574" i="24"/>
  <c r="O1818" i="20"/>
  <c r="O3255" i="20"/>
  <c r="O544" i="20"/>
  <c r="K3580" i="24"/>
  <c r="K3582" i="24"/>
  <c r="K3585" i="24"/>
  <c r="K3586" i="24"/>
  <c r="K3587" i="24"/>
  <c r="K3588" i="24"/>
  <c r="O3262" i="20"/>
  <c r="O1835" i="20" l="1"/>
  <c r="O799" i="20"/>
  <c r="O1719" i="20"/>
  <c r="O1397" i="20"/>
  <c r="O1871" i="20"/>
  <c r="O1174" i="20"/>
  <c r="O3401" i="20"/>
  <c r="O737" i="20"/>
  <c r="O1015" i="20"/>
  <c r="O3454" i="20"/>
  <c r="O3056" i="20"/>
  <c r="O4757" i="20"/>
  <c r="O2268" i="20"/>
  <c r="O1793" i="20"/>
  <c r="O1734" i="20"/>
  <c r="J3569" i="24"/>
  <c r="J3575" i="24"/>
  <c r="O2725" i="20"/>
  <c r="O2027" i="20"/>
  <c r="O854" i="20" l="1"/>
  <c r="O733" i="20"/>
  <c r="O4052" i="20" l="1"/>
  <c r="O3786" i="20"/>
  <c r="O156" i="20"/>
  <c r="O1864" i="20"/>
  <c r="K3573" i="24"/>
  <c r="K3574" i="24"/>
  <c r="K3575" i="24"/>
  <c r="K3576" i="24"/>
  <c r="K3577" i="24"/>
  <c r="K3578" i="24"/>
  <c r="K3579" i="24"/>
  <c r="O3986" i="20" l="1"/>
  <c r="O1423" i="20"/>
  <c r="J3572" i="24"/>
  <c r="O640" i="20" l="1"/>
  <c r="O1816" i="20"/>
  <c r="J3563" i="24"/>
  <c r="J3568" i="24"/>
  <c r="J3571" i="24"/>
  <c r="J3566" i="24"/>
  <c r="O853" i="20"/>
  <c r="R3037" i="20"/>
  <c r="AD3037" i="20" l="1"/>
  <c r="AC3037" i="20"/>
  <c r="AF3037" i="20" s="1"/>
  <c r="AG3037" i="20" s="1"/>
  <c r="O3037" i="20"/>
  <c r="J3564" i="24"/>
  <c r="AE3037" i="20" l="1"/>
  <c r="O2194" i="20"/>
  <c r="O3574" i="20"/>
  <c r="O1714" i="20"/>
  <c r="O422" i="20"/>
  <c r="J3559" i="24"/>
  <c r="O4087" i="20"/>
  <c r="O4826" i="20"/>
  <c r="O1863" i="20" l="1"/>
  <c r="J3561" i="24"/>
  <c r="J3557" i="24"/>
  <c r="J3562" i="24"/>
  <c r="K3563" i="24"/>
  <c r="K3564" i="24"/>
  <c r="K3565" i="24"/>
  <c r="K3566" i="24"/>
  <c r="K3567" i="24"/>
  <c r="K3568" i="24"/>
  <c r="K3569" i="24"/>
  <c r="K3570" i="24"/>
  <c r="K3571" i="24"/>
  <c r="K3572" i="24"/>
  <c r="O4650" i="20" l="1"/>
  <c r="O1625" i="20"/>
  <c r="O1072" i="20"/>
  <c r="O806" i="20"/>
  <c r="O3232" i="20"/>
  <c r="J3552" i="24"/>
  <c r="J3560" i="24"/>
  <c r="R4643" i="20"/>
  <c r="O1140" i="20"/>
  <c r="J3554" i="24"/>
  <c r="O1758" i="20"/>
  <c r="J3553" i="24"/>
  <c r="AD4643" i="20" l="1"/>
  <c r="AC4643" i="20"/>
  <c r="O1476" i="20"/>
  <c r="O3981" i="20"/>
  <c r="O1657" i="20"/>
  <c r="O4619" i="20"/>
  <c r="O3991" i="20"/>
  <c r="O1747" i="20"/>
  <c r="O4022" i="20"/>
  <c r="O4622" i="20"/>
  <c r="O2484" i="20"/>
  <c r="O4796" i="20"/>
  <c r="O4643" i="20"/>
  <c r="O3999" i="20"/>
  <c r="O4645" i="20"/>
  <c r="O4055" i="20"/>
  <c r="O1314" i="20"/>
  <c r="O1842" i="20"/>
  <c r="O4023" i="20"/>
  <c r="O4636" i="20"/>
  <c r="O4653" i="20"/>
  <c r="O2724" i="20"/>
  <c r="J3548" i="24"/>
  <c r="J3556" i="24"/>
  <c r="O4614" i="20"/>
  <c r="J3555" i="24"/>
  <c r="O3323" i="20"/>
  <c r="AF4643" i="20" l="1"/>
  <c r="AG4643" i="20" s="1"/>
  <c r="AE4643" i="20"/>
  <c r="O3334" i="20"/>
  <c r="O3236" i="20"/>
  <c r="O3336" i="20"/>
  <c r="O3456" i="20"/>
  <c r="J3549" i="24"/>
  <c r="K3549" i="24" s="1"/>
  <c r="K3552" i="24"/>
  <c r="K3553" i="24"/>
  <c r="K3554" i="24"/>
  <c r="K3555" i="24"/>
  <c r="K3556" i="24"/>
  <c r="K3557" i="24"/>
  <c r="K3558" i="24"/>
  <c r="K3559" i="24"/>
  <c r="K3560" i="24"/>
  <c r="J3550" i="24"/>
  <c r="K3550" i="24" s="1"/>
  <c r="O752" i="20"/>
  <c r="J3537" i="24"/>
  <c r="K3547" i="24"/>
  <c r="K3548" i="24"/>
  <c r="K3551" i="24"/>
  <c r="O3564" i="20" l="1"/>
  <c r="O3936" i="20"/>
  <c r="O4083" i="20"/>
  <c r="O3937" i="20"/>
  <c r="O3565" i="20"/>
  <c r="O3521" i="20"/>
  <c r="O3640" i="20"/>
  <c r="O3340" i="20"/>
  <c r="J3541" i="24"/>
  <c r="O1687" i="20"/>
  <c r="O4835" i="20" l="1"/>
  <c r="O4667" i="20" l="1"/>
  <c r="O4668" i="20"/>
  <c r="O1779" i="20"/>
  <c r="J3538" i="24"/>
  <c r="K3541" i="24"/>
  <c r="K3542" i="24"/>
  <c r="K3543" i="24"/>
  <c r="K3544" i="24"/>
  <c r="K3545" i="24"/>
  <c r="K3546" i="24"/>
  <c r="K3561" i="24"/>
  <c r="K3562" i="24"/>
  <c r="J3534" i="24"/>
  <c r="Y1733" i="20"/>
  <c r="AD1733" i="20" l="1"/>
  <c r="AC1733" i="20"/>
  <c r="O3211" i="20"/>
  <c r="O2002" i="20"/>
  <c r="O1763" i="20"/>
  <c r="O2328" i="20"/>
  <c r="O2276" i="20"/>
  <c r="O1733" i="20"/>
  <c r="O4659" i="20"/>
  <c r="O2195" i="20"/>
  <c r="O1035" i="20"/>
  <c r="O1708" i="20"/>
  <c r="J3535" i="24"/>
  <c r="J3442" i="24"/>
  <c r="J3531" i="24"/>
  <c r="O1688" i="20"/>
  <c r="AE1733" i="20" l="1"/>
  <c r="AF1733" i="20"/>
  <c r="AG1733" i="20" s="1"/>
  <c r="O1640" i="20"/>
  <c r="O3652" i="20"/>
  <c r="O1651" i="20"/>
  <c r="O3960" i="20"/>
  <c r="O502" i="20"/>
  <c r="J3532" i="24"/>
  <c r="O1260" i="20"/>
  <c r="O4785" i="20"/>
  <c r="O2753" i="20"/>
  <c r="J3536" i="24"/>
  <c r="K3536" i="24" s="1"/>
  <c r="O4665" i="20"/>
  <c r="J3533" i="24"/>
  <c r="K3534" i="24"/>
  <c r="K3535" i="24"/>
  <c r="K3537" i="24"/>
  <c r="K3538" i="24"/>
  <c r="K3539" i="24"/>
  <c r="K3540" i="24"/>
  <c r="O4025" i="20" l="1"/>
  <c r="O4026" i="20"/>
  <c r="O4028" i="20" l="1"/>
  <c r="O4029" i="20"/>
  <c r="J3522" i="24"/>
  <c r="O3990" i="20" l="1"/>
  <c r="J3528" i="24"/>
  <c r="O860" i="20" l="1"/>
  <c r="J3526" i="24"/>
  <c r="J3508" i="24"/>
  <c r="J3529" i="24" l="1"/>
  <c r="K3529" i="24" s="1"/>
  <c r="K3528" i="24"/>
  <c r="J3518" i="24"/>
  <c r="J3524" i="24"/>
  <c r="K3530" i="24"/>
  <c r="K3531" i="24"/>
  <c r="K3532" i="24"/>
  <c r="K3533" i="24"/>
  <c r="J3519" i="24"/>
  <c r="J3525" i="24"/>
  <c r="O1011" i="20"/>
  <c r="O2305" i="20"/>
  <c r="O3287" i="20" l="1"/>
  <c r="O1005" i="20"/>
  <c r="O3606" i="20"/>
  <c r="O1785" i="20"/>
  <c r="O1750" i="20"/>
  <c r="J3523" i="24"/>
  <c r="K3523" i="24" s="1"/>
  <c r="J3510" i="24"/>
  <c r="J3521" i="24"/>
  <c r="K3521" i="24" s="1"/>
  <c r="K3525" i="24"/>
  <c r="J3515" i="24"/>
  <c r="K3522" i="24"/>
  <c r="K3524" i="24"/>
  <c r="K3526" i="24"/>
  <c r="K3527" i="24"/>
  <c r="O1380" i="20" l="1"/>
  <c r="O1827" i="20"/>
  <c r="J3516" i="24"/>
  <c r="J3509" i="24"/>
  <c r="J3517" i="24"/>
  <c r="O3826" i="20" l="1"/>
  <c r="O3827" i="20"/>
  <c r="K3514" i="24"/>
  <c r="K3515" i="24"/>
  <c r="K3516" i="24"/>
  <c r="K3517" i="24"/>
  <c r="K3518" i="24"/>
  <c r="K3519" i="24"/>
  <c r="K3520" i="24"/>
  <c r="K3509" i="24"/>
  <c r="J3511" i="24"/>
  <c r="K3511" i="24" s="1"/>
  <c r="J3503" i="24"/>
  <c r="J3504" i="24"/>
  <c r="O2677" i="20"/>
  <c r="K3508" i="24"/>
  <c r="K3510" i="24"/>
  <c r="K3512" i="24"/>
  <c r="K3513" i="24"/>
  <c r="O2170" i="20" l="1"/>
  <c r="O3020" i="20"/>
  <c r="O1766" i="20"/>
  <c r="O2961" i="20"/>
  <c r="O1748" i="20"/>
  <c r="O919" i="20" l="1"/>
  <c r="J3489" i="24"/>
  <c r="J3506" i="24"/>
  <c r="J3484" i="24"/>
  <c r="O2781" i="20"/>
  <c r="J3500" i="24"/>
  <c r="J3499" i="24"/>
  <c r="O4807" i="20" l="1"/>
  <c r="O1607" i="20"/>
  <c r="O1810" i="20"/>
  <c r="O3859" i="20"/>
  <c r="O4808" i="20"/>
  <c r="O1119" i="20"/>
  <c r="O1854" i="20"/>
  <c r="J3497" i="24"/>
  <c r="J3455" i="24" l="1"/>
  <c r="O4647" i="20" l="1"/>
  <c r="O4648" i="20"/>
  <c r="O1200" i="20"/>
  <c r="J3501" i="24"/>
  <c r="O1675" i="20"/>
  <c r="O1844" i="20" l="1"/>
  <c r="O2808" i="20"/>
  <c r="O4815" i="20"/>
  <c r="O376" i="20"/>
  <c r="K3498" i="24"/>
  <c r="K3499" i="24"/>
  <c r="K3500" i="24"/>
  <c r="K3501" i="24"/>
  <c r="K3502" i="24"/>
  <c r="K3503" i="24"/>
  <c r="K3504" i="24"/>
  <c r="K3505" i="24"/>
  <c r="K3506" i="24"/>
  <c r="K3507" i="24"/>
  <c r="J3493" i="24"/>
  <c r="O1776" i="20" l="1"/>
  <c r="O3301" i="20"/>
  <c r="O1841" i="20"/>
  <c r="J3491" i="24"/>
  <c r="J3495" i="24"/>
  <c r="O1804" i="20"/>
  <c r="J3443" i="24"/>
  <c r="O4094" i="20" l="1"/>
  <c r="O4096" i="20"/>
  <c r="O889" i="20"/>
  <c r="J3488" i="24"/>
  <c r="K3488" i="24" s="1"/>
  <c r="K3489" i="24"/>
  <c r="K3490" i="24"/>
  <c r="K3491" i="24"/>
  <c r="K3492" i="24"/>
  <c r="K3493" i="24"/>
  <c r="K3494" i="24"/>
  <c r="K3495" i="24"/>
  <c r="K3496" i="24"/>
  <c r="K3497" i="24"/>
  <c r="J3476" i="24"/>
  <c r="J3486" i="24"/>
  <c r="K3486" i="24" s="1"/>
  <c r="J3487" i="24"/>
  <c r="K3487" i="24" s="1"/>
  <c r="J3482" i="24"/>
  <c r="K3482" i="24" s="1"/>
  <c r="J3471" i="24"/>
  <c r="J3480" i="24"/>
  <c r="K3480" i="24" s="1"/>
  <c r="J3469" i="24"/>
  <c r="J3477" i="24"/>
  <c r="J3481" i="24"/>
  <c r="K3481" i="24" s="1"/>
  <c r="O4663" i="20"/>
  <c r="O1636" i="20"/>
  <c r="J3451" i="24"/>
  <c r="J3474" i="24"/>
  <c r="K3483" i="24"/>
  <c r="K3484" i="24"/>
  <c r="K3485" i="24"/>
  <c r="J3475" i="24"/>
  <c r="J3470" i="24"/>
  <c r="O4791" i="20" l="1"/>
  <c r="O3378" i="20"/>
  <c r="O3566" i="20"/>
  <c r="O1814" i="20"/>
  <c r="O1858" i="20"/>
  <c r="O4521" i="20"/>
  <c r="O316" i="20"/>
  <c r="O4792" i="20"/>
  <c r="O1790" i="20"/>
  <c r="O393" i="20"/>
  <c r="O2568" i="20"/>
  <c r="O3138" i="20"/>
  <c r="O2331" i="20"/>
  <c r="O299" i="20"/>
  <c r="K3474" i="24"/>
  <c r="K3475" i="24"/>
  <c r="K3476" i="24"/>
  <c r="K3477" i="24"/>
  <c r="K3478" i="24"/>
  <c r="K3479" i="24"/>
  <c r="O4061" i="20" l="1"/>
  <c r="J3473" i="24"/>
  <c r="J3464" i="24"/>
  <c r="J3468" i="24"/>
  <c r="J3467" i="24"/>
  <c r="O916" i="20" l="1"/>
  <c r="K3467" i="24"/>
  <c r="K3468" i="24"/>
  <c r="K3469" i="24"/>
  <c r="K3470" i="24"/>
  <c r="K3471" i="24"/>
  <c r="K3472" i="24"/>
  <c r="K3473" i="24"/>
  <c r="O3789" i="20" l="1"/>
  <c r="J3461" i="24"/>
  <c r="O3017" i="20"/>
  <c r="J3450" i="24" l="1"/>
  <c r="O1729" i="20" l="1"/>
  <c r="J3459" i="24"/>
  <c r="O4629" i="20"/>
  <c r="K3461" i="24"/>
  <c r="K3462" i="24"/>
  <c r="K3463" i="24"/>
  <c r="K3464" i="24"/>
  <c r="K3465" i="24"/>
  <c r="K3466" i="24"/>
  <c r="J3452" i="24"/>
  <c r="J3456" i="24"/>
  <c r="J3417" i="24"/>
  <c r="O1508" i="20"/>
  <c r="O3571" i="20" l="1"/>
  <c r="O4607" i="20"/>
  <c r="O4608" i="20"/>
  <c r="O3572" i="20"/>
  <c r="K3455" i="24"/>
  <c r="K3456" i="24"/>
  <c r="K3457" i="24"/>
  <c r="K3458" i="24"/>
  <c r="K3459" i="24"/>
  <c r="K3460" i="24"/>
  <c r="O546" i="20" l="1"/>
  <c r="O1852" i="20"/>
  <c r="J3453" i="24"/>
  <c r="K3453" i="24" s="1"/>
  <c r="J3448" i="24"/>
  <c r="J3439" i="24"/>
  <c r="K3450" i="24"/>
  <c r="K3451" i="24"/>
  <c r="K3452" i="24"/>
  <c r="K3454" i="24"/>
  <c r="O1045" i="20" l="1"/>
  <c r="O867" i="20"/>
  <c r="O1802" i="20"/>
  <c r="O1466" i="20"/>
  <c r="O948" i="20"/>
  <c r="O1622" i="20"/>
  <c r="J3440" i="24"/>
  <c r="O1764" i="20" l="1"/>
  <c r="K3442" i="24"/>
  <c r="K3443" i="24"/>
  <c r="K3444" i="24"/>
  <c r="K3445" i="24"/>
  <c r="K3446" i="24"/>
  <c r="K3447" i="24"/>
  <c r="K3448" i="24"/>
  <c r="K3449" i="24"/>
  <c r="J3438" i="24"/>
  <c r="O3489" i="20" l="1"/>
  <c r="O3576" i="20"/>
  <c r="O834" i="20"/>
  <c r="O3490" i="20"/>
  <c r="O2952" i="20"/>
  <c r="O2294" i="20"/>
  <c r="K3435" i="24"/>
  <c r="K3436" i="24"/>
  <c r="K3437" i="24"/>
  <c r="K3438" i="24"/>
  <c r="K3439" i="24"/>
  <c r="K3440" i="24"/>
  <c r="K3441" i="24"/>
  <c r="O4010" i="20" l="1"/>
  <c r="J3430" i="24"/>
  <c r="O619" i="20"/>
  <c r="J3434" i="24"/>
  <c r="J3432" i="24"/>
  <c r="O4654" i="20" l="1"/>
  <c r="O1406" i="20"/>
  <c r="O4657" i="20"/>
  <c r="O1049" i="20"/>
  <c r="O3692" i="20"/>
  <c r="J3423" i="24"/>
  <c r="K3430" i="24"/>
  <c r="K3431" i="24"/>
  <c r="K3432" i="24"/>
  <c r="K3433" i="24"/>
  <c r="K3434" i="24"/>
  <c r="J3410" i="24"/>
  <c r="O1839" i="20"/>
  <c r="R4046" i="20"/>
  <c r="J3427" i="24"/>
  <c r="J3412" i="24"/>
  <c r="J3420" i="24"/>
  <c r="U2735" i="20"/>
  <c r="AC4046" i="20" l="1"/>
  <c r="AF4046" i="20" s="1"/>
  <c r="AG4046" i="20" s="1"/>
  <c r="AD4046" i="20"/>
  <c r="AC2735" i="20"/>
  <c r="AD2735" i="20"/>
  <c r="O2735" i="20"/>
  <c r="O4051" i="20"/>
  <c r="O4046" i="20"/>
  <c r="O1757" i="20"/>
  <c r="AE4046" i="20" l="1"/>
  <c r="AF2735" i="20"/>
  <c r="AG2735" i="20" s="1"/>
  <c r="AE2735" i="20"/>
  <c r="O296" i="20"/>
  <c r="O2786" i="20"/>
  <c r="O3989" i="20" l="1"/>
  <c r="O1836" i="20"/>
  <c r="O1299" i="20" l="1"/>
  <c r="J3429" i="24"/>
  <c r="K3429" i="24" s="1"/>
  <c r="K3427" i="24"/>
  <c r="J3426" i="24"/>
  <c r="K3426" i="24" s="1"/>
  <c r="J3424" i="24"/>
  <c r="K3424" i="24" s="1"/>
  <c r="K3423" i="24"/>
  <c r="K3425" i="24"/>
  <c r="K3428" i="24"/>
  <c r="O1596" i="20" l="1"/>
  <c r="O3535" i="20"/>
  <c r="J3416" i="24"/>
  <c r="J3419" i="24"/>
  <c r="J3422" i="24"/>
  <c r="O4829" i="20" l="1"/>
  <c r="O1692" i="20"/>
  <c r="O3471" i="20"/>
  <c r="O4830" i="20"/>
  <c r="O3758" i="20"/>
  <c r="O4054" i="20"/>
  <c r="K3417" i="24"/>
  <c r="K3418" i="24"/>
  <c r="K3419" i="24"/>
  <c r="K3420" i="24"/>
  <c r="K3421" i="24"/>
  <c r="K3422" i="24"/>
  <c r="J3403" i="24"/>
  <c r="O4822" i="20" l="1"/>
  <c r="O1086" i="20"/>
  <c r="O4823" i="20"/>
  <c r="J3405" i="24"/>
  <c r="J3411" i="24"/>
  <c r="J3402" i="24"/>
  <c r="J3413" i="24"/>
  <c r="J3414" i="24"/>
  <c r="J3400" i="24"/>
  <c r="J3399" i="24"/>
  <c r="J3407" i="24" l="1"/>
  <c r="J3404" i="24"/>
  <c r="K3411" i="24"/>
  <c r="K3412" i="24"/>
  <c r="K3413" i="24"/>
  <c r="K3414" i="24"/>
  <c r="K3415" i="24"/>
  <c r="K3416" i="24"/>
  <c r="J3373" i="24"/>
  <c r="J3406" i="24"/>
  <c r="J3392" i="24"/>
  <c r="J3394" i="24"/>
  <c r="O3258" i="20" l="1"/>
  <c r="J3401" i="24"/>
  <c r="K3401" i="24" s="1"/>
  <c r="K3404" i="24"/>
  <c r="K3405" i="24"/>
  <c r="K3406" i="24"/>
  <c r="K3407" i="24"/>
  <c r="K3408" i="24"/>
  <c r="K3409" i="24"/>
  <c r="K3410" i="24"/>
  <c r="K3400" i="24"/>
  <c r="J3395" i="24"/>
  <c r="K3395" i="24" s="1"/>
  <c r="J3381" i="24"/>
  <c r="K3399" i="24"/>
  <c r="J3393" i="24"/>
  <c r="J3386" i="24"/>
  <c r="K3402" i="24"/>
  <c r="K3403" i="24"/>
  <c r="J3384" i="24"/>
  <c r="Q4050" i="20"/>
  <c r="J3396" i="24"/>
  <c r="K3396" i="24" s="1"/>
  <c r="K3394" i="24"/>
  <c r="K3397" i="24"/>
  <c r="K3398" i="24"/>
  <c r="O3544" i="20"/>
  <c r="AC4050" i="20" l="1"/>
  <c r="AF4050" i="20" s="1"/>
  <c r="AG4050" i="20" s="1"/>
  <c r="AD4050" i="20"/>
  <c r="O4049" i="20"/>
  <c r="O4050" i="20"/>
  <c r="O4013" i="20"/>
  <c r="O4012" i="20"/>
  <c r="O1794" i="20"/>
  <c r="O1795" i="20"/>
  <c r="O1800" i="20"/>
  <c r="J3389" i="24"/>
  <c r="J3387" i="24"/>
  <c r="J3390" i="24"/>
  <c r="AE4050" i="20" l="1"/>
  <c r="J3361" i="24"/>
  <c r="J3382" i="24"/>
  <c r="K3384" i="24"/>
  <c r="K3385" i="24"/>
  <c r="K3386" i="24"/>
  <c r="K3387" i="24"/>
  <c r="K3388" i="24"/>
  <c r="K3389" i="24"/>
  <c r="K3390" i="24"/>
  <c r="K3391" i="24"/>
  <c r="K3392" i="24"/>
  <c r="K3393" i="24"/>
  <c r="J3377" i="24"/>
  <c r="J3380" i="24"/>
  <c r="O3597" i="20" l="1"/>
  <c r="O2136" i="20"/>
  <c r="O1787" i="20"/>
  <c r="O935" i="20"/>
  <c r="O3400" i="20"/>
  <c r="O562" i="20"/>
  <c r="J3383" i="24"/>
  <c r="K3383" i="24" s="1"/>
  <c r="J3378" i="24"/>
  <c r="K3378" i="24" s="1"/>
  <c r="J3379" i="24"/>
  <c r="K3379" i="24" s="1"/>
  <c r="J3370" i="24"/>
  <c r="K3377" i="24"/>
  <c r="K3380" i="24"/>
  <c r="K3381" i="24"/>
  <c r="K3382" i="24"/>
  <c r="O2451" i="20" l="1"/>
  <c r="J3372" i="24"/>
  <c r="J3374" i="24"/>
  <c r="J3368" i="24"/>
  <c r="J3371" i="24"/>
  <c r="J3333" i="24"/>
  <c r="R3814" i="20"/>
  <c r="J3365" i="24"/>
  <c r="J3369" i="24"/>
  <c r="AC3814" i="20" l="1"/>
  <c r="AD3814" i="20"/>
  <c r="O4018" i="20"/>
  <c r="O1085" i="20"/>
  <c r="O3814" i="20"/>
  <c r="O848" i="20"/>
  <c r="O4019" i="20"/>
  <c r="K3370" i="24"/>
  <c r="K3371" i="24"/>
  <c r="K3372" i="24"/>
  <c r="K3373" i="24"/>
  <c r="K3374" i="24"/>
  <c r="K3375" i="24"/>
  <c r="K3376" i="24"/>
  <c r="J3330" i="24"/>
  <c r="J3362" i="24"/>
  <c r="J3366" i="24"/>
  <c r="J3311" i="24"/>
  <c r="O739" i="20"/>
  <c r="J3367" i="24"/>
  <c r="AF3814" i="20" l="1"/>
  <c r="AG3814" i="20" s="1"/>
  <c r="AE3814" i="20"/>
  <c r="J3357" i="24"/>
  <c r="I3311" i="24"/>
  <c r="J3358" i="24"/>
  <c r="J3363" i="24"/>
  <c r="O2769" i="20"/>
  <c r="J3342" i="24"/>
  <c r="J3356" i="24"/>
  <c r="O1582" i="20" l="1"/>
  <c r="O3423" i="20"/>
  <c r="J3360" i="24"/>
  <c r="K3361" i="24"/>
  <c r="K3362" i="24"/>
  <c r="K3363" i="24"/>
  <c r="K3364" i="24"/>
  <c r="K3365" i="24"/>
  <c r="K3366" i="24"/>
  <c r="K3367" i="24"/>
  <c r="K3368" i="24"/>
  <c r="K3369" i="24"/>
  <c r="J3353" i="24"/>
  <c r="J3354" i="24"/>
  <c r="J3340" i="24"/>
  <c r="J3343" i="24"/>
  <c r="J3351" i="24"/>
  <c r="J3350" i="24"/>
  <c r="J3349" i="24"/>
  <c r="J3355" i="24"/>
  <c r="O1760" i="20" l="1"/>
  <c r="O2186" i="20"/>
  <c r="O3985" i="20"/>
  <c r="K3343" i="24"/>
  <c r="J3334" i="24"/>
  <c r="P482" i="20"/>
  <c r="J3352" i="24"/>
  <c r="AD482" i="20" l="1"/>
  <c r="AC482" i="20"/>
  <c r="O482" i="20"/>
  <c r="K3352" i="24"/>
  <c r="K3353" i="24"/>
  <c r="K3354" i="24"/>
  <c r="K3355" i="24"/>
  <c r="K3356" i="24"/>
  <c r="K3357" i="24"/>
  <c r="K3358" i="24"/>
  <c r="K3359" i="24"/>
  <c r="K3360" i="24"/>
  <c r="K3340" i="24"/>
  <c r="J3348" i="24"/>
  <c r="K3348" i="24" s="1"/>
  <c r="J3344" i="24"/>
  <c r="K3344" i="24" s="1"/>
  <c r="J3338" i="24"/>
  <c r="K3338" i="24" s="1"/>
  <c r="J3345" i="24"/>
  <c r="K3345" i="24" s="1"/>
  <c r="K3349" i="24"/>
  <c r="K3350" i="24"/>
  <c r="K3351" i="24"/>
  <c r="J3346" i="24"/>
  <c r="K3346" i="24" s="1"/>
  <c r="J3339" i="24"/>
  <c r="K3339" i="24" s="1"/>
  <c r="Y1789" i="20"/>
  <c r="J3341" i="24"/>
  <c r="K3341" i="24" s="1"/>
  <c r="K3342" i="24"/>
  <c r="K3347" i="24"/>
  <c r="J3336" i="24"/>
  <c r="K3336" i="24" s="1"/>
  <c r="J3332" i="24"/>
  <c r="K3335" i="24"/>
  <c r="K3337" i="24"/>
  <c r="J3329" i="24"/>
  <c r="P1621" i="20"/>
  <c r="J3331" i="24"/>
  <c r="J3321" i="24"/>
  <c r="AD1789" i="20" l="1"/>
  <c r="AC1789" i="20"/>
  <c r="AF482" i="20"/>
  <c r="AG482" i="20" s="1"/>
  <c r="AE482" i="20"/>
  <c r="AC1621" i="20"/>
  <c r="AD1621" i="20"/>
  <c r="O3743" i="20"/>
  <c r="O1662" i="20"/>
  <c r="O702" i="20"/>
  <c r="O3951" i="20"/>
  <c r="O2052" i="20"/>
  <c r="O1137" i="20"/>
  <c r="O949" i="20"/>
  <c r="O1621" i="20"/>
  <c r="O1494" i="20"/>
  <c r="O1789" i="20"/>
  <c r="O3921" i="20"/>
  <c r="O3627" i="20"/>
  <c r="R3015" i="20"/>
  <c r="R3014" i="20"/>
  <c r="J3328" i="24"/>
  <c r="AF1789" i="20" l="1"/>
  <c r="AG1789" i="20" s="1"/>
  <c r="AE1789" i="20"/>
  <c r="AE1621" i="20"/>
  <c r="AF1621" i="20"/>
  <c r="AG1621" i="20" s="1"/>
  <c r="AC3014" i="20"/>
  <c r="AD3014" i="20"/>
  <c r="AD3015" i="20"/>
  <c r="AC3015" i="20"/>
  <c r="O3446" i="20"/>
  <c r="O2815" i="20"/>
  <c r="O3014" i="20"/>
  <c r="O3015" i="20"/>
  <c r="J3314" i="24"/>
  <c r="J3308" i="24"/>
  <c r="J3320" i="24"/>
  <c r="K3320" i="24" s="1"/>
  <c r="O3156" i="20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J3319" i="24"/>
  <c r="K3319" i="24" s="1"/>
  <c r="J3312" i="24"/>
  <c r="K3321" i="24"/>
  <c r="K3322" i="24"/>
  <c r="AE3015" i="20" l="1"/>
  <c r="AF3015" i="20"/>
  <c r="AG3015" i="20" s="1"/>
  <c r="AF3014" i="20"/>
  <c r="AG3014" i="20" s="1"/>
  <c r="AE3014" i="20"/>
  <c r="J3313" i="24"/>
  <c r="J3316" i="24"/>
  <c r="O421" i="20" l="1"/>
  <c r="O2051" i="20"/>
  <c r="J3303" i="24"/>
  <c r="J3315" i="24"/>
  <c r="O1840" i="20" l="1"/>
  <c r="O1375" i="20"/>
  <c r="O2888" i="20"/>
  <c r="K3312" i="24"/>
  <c r="K3313" i="24"/>
  <c r="K3314" i="24"/>
  <c r="K3315" i="24"/>
  <c r="K3316" i="24"/>
  <c r="K3317" i="24"/>
  <c r="K3318" i="24"/>
  <c r="J3301" i="24"/>
  <c r="J3310" i="24"/>
  <c r="K3310" i="24" s="1"/>
  <c r="J3298" i="24"/>
  <c r="K3307" i="24"/>
  <c r="K3308" i="24"/>
  <c r="K3309" i="24"/>
  <c r="K3311" i="24"/>
  <c r="J3297" i="24"/>
  <c r="J3302" i="24"/>
  <c r="J3299" i="24"/>
  <c r="J3304" i="24"/>
  <c r="J3300" i="24"/>
  <c r="J3295" i="24"/>
  <c r="J3294" i="24"/>
  <c r="O3801" i="20" l="1"/>
  <c r="O3803" i="20"/>
  <c r="O3848" i="20"/>
  <c r="O4002" i="20"/>
  <c r="K3301" i="24"/>
  <c r="K3302" i="24"/>
  <c r="K3303" i="24"/>
  <c r="K3304" i="24"/>
  <c r="K3305" i="24"/>
  <c r="K3306" i="24"/>
  <c r="K3297" i="24"/>
  <c r="K3298" i="24"/>
  <c r="K3299" i="24"/>
  <c r="K3300" i="24"/>
  <c r="O1588" i="20" l="1"/>
  <c r="O3052" i="20"/>
  <c r="J3290" i="24"/>
  <c r="J3292" i="24" l="1"/>
  <c r="J3281" i="24"/>
  <c r="J3288" i="24"/>
  <c r="K3292" i="24" l="1"/>
  <c r="K3293" i="24"/>
  <c r="K3294" i="24"/>
  <c r="K3295" i="24"/>
  <c r="K3296" i="24"/>
  <c r="J3287" i="24"/>
  <c r="J3280" i="24"/>
  <c r="J3286" i="24"/>
  <c r="O3347" i="20"/>
  <c r="O3966" i="20" l="1"/>
  <c r="K3280" i="24"/>
  <c r="J3283" i="24"/>
  <c r="K3283" i="24" s="1"/>
  <c r="K3284" i="24"/>
  <c r="K3285" i="24"/>
  <c r="K3286" i="24"/>
  <c r="K3287" i="24"/>
  <c r="K3288" i="24"/>
  <c r="K3289" i="24"/>
  <c r="K3290" i="24"/>
  <c r="K3291" i="24"/>
  <c r="J3224" i="24"/>
  <c r="J3282" i="24"/>
  <c r="K3282" i="24" s="1"/>
  <c r="J3277" i="24"/>
  <c r="J3275" i="24"/>
  <c r="J3259" i="24"/>
  <c r="K3281" i="24"/>
  <c r="O3774" i="20" l="1"/>
  <c r="J3276" i="24"/>
  <c r="K3276" i="24" s="1"/>
  <c r="O2308" i="20"/>
  <c r="K3275" i="24"/>
  <c r="K3277" i="24"/>
  <c r="K3278" i="24"/>
  <c r="K3279" i="24"/>
  <c r="J3264" i="24"/>
  <c r="J3271" i="24"/>
  <c r="K3271" i="24" s="1"/>
  <c r="J3258" i="24"/>
  <c r="J3245" i="24"/>
  <c r="J3272" i="24"/>
  <c r="K3272" i="24" s="1"/>
  <c r="J3267" i="24"/>
  <c r="J3274" i="24"/>
  <c r="K3274" i="24" s="1"/>
  <c r="K3273" i="24"/>
  <c r="O3753" i="20" l="1"/>
  <c r="J3260" i="24"/>
  <c r="J3269" i="24"/>
  <c r="J3270" i="24"/>
  <c r="J3262" i="24" l="1"/>
  <c r="K3262" i="24" s="1"/>
  <c r="J3266" i="24"/>
  <c r="K3266" i="24" s="1"/>
  <c r="J3253" i="24"/>
  <c r="J3182" i="24"/>
  <c r="J3261" i="24"/>
  <c r="K3263" i="24"/>
  <c r="K3264" i="24"/>
  <c r="K3265" i="24"/>
  <c r="K3267" i="24"/>
  <c r="K3268" i="24"/>
  <c r="K3269" i="24"/>
  <c r="K3270" i="24"/>
  <c r="J3178" i="24"/>
  <c r="J3246" i="24"/>
  <c r="O4579" i="20" l="1"/>
  <c r="O3776" i="20"/>
  <c r="O4651" i="20"/>
  <c r="O2698" i="20"/>
  <c r="O4652" i="20"/>
  <c r="O2937" i="20"/>
  <c r="O3070" i="20"/>
  <c r="O3457" i="20"/>
  <c r="O3777" i="20"/>
  <c r="O4580" i="20"/>
  <c r="J3252" i="24"/>
  <c r="K3258" i="24" l="1"/>
  <c r="K3259" i="24"/>
  <c r="K3260" i="24"/>
  <c r="K3261" i="24"/>
  <c r="J3250" i="24"/>
  <c r="J3256" i="24"/>
  <c r="J3230" i="24"/>
  <c r="O3710" i="20" l="1"/>
  <c r="O2041" i="20"/>
  <c r="O3711" i="20"/>
  <c r="O3972" i="20"/>
  <c r="O2088" i="20"/>
  <c r="O3317" i="20"/>
  <c r="J3247" i="24"/>
  <c r="O3971" i="20"/>
  <c r="K3255" i="24"/>
  <c r="K3256" i="24"/>
  <c r="K3252" i="24"/>
  <c r="K3253" i="24"/>
  <c r="K3254" i="24"/>
  <c r="K3257" i="24"/>
  <c r="J3229" i="24"/>
  <c r="J3249" i="24"/>
  <c r="J3248" i="24"/>
  <c r="O3997" i="20" l="1"/>
  <c r="J3243" i="24"/>
  <c r="J3244" i="24" l="1"/>
  <c r="J3241" i="24"/>
  <c r="J3180" i="24"/>
  <c r="K3245" i="24"/>
  <c r="K3246" i="24"/>
  <c r="K3247" i="24"/>
  <c r="K3248" i="24"/>
  <c r="K3249" i="24"/>
  <c r="K3250" i="24"/>
  <c r="K3251" i="24"/>
  <c r="J3239" i="24" l="1"/>
  <c r="J3227" i="24"/>
  <c r="O3961" i="20" l="1"/>
  <c r="J3237" i="24"/>
  <c r="K3237" i="24" s="1"/>
  <c r="J3238" i="24"/>
  <c r="K3238" i="24" s="1"/>
  <c r="O2135" i="20"/>
  <c r="K3234" i="24"/>
  <c r="K3235" i="24"/>
  <c r="K3236" i="24"/>
  <c r="K3239" i="24"/>
  <c r="K3240" i="24"/>
  <c r="K3241" i="24"/>
  <c r="K3242" i="24"/>
  <c r="K3243" i="24"/>
  <c r="K3244" i="24"/>
  <c r="J3223" i="24" l="1"/>
  <c r="J3204" i="24"/>
  <c r="O2457" i="20" l="1"/>
  <c r="J3228" i="24"/>
  <c r="K3227" i="24" l="1"/>
  <c r="K3228" i="24"/>
  <c r="K3229" i="24"/>
  <c r="K3230" i="24"/>
  <c r="K3231" i="24"/>
  <c r="K3232" i="24"/>
  <c r="K3233" i="24"/>
  <c r="J3211" i="24" l="1"/>
  <c r="T2071" i="20"/>
  <c r="O3082" i="20"/>
  <c r="Y3734" i="20"/>
  <c r="AC3734" i="20" l="1"/>
  <c r="AD3734" i="20"/>
  <c r="AC2071" i="20"/>
  <c r="AD2071" i="20"/>
  <c r="O3482" i="20"/>
  <c r="O3483" i="20"/>
  <c r="O84" i="20"/>
  <c r="O14" i="20"/>
  <c r="O1620" i="20"/>
  <c r="O3385" i="20"/>
  <c r="O4772" i="20"/>
  <c r="O3734" i="20"/>
  <c r="O2071" i="20"/>
  <c r="J3216" i="24"/>
  <c r="K3216" i="24" s="1"/>
  <c r="J3221" i="24"/>
  <c r="K3221" i="24" s="1"/>
  <c r="J3226" i="24"/>
  <c r="K3226" i="24" s="1"/>
  <c r="O2708" i="20"/>
  <c r="J3225" i="24"/>
  <c r="K3225" i="24" s="1"/>
  <c r="J3220" i="24"/>
  <c r="K3220" i="24" s="1"/>
  <c r="J3219" i="24"/>
  <c r="K3219" i="24" s="1"/>
  <c r="J3214" i="24"/>
  <c r="K3214" i="24" s="1"/>
  <c r="K3222" i="24"/>
  <c r="K3223" i="24"/>
  <c r="K3224" i="24"/>
  <c r="J3212" i="24"/>
  <c r="K3212" i="24" s="1"/>
  <c r="J3218" i="24"/>
  <c r="K3218" i="24" s="1"/>
  <c r="K3211" i="24"/>
  <c r="J3213" i="24"/>
  <c r="K3213" i="24" s="1"/>
  <c r="J3199" i="24"/>
  <c r="K3199" i="24" s="1"/>
  <c r="J3210" i="24"/>
  <c r="K3210" i="24" s="1"/>
  <c r="J3205" i="24"/>
  <c r="K3205" i="24" s="1"/>
  <c r="AA4863" i="20"/>
  <c r="K3215" i="24"/>
  <c r="K3217" i="24"/>
  <c r="J3202" i="24"/>
  <c r="K3202" i="24" s="1"/>
  <c r="K3204" i="24"/>
  <c r="K3208" i="24"/>
  <c r="K3209" i="24"/>
  <c r="J3203" i="24"/>
  <c r="K3203" i="24" s="1"/>
  <c r="J3201" i="24"/>
  <c r="K3201" i="24" s="1"/>
  <c r="J3197" i="24"/>
  <c r="K3197" i="24" s="1"/>
  <c r="J3200" i="24"/>
  <c r="K3200" i="24" s="1"/>
  <c r="O1728" i="20"/>
  <c r="K3206" i="24"/>
  <c r="K3207" i="24"/>
  <c r="J3174" i="24"/>
  <c r="K3174" i="24" s="1"/>
  <c r="J3196" i="24"/>
  <c r="K3196" i="24" s="1"/>
  <c r="J3172" i="24"/>
  <c r="K3172" i="24" s="1"/>
  <c r="J3137" i="24"/>
  <c r="K3137" i="24" s="1"/>
  <c r="J3168" i="24"/>
  <c r="K3168" i="24" s="1"/>
  <c r="J3190" i="24"/>
  <c r="K3190" i="24" s="1"/>
  <c r="K3198" i="24"/>
  <c r="J3193" i="24"/>
  <c r="K3193" i="24" s="1"/>
  <c r="J3187" i="24"/>
  <c r="K3187" i="24" s="1"/>
  <c r="J3194" i="24"/>
  <c r="K3194" i="24" s="1"/>
  <c r="K3178" i="24"/>
  <c r="J3183" i="24"/>
  <c r="K3183" i="24" s="1"/>
  <c r="K3188" i="24"/>
  <c r="K3189" i="24"/>
  <c r="K3191" i="24"/>
  <c r="K3192" i="24"/>
  <c r="K3195" i="24"/>
  <c r="J3177" i="24"/>
  <c r="K3177" i="24" s="1"/>
  <c r="J3181" i="24"/>
  <c r="K3181" i="24" s="1"/>
  <c r="J3155" i="24"/>
  <c r="K3155" i="24" s="1"/>
  <c r="J3185" i="24"/>
  <c r="K3185" i="24" s="1"/>
  <c r="J3173" i="24"/>
  <c r="K3173" i="24" s="1"/>
  <c r="J3118" i="24"/>
  <c r="K3118" i="24" s="1"/>
  <c r="J3169" i="24"/>
  <c r="K3169" i="24" s="1"/>
  <c r="J3179" i="24"/>
  <c r="K3179" i="24" s="1"/>
  <c r="K3180" i="24"/>
  <c r="K3182" i="24"/>
  <c r="K3184" i="24"/>
  <c r="K3186" i="24"/>
  <c r="J3176" i="24"/>
  <c r="K3176" i="24" s="1"/>
  <c r="J3164" i="24"/>
  <c r="K3164" i="24" s="1"/>
  <c r="J3170" i="24"/>
  <c r="K3170" i="24" s="1"/>
  <c r="J3163" i="24"/>
  <c r="K3163" i="24" s="1"/>
  <c r="K3171" i="24"/>
  <c r="K3175" i="24"/>
  <c r="J3157" i="24"/>
  <c r="K3157" i="24" s="1"/>
  <c r="J3165" i="24"/>
  <c r="K3165" i="24" s="1"/>
  <c r="J3158" i="24"/>
  <c r="K3158" i="24" s="1"/>
  <c r="J3166" i="24"/>
  <c r="K3166" i="24" s="1"/>
  <c r="D11" i="27"/>
  <c r="J3" i="24"/>
  <c r="K3" i="24" s="1"/>
  <c r="J4" i="24"/>
  <c r="K4" i="24" s="1"/>
  <c r="J5" i="24"/>
  <c r="K5" i="24" s="1"/>
  <c r="J6" i="24"/>
  <c r="K6" i="24" s="1"/>
  <c r="J7" i="24"/>
  <c r="K7" i="24" s="1"/>
  <c r="J8" i="24"/>
  <c r="K8" i="24" s="1"/>
  <c r="K9" i="24"/>
  <c r="J10" i="24"/>
  <c r="K10" i="24" s="1"/>
  <c r="J11" i="24"/>
  <c r="K11" i="24" s="1"/>
  <c r="J12" i="24"/>
  <c r="K12" i="24" s="1"/>
  <c r="J13" i="24"/>
  <c r="K13" i="24" s="1"/>
  <c r="J14" i="24"/>
  <c r="K14" i="24" s="1"/>
  <c r="J15" i="24"/>
  <c r="K15" i="24" s="1"/>
  <c r="J16" i="24"/>
  <c r="K16" i="24" s="1"/>
  <c r="J17" i="24"/>
  <c r="K17" i="24" s="1"/>
  <c r="J18" i="24"/>
  <c r="K18" i="24" s="1"/>
  <c r="J19" i="24"/>
  <c r="K19" i="24" s="1"/>
  <c r="K20" i="24"/>
  <c r="J21" i="24"/>
  <c r="K21" i="24" s="1"/>
  <c r="J22" i="24"/>
  <c r="K22" i="24" s="1"/>
  <c r="J23" i="24"/>
  <c r="K23" i="24" s="1"/>
  <c r="J24" i="24"/>
  <c r="K24" i="24" s="1"/>
  <c r="J25" i="24"/>
  <c r="K25" i="24" s="1"/>
  <c r="K26" i="24"/>
  <c r="J27" i="24"/>
  <c r="K27" i="24" s="1"/>
  <c r="J28" i="24"/>
  <c r="K28" i="24" s="1"/>
  <c r="J29" i="24"/>
  <c r="K29" i="24" s="1"/>
  <c r="J30" i="24"/>
  <c r="K30" i="24" s="1"/>
  <c r="J31" i="24"/>
  <c r="K31" i="24" s="1"/>
  <c r="J32" i="24"/>
  <c r="K32" i="24" s="1"/>
  <c r="J33" i="24"/>
  <c r="K33" i="24" s="1"/>
  <c r="J34" i="24"/>
  <c r="K34" i="24" s="1"/>
  <c r="J35" i="24"/>
  <c r="K35" i="24" s="1"/>
  <c r="J36" i="24"/>
  <c r="K36" i="24" s="1"/>
  <c r="J37" i="24"/>
  <c r="K37" i="24" s="1"/>
  <c r="J38" i="24"/>
  <c r="K38" i="24" s="1"/>
  <c r="K39" i="24"/>
  <c r="J40" i="24"/>
  <c r="K40" i="24" s="1"/>
  <c r="J41" i="24"/>
  <c r="K41" i="24" s="1"/>
  <c r="J42" i="24"/>
  <c r="K42" i="24" s="1"/>
  <c r="K43" i="24"/>
  <c r="K44" i="24"/>
  <c r="J45" i="24"/>
  <c r="K45" i="24" s="1"/>
  <c r="K46" i="24"/>
  <c r="J47" i="24"/>
  <c r="K47" i="24" s="1"/>
  <c r="J48" i="24"/>
  <c r="K48" i="24" s="1"/>
  <c r="J49" i="24"/>
  <c r="K49" i="24" s="1"/>
  <c r="J50" i="24"/>
  <c r="K50" i="24" s="1"/>
  <c r="K51" i="24"/>
  <c r="K52" i="24"/>
  <c r="K53" i="24"/>
  <c r="J54" i="24"/>
  <c r="K54" i="24" s="1"/>
  <c r="K55" i="24"/>
  <c r="K56" i="24"/>
  <c r="K57" i="24"/>
  <c r="J58" i="24"/>
  <c r="K58" i="24" s="1"/>
  <c r="J59" i="24"/>
  <c r="K59" i="24" s="1"/>
  <c r="J60" i="24"/>
  <c r="K60" i="24" s="1"/>
  <c r="J61" i="24"/>
  <c r="K61" i="24" s="1"/>
  <c r="J62" i="24"/>
  <c r="K62" i="24" s="1"/>
  <c r="K63" i="24"/>
  <c r="K64" i="24"/>
  <c r="K65" i="24"/>
  <c r="J66" i="24"/>
  <c r="K66" i="24" s="1"/>
  <c r="J67" i="24"/>
  <c r="K67" i="24" s="1"/>
  <c r="K68" i="24"/>
  <c r="J69" i="24"/>
  <c r="K69" i="24" s="1"/>
  <c r="J70" i="24"/>
  <c r="K70" i="24" s="1"/>
  <c r="K71" i="24"/>
  <c r="J72" i="24"/>
  <c r="K72" i="24" s="1"/>
  <c r="J73" i="24"/>
  <c r="K73" i="24" s="1"/>
  <c r="J74" i="24"/>
  <c r="K74" i="24" s="1"/>
  <c r="J75" i="24"/>
  <c r="K75" i="24" s="1"/>
  <c r="K76" i="24"/>
  <c r="K77" i="24"/>
  <c r="K78" i="24"/>
  <c r="K79" i="24"/>
  <c r="K80" i="24"/>
  <c r="K81" i="24"/>
  <c r="J82" i="24"/>
  <c r="K82" i="24" s="1"/>
  <c r="J83" i="24"/>
  <c r="K83" i="24" s="1"/>
  <c r="K84" i="24"/>
  <c r="K85" i="24"/>
  <c r="J86" i="24"/>
  <c r="K86" i="24" s="1"/>
  <c r="J87" i="24"/>
  <c r="K87" i="24" s="1"/>
  <c r="J88" i="24"/>
  <c r="K88" i="24" s="1"/>
  <c r="J89" i="24"/>
  <c r="K89" i="24" s="1"/>
  <c r="K90" i="24"/>
  <c r="J91" i="24"/>
  <c r="K91" i="24" s="1"/>
  <c r="J92" i="24"/>
  <c r="K92" i="24" s="1"/>
  <c r="J93" i="24"/>
  <c r="K93" i="24" s="1"/>
  <c r="K94" i="24"/>
  <c r="K95" i="24"/>
  <c r="K96" i="24"/>
  <c r="K97" i="24"/>
  <c r="K98" i="24"/>
  <c r="J99" i="24"/>
  <c r="K99" i="24" s="1"/>
  <c r="J100" i="24"/>
  <c r="K100" i="24" s="1"/>
  <c r="J101" i="24"/>
  <c r="K101" i="24" s="1"/>
  <c r="K102" i="24"/>
  <c r="J103" i="24"/>
  <c r="K103" i="24" s="1"/>
  <c r="J104" i="24"/>
  <c r="K104" i="24" s="1"/>
  <c r="J105" i="24"/>
  <c r="K105" i="24" s="1"/>
  <c r="J106" i="24"/>
  <c r="K106" i="24" s="1"/>
  <c r="J107" i="24"/>
  <c r="K107" i="24" s="1"/>
  <c r="J108" i="24"/>
  <c r="K108" i="24" s="1"/>
  <c r="J109" i="24"/>
  <c r="K109" i="24" s="1"/>
  <c r="J110" i="24"/>
  <c r="K110" i="24" s="1"/>
  <c r="J111" i="24"/>
  <c r="K111" i="24" s="1"/>
  <c r="K112" i="24"/>
  <c r="J113" i="24"/>
  <c r="K113" i="24" s="1"/>
  <c r="J114" i="24"/>
  <c r="K114" i="24" s="1"/>
  <c r="J115" i="24"/>
  <c r="K115" i="24" s="1"/>
  <c r="J116" i="24"/>
  <c r="K116" i="24" s="1"/>
  <c r="J117" i="24"/>
  <c r="K117" i="24" s="1"/>
  <c r="K118" i="24"/>
  <c r="J119" i="24"/>
  <c r="K119" i="24" s="1"/>
  <c r="K120" i="24"/>
  <c r="J121" i="24"/>
  <c r="K121" i="24" s="1"/>
  <c r="K122" i="24"/>
  <c r="J123" i="24"/>
  <c r="K123" i="24" s="1"/>
  <c r="J124" i="24"/>
  <c r="K124" i="24" s="1"/>
  <c r="J125" i="24"/>
  <c r="K125" i="24" s="1"/>
  <c r="J126" i="24"/>
  <c r="K126" i="24" s="1"/>
  <c r="J127" i="24"/>
  <c r="K127" i="24" s="1"/>
  <c r="J128" i="24"/>
  <c r="K128" i="24" s="1"/>
  <c r="J129" i="24"/>
  <c r="K129" i="24" s="1"/>
  <c r="K130" i="24"/>
  <c r="J131" i="24"/>
  <c r="K131" i="24" s="1"/>
  <c r="J132" i="24"/>
  <c r="K132" i="24" s="1"/>
  <c r="J133" i="24"/>
  <c r="K133" i="24" s="1"/>
  <c r="J134" i="24"/>
  <c r="K134" i="24" s="1"/>
  <c r="J135" i="24"/>
  <c r="K135" i="24" s="1"/>
  <c r="J136" i="24"/>
  <c r="K136" i="24" s="1"/>
  <c r="J137" i="24"/>
  <c r="K137" i="24" s="1"/>
  <c r="J138" i="24"/>
  <c r="K138" i="24" s="1"/>
  <c r="K139" i="24"/>
  <c r="K140" i="24"/>
  <c r="J141" i="24"/>
  <c r="K141" i="24" s="1"/>
  <c r="J142" i="24"/>
  <c r="K142" i="24" s="1"/>
  <c r="J143" i="24"/>
  <c r="K143" i="24" s="1"/>
  <c r="J144" i="24"/>
  <c r="K144" i="24" s="1"/>
  <c r="J145" i="24"/>
  <c r="K145" i="24" s="1"/>
  <c r="K146" i="24"/>
  <c r="J147" i="24"/>
  <c r="K147" i="24" s="1"/>
  <c r="K148" i="24"/>
  <c r="K149" i="24"/>
  <c r="J150" i="24"/>
  <c r="K150" i="24" s="1"/>
  <c r="K151" i="24"/>
  <c r="K152" i="24"/>
  <c r="K153" i="24"/>
  <c r="J154" i="24"/>
  <c r="K154" i="24" s="1"/>
  <c r="J155" i="24"/>
  <c r="K155" i="24" s="1"/>
  <c r="J156" i="24"/>
  <c r="K156" i="24" s="1"/>
  <c r="J157" i="24"/>
  <c r="K157" i="24" s="1"/>
  <c r="J158" i="24"/>
  <c r="K158" i="24" s="1"/>
  <c r="J159" i="24"/>
  <c r="K159" i="24" s="1"/>
  <c r="J160" i="24"/>
  <c r="K160" i="24" s="1"/>
  <c r="J161" i="24"/>
  <c r="K161" i="24" s="1"/>
  <c r="K162" i="24"/>
  <c r="J163" i="24"/>
  <c r="K163" i="24" s="1"/>
  <c r="J164" i="24"/>
  <c r="K164" i="24" s="1"/>
  <c r="K165" i="24"/>
  <c r="J166" i="24"/>
  <c r="K166" i="24" s="1"/>
  <c r="J167" i="24"/>
  <c r="K167" i="24" s="1"/>
  <c r="J168" i="24"/>
  <c r="K168" i="24" s="1"/>
  <c r="K169" i="24"/>
  <c r="J170" i="24"/>
  <c r="K170" i="24" s="1"/>
  <c r="K171" i="24"/>
  <c r="K172" i="24"/>
  <c r="J173" i="24"/>
  <c r="K173" i="24" s="1"/>
  <c r="J174" i="24"/>
  <c r="K174" i="24" s="1"/>
  <c r="J175" i="24"/>
  <c r="K175" i="24" s="1"/>
  <c r="J176" i="24"/>
  <c r="K176" i="24" s="1"/>
  <c r="K177" i="24"/>
  <c r="K178" i="24"/>
  <c r="K179" i="24"/>
  <c r="K180" i="24"/>
  <c r="K181" i="24"/>
  <c r="J182" i="24"/>
  <c r="K182" i="24" s="1"/>
  <c r="J183" i="24"/>
  <c r="K183" i="24" s="1"/>
  <c r="K184" i="24"/>
  <c r="K185" i="24"/>
  <c r="J186" i="24"/>
  <c r="K186" i="24" s="1"/>
  <c r="J187" i="24"/>
  <c r="K187" i="24" s="1"/>
  <c r="J188" i="24"/>
  <c r="K188" i="24" s="1"/>
  <c r="K189" i="24"/>
  <c r="J190" i="24"/>
  <c r="K190" i="24" s="1"/>
  <c r="J191" i="24"/>
  <c r="K191" i="24" s="1"/>
  <c r="J192" i="24"/>
  <c r="K192" i="24" s="1"/>
  <c r="J193" i="24"/>
  <c r="K193" i="24" s="1"/>
  <c r="J194" i="24"/>
  <c r="K194" i="24" s="1"/>
  <c r="J195" i="24"/>
  <c r="K195" i="24" s="1"/>
  <c r="J196" i="24"/>
  <c r="K196" i="24" s="1"/>
  <c r="J197" i="24"/>
  <c r="K197" i="24" s="1"/>
  <c r="J198" i="24"/>
  <c r="K198" i="24" s="1"/>
  <c r="J199" i="24"/>
  <c r="K199" i="24" s="1"/>
  <c r="J200" i="24"/>
  <c r="K200" i="24" s="1"/>
  <c r="J201" i="24"/>
  <c r="K201" i="24" s="1"/>
  <c r="J202" i="24"/>
  <c r="K202" i="24" s="1"/>
  <c r="J203" i="24"/>
  <c r="K203" i="24" s="1"/>
  <c r="J204" i="24"/>
  <c r="K204" i="24" s="1"/>
  <c r="K205" i="24"/>
  <c r="J206" i="24"/>
  <c r="K206" i="24" s="1"/>
  <c r="K207" i="24"/>
  <c r="K208" i="24"/>
  <c r="J209" i="24"/>
  <c r="K209" i="24" s="1"/>
  <c r="K210" i="24"/>
  <c r="K211" i="24"/>
  <c r="J212" i="24"/>
  <c r="K212" i="24" s="1"/>
  <c r="J213" i="24"/>
  <c r="K213" i="24" s="1"/>
  <c r="J214" i="24"/>
  <c r="K214" i="24" s="1"/>
  <c r="J215" i="24"/>
  <c r="K215" i="24" s="1"/>
  <c r="J216" i="24"/>
  <c r="K216" i="24" s="1"/>
  <c r="J217" i="24"/>
  <c r="K217" i="24" s="1"/>
  <c r="K218" i="24"/>
  <c r="J219" i="24"/>
  <c r="K219" i="24" s="1"/>
  <c r="J220" i="24"/>
  <c r="K220" i="24" s="1"/>
  <c r="J221" i="24"/>
  <c r="K221" i="24" s="1"/>
  <c r="J222" i="24"/>
  <c r="K222" i="24" s="1"/>
  <c r="K223" i="24"/>
  <c r="K224" i="24"/>
  <c r="J225" i="24"/>
  <c r="K225" i="24" s="1"/>
  <c r="J226" i="24"/>
  <c r="K226" i="24" s="1"/>
  <c r="J227" i="24"/>
  <c r="K227" i="24" s="1"/>
  <c r="K228" i="24"/>
  <c r="J229" i="24"/>
  <c r="K229" i="24" s="1"/>
  <c r="J230" i="24"/>
  <c r="K230" i="24" s="1"/>
  <c r="K231" i="24"/>
  <c r="K232" i="24"/>
  <c r="J233" i="24"/>
  <c r="K233" i="24" s="1"/>
  <c r="K234" i="24"/>
  <c r="J235" i="24"/>
  <c r="K235" i="24" s="1"/>
  <c r="J236" i="24"/>
  <c r="K236" i="24" s="1"/>
  <c r="J237" i="24"/>
  <c r="K237" i="24" s="1"/>
  <c r="J238" i="24"/>
  <c r="K238" i="24" s="1"/>
  <c r="J239" i="24"/>
  <c r="K239" i="24" s="1"/>
  <c r="K240" i="24"/>
  <c r="J241" i="24"/>
  <c r="K241" i="24" s="1"/>
  <c r="K242" i="24"/>
  <c r="J243" i="24"/>
  <c r="K243" i="24" s="1"/>
  <c r="J244" i="24"/>
  <c r="K244" i="24" s="1"/>
  <c r="J245" i="24"/>
  <c r="K245" i="24" s="1"/>
  <c r="J246" i="24"/>
  <c r="K246" i="24" s="1"/>
  <c r="J247" i="24"/>
  <c r="K247" i="24" s="1"/>
  <c r="J248" i="24"/>
  <c r="K248" i="24" s="1"/>
  <c r="J249" i="24"/>
  <c r="K249" i="24" s="1"/>
  <c r="J250" i="24"/>
  <c r="K250" i="24" s="1"/>
  <c r="J251" i="24"/>
  <c r="K251" i="24" s="1"/>
  <c r="K252" i="24"/>
  <c r="J253" i="24"/>
  <c r="K253" i="24" s="1"/>
  <c r="J254" i="24"/>
  <c r="K254" i="24" s="1"/>
  <c r="K255" i="24"/>
  <c r="J256" i="24"/>
  <c r="K256" i="24" s="1"/>
  <c r="J257" i="24"/>
  <c r="K257" i="24" s="1"/>
  <c r="J258" i="24"/>
  <c r="K258" i="24" s="1"/>
  <c r="J259" i="24"/>
  <c r="K259" i="24" s="1"/>
  <c r="J260" i="24"/>
  <c r="K260" i="24" s="1"/>
  <c r="K261" i="24"/>
  <c r="K262" i="24"/>
  <c r="K263" i="24"/>
  <c r="J264" i="24"/>
  <c r="K264" i="24" s="1"/>
  <c r="J265" i="24"/>
  <c r="K265" i="24" s="1"/>
  <c r="J266" i="24"/>
  <c r="K266" i="24" s="1"/>
  <c r="J267" i="24"/>
  <c r="K267" i="24" s="1"/>
  <c r="J268" i="24"/>
  <c r="K268" i="24" s="1"/>
  <c r="J269" i="24"/>
  <c r="K269" i="24" s="1"/>
  <c r="J270" i="24"/>
  <c r="K270" i="24" s="1"/>
  <c r="J271" i="24"/>
  <c r="K271" i="24" s="1"/>
  <c r="J272" i="24"/>
  <c r="K272" i="24" s="1"/>
  <c r="J273" i="24"/>
  <c r="K273" i="24" s="1"/>
  <c r="J274" i="24"/>
  <c r="K274" i="24" s="1"/>
  <c r="J275" i="24"/>
  <c r="K275" i="24" s="1"/>
  <c r="J276" i="24"/>
  <c r="K276" i="24" s="1"/>
  <c r="J277" i="24"/>
  <c r="K277" i="24" s="1"/>
  <c r="J278" i="24"/>
  <c r="K278" i="24" s="1"/>
  <c r="J279" i="24"/>
  <c r="K279" i="24" s="1"/>
  <c r="J280" i="24"/>
  <c r="K280" i="24" s="1"/>
  <c r="J281" i="24"/>
  <c r="K281" i="24" s="1"/>
  <c r="J282" i="24"/>
  <c r="K282" i="24" s="1"/>
  <c r="J283" i="24"/>
  <c r="K283" i="24" s="1"/>
  <c r="K284" i="24"/>
  <c r="J285" i="24"/>
  <c r="K285" i="24" s="1"/>
  <c r="J286" i="24"/>
  <c r="K286" i="24" s="1"/>
  <c r="K287" i="24"/>
  <c r="J288" i="24"/>
  <c r="K288" i="24" s="1"/>
  <c r="J289" i="24"/>
  <c r="K289" i="24" s="1"/>
  <c r="J290" i="24"/>
  <c r="K290" i="24" s="1"/>
  <c r="J291" i="24"/>
  <c r="K291" i="24" s="1"/>
  <c r="J292" i="24"/>
  <c r="K292" i="24" s="1"/>
  <c r="I293" i="24"/>
  <c r="J293" i="24"/>
  <c r="J294" i="24"/>
  <c r="K294" i="24" s="1"/>
  <c r="J295" i="24"/>
  <c r="K295" i="24" s="1"/>
  <c r="J296" i="24"/>
  <c r="K296" i="24" s="1"/>
  <c r="J297" i="24"/>
  <c r="K297" i="24" s="1"/>
  <c r="J298" i="24"/>
  <c r="K298" i="24" s="1"/>
  <c r="J299" i="24"/>
  <c r="K299" i="24" s="1"/>
  <c r="J300" i="24"/>
  <c r="K300" i="24" s="1"/>
  <c r="K301" i="24"/>
  <c r="J302" i="24"/>
  <c r="K302" i="24" s="1"/>
  <c r="J303" i="24"/>
  <c r="K303" i="24" s="1"/>
  <c r="J304" i="24"/>
  <c r="K304" i="24" s="1"/>
  <c r="J305" i="24"/>
  <c r="K305" i="24" s="1"/>
  <c r="J306" i="24"/>
  <c r="K306" i="24" s="1"/>
  <c r="K307" i="24"/>
  <c r="J308" i="24"/>
  <c r="K308" i="24" s="1"/>
  <c r="J309" i="24"/>
  <c r="K309" i="24" s="1"/>
  <c r="K310" i="24"/>
  <c r="K311" i="24"/>
  <c r="J312" i="24"/>
  <c r="K312" i="24" s="1"/>
  <c r="J313" i="24"/>
  <c r="K313" i="24" s="1"/>
  <c r="J314" i="24"/>
  <c r="K314" i="24" s="1"/>
  <c r="J315" i="24"/>
  <c r="K315" i="24" s="1"/>
  <c r="I316" i="24"/>
  <c r="J316" i="24"/>
  <c r="J317" i="24"/>
  <c r="K317" i="24" s="1"/>
  <c r="J318" i="24"/>
  <c r="K318" i="24" s="1"/>
  <c r="J319" i="24"/>
  <c r="K319" i="24" s="1"/>
  <c r="J320" i="24"/>
  <c r="K320" i="24" s="1"/>
  <c r="J321" i="24"/>
  <c r="K321" i="24" s="1"/>
  <c r="J322" i="24"/>
  <c r="K322" i="24" s="1"/>
  <c r="J323" i="24"/>
  <c r="K323" i="24" s="1"/>
  <c r="K324" i="24"/>
  <c r="K325" i="24"/>
  <c r="J326" i="24"/>
  <c r="K326" i="24" s="1"/>
  <c r="J327" i="24"/>
  <c r="K327" i="24" s="1"/>
  <c r="K328" i="24"/>
  <c r="J329" i="24"/>
  <c r="K329" i="24" s="1"/>
  <c r="J330" i="24"/>
  <c r="K330" i="24" s="1"/>
  <c r="J331" i="24"/>
  <c r="K331" i="24" s="1"/>
  <c r="J332" i="24"/>
  <c r="K332" i="24" s="1"/>
  <c r="K333" i="24"/>
  <c r="J334" i="24"/>
  <c r="K334" i="24" s="1"/>
  <c r="J335" i="24"/>
  <c r="K335" i="24" s="1"/>
  <c r="J336" i="24"/>
  <c r="K336" i="24" s="1"/>
  <c r="K337" i="24"/>
  <c r="J338" i="24"/>
  <c r="K338" i="24" s="1"/>
  <c r="J339" i="24"/>
  <c r="K339" i="24" s="1"/>
  <c r="J340" i="24"/>
  <c r="K340" i="24" s="1"/>
  <c r="J341" i="24"/>
  <c r="K341" i="24" s="1"/>
  <c r="J342" i="24"/>
  <c r="K342" i="24" s="1"/>
  <c r="J343" i="24"/>
  <c r="K343" i="24" s="1"/>
  <c r="K344" i="24"/>
  <c r="J345" i="24"/>
  <c r="K345" i="24" s="1"/>
  <c r="K346" i="24"/>
  <c r="K347" i="24"/>
  <c r="K348" i="24"/>
  <c r="J349" i="24"/>
  <c r="K349" i="24" s="1"/>
  <c r="J350" i="24"/>
  <c r="K350" i="24" s="1"/>
  <c r="J351" i="24"/>
  <c r="K351" i="24" s="1"/>
  <c r="J352" i="24"/>
  <c r="K352" i="24" s="1"/>
  <c r="J353" i="24"/>
  <c r="K353" i="24" s="1"/>
  <c r="K354" i="24"/>
  <c r="J355" i="24"/>
  <c r="K355" i="24" s="1"/>
  <c r="J356" i="24"/>
  <c r="K356" i="24" s="1"/>
  <c r="J357" i="24"/>
  <c r="K357" i="24" s="1"/>
  <c r="J358" i="24"/>
  <c r="K358" i="24" s="1"/>
  <c r="K359" i="24"/>
  <c r="K360" i="24"/>
  <c r="J361" i="24"/>
  <c r="K361" i="24" s="1"/>
  <c r="J362" i="24"/>
  <c r="K362" i="24" s="1"/>
  <c r="J363" i="24"/>
  <c r="K363" i="24" s="1"/>
  <c r="J364" i="24"/>
  <c r="K364" i="24" s="1"/>
  <c r="K365" i="24"/>
  <c r="J366" i="24"/>
  <c r="K366" i="24" s="1"/>
  <c r="J367" i="24"/>
  <c r="K367" i="24" s="1"/>
  <c r="J368" i="24"/>
  <c r="K368" i="24" s="1"/>
  <c r="J369" i="24"/>
  <c r="K369" i="24" s="1"/>
  <c r="J370" i="24"/>
  <c r="K370" i="24" s="1"/>
  <c r="J371" i="24"/>
  <c r="K371" i="24" s="1"/>
  <c r="J372" i="24"/>
  <c r="K372" i="24" s="1"/>
  <c r="K373" i="24"/>
  <c r="J374" i="24"/>
  <c r="K374" i="24" s="1"/>
  <c r="J375" i="24"/>
  <c r="K375" i="24" s="1"/>
  <c r="J376" i="24"/>
  <c r="K376" i="24" s="1"/>
  <c r="J377" i="24"/>
  <c r="K377" i="24" s="1"/>
  <c r="J378" i="24"/>
  <c r="K378" i="24" s="1"/>
  <c r="J379" i="24"/>
  <c r="K379" i="24" s="1"/>
  <c r="K380" i="24"/>
  <c r="K381" i="24"/>
  <c r="K382" i="24"/>
  <c r="K383" i="24"/>
  <c r="J384" i="24"/>
  <c r="K384" i="24" s="1"/>
  <c r="J385" i="24"/>
  <c r="K385" i="24" s="1"/>
  <c r="J386" i="24"/>
  <c r="K386" i="24" s="1"/>
  <c r="J387" i="24"/>
  <c r="K387" i="24" s="1"/>
  <c r="J388" i="24"/>
  <c r="K388" i="24" s="1"/>
  <c r="J389" i="24"/>
  <c r="K389" i="24" s="1"/>
  <c r="J390" i="24"/>
  <c r="K390" i="24" s="1"/>
  <c r="J391" i="24"/>
  <c r="K391" i="24" s="1"/>
  <c r="J392" i="24"/>
  <c r="K392" i="24" s="1"/>
  <c r="J393" i="24"/>
  <c r="K393" i="24" s="1"/>
  <c r="J394" i="24"/>
  <c r="K394" i="24" s="1"/>
  <c r="J395" i="24"/>
  <c r="K395" i="24" s="1"/>
  <c r="J396" i="24"/>
  <c r="K396" i="24" s="1"/>
  <c r="J397" i="24"/>
  <c r="K397" i="24" s="1"/>
  <c r="J398" i="24"/>
  <c r="K398" i="24" s="1"/>
  <c r="K399" i="24"/>
  <c r="J400" i="24"/>
  <c r="K400" i="24" s="1"/>
  <c r="K401" i="24"/>
  <c r="J402" i="24"/>
  <c r="K402" i="24" s="1"/>
  <c r="J403" i="24"/>
  <c r="K403" i="24" s="1"/>
  <c r="K404" i="24"/>
  <c r="J405" i="24"/>
  <c r="K405" i="24" s="1"/>
  <c r="J406" i="24"/>
  <c r="K406" i="24" s="1"/>
  <c r="J407" i="24"/>
  <c r="K407" i="24" s="1"/>
  <c r="J408" i="24"/>
  <c r="K408" i="24" s="1"/>
  <c r="K409" i="24"/>
  <c r="K410" i="24"/>
  <c r="K411" i="24"/>
  <c r="J412" i="24"/>
  <c r="K412" i="24" s="1"/>
  <c r="K413" i="24"/>
  <c r="J414" i="24"/>
  <c r="K414" i="24" s="1"/>
  <c r="J415" i="24"/>
  <c r="K415" i="24" s="1"/>
  <c r="J416" i="24"/>
  <c r="K416" i="24" s="1"/>
  <c r="J417" i="24"/>
  <c r="K417" i="24" s="1"/>
  <c r="J418" i="24"/>
  <c r="K418" i="24" s="1"/>
  <c r="K419" i="24"/>
  <c r="J420" i="24"/>
  <c r="K420" i="24" s="1"/>
  <c r="K421" i="24"/>
  <c r="K422" i="24"/>
  <c r="K423" i="24"/>
  <c r="K424" i="24"/>
  <c r="J425" i="24"/>
  <c r="K425" i="24" s="1"/>
  <c r="J426" i="24"/>
  <c r="K426" i="24" s="1"/>
  <c r="J427" i="24"/>
  <c r="K427" i="24" s="1"/>
  <c r="J428" i="24"/>
  <c r="K428" i="24" s="1"/>
  <c r="J429" i="24"/>
  <c r="K429" i="24" s="1"/>
  <c r="J430" i="24"/>
  <c r="K430" i="24" s="1"/>
  <c r="J431" i="24"/>
  <c r="K431" i="24" s="1"/>
  <c r="J432" i="24"/>
  <c r="K432" i="24" s="1"/>
  <c r="K433" i="24"/>
  <c r="J434" i="24"/>
  <c r="K434" i="24" s="1"/>
  <c r="J435" i="24"/>
  <c r="K435" i="24" s="1"/>
  <c r="J436" i="24"/>
  <c r="K436" i="24" s="1"/>
  <c r="J437" i="24"/>
  <c r="K437" i="24" s="1"/>
  <c r="K438" i="24"/>
  <c r="J439" i="24"/>
  <c r="K439" i="24" s="1"/>
  <c r="J440" i="24"/>
  <c r="K440" i="24" s="1"/>
  <c r="K441" i="24"/>
  <c r="J442" i="24"/>
  <c r="K442" i="24" s="1"/>
  <c r="J443" i="24"/>
  <c r="K443" i="24" s="1"/>
  <c r="J444" i="24"/>
  <c r="K444" i="24" s="1"/>
  <c r="J445" i="24"/>
  <c r="K445" i="24" s="1"/>
  <c r="K446" i="24"/>
  <c r="J447" i="24"/>
  <c r="K447" i="24" s="1"/>
  <c r="J448" i="24"/>
  <c r="K448" i="24" s="1"/>
  <c r="K449" i="24"/>
  <c r="K450" i="24"/>
  <c r="K451" i="24"/>
  <c r="J452" i="24"/>
  <c r="K452" i="24" s="1"/>
  <c r="J453" i="24"/>
  <c r="K453" i="24" s="1"/>
  <c r="J454" i="24"/>
  <c r="K454" i="24" s="1"/>
  <c r="J455" i="24"/>
  <c r="K455" i="24" s="1"/>
  <c r="K456" i="24"/>
  <c r="J457" i="24"/>
  <c r="K457" i="24" s="1"/>
  <c r="K458" i="24"/>
  <c r="K459" i="24"/>
  <c r="K460" i="24"/>
  <c r="K461" i="24"/>
  <c r="J462" i="24"/>
  <c r="K462" i="24" s="1"/>
  <c r="J463" i="24"/>
  <c r="K463" i="24" s="1"/>
  <c r="J464" i="24"/>
  <c r="K464" i="24" s="1"/>
  <c r="J465" i="24"/>
  <c r="K465" i="24" s="1"/>
  <c r="J466" i="24"/>
  <c r="K466" i="24" s="1"/>
  <c r="J467" i="24"/>
  <c r="K467" i="24" s="1"/>
  <c r="K468" i="24"/>
  <c r="J469" i="24"/>
  <c r="K469" i="24" s="1"/>
  <c r="J470" i="24"/>
  <c r="K470" i="24" s="1"/>
  <c r="J471" i="24"/>
  <c r="K471" i="24" s="1"/>
  <c r="J472" i="24"/>
  <c r="K472" i="24" s="1"/>
  <c r="J473" i="24"/>
  <c r="K473" i="24" s="1"/>
  <c r="K474" i="24"/>
  <c r="J475" i="24"/>
  <c r="K475" i="24" s="1"/>
  <c r="J476" i="24"/>
  <c r="K476" i="24" s="1"/>
  <c r="J477" i="24"/>
  <c r="K477" i="24" s="1"/>
  <c r="J478" i="24"/>
  <c r="K478" i="24" s="1"/>
  <c r="K479" i="24"/>
  <c r="K480" i="24"/>
  <c r="K481" i="24"/>
  <c r="J482" i="24"/>
  <c r="K482" i="24" s="1"/>
  <c r="J483" i="24"/>
  <c r="K483" i="24" s="1"/>
  <c r="K484" i="24"/>
  <c r="J485" i="24"/>
  <c r="K485" i="24" s="1"/>
  <c r="J486" i="24"/>
  <c r="K486" i="24" s="1"/>
  <c r="J487" i="24"/>
  <c r="K487" i="24" s="1"/>
  <c r="J488" i="24"/>
  <c r="K488" i="24" s="1"/>
  <c r="J489" i="24"/>
  <c r="K489" i="24" s="1"/>
  <c r="J490" i="24"/>
  <c r="K490" i="24" s="1"/>
  <c r="J491" i="24"/>
  <c r="K491" i="24" s="1"/>
  <c r="J492" i="24"/>
  <c r="K492" i="24" s="1"/>
  <c r="K493" i="24"/>
  <c r="K494" i="24"/>
  <c r="J495" i="24"/>
  <c r="K495" i="24" s="1"/>
  <c r="J496" i="24"/>
  <c r="K496" i="24" s="1"/>
  <c r="J497" i="24"/>
  <c r="K497" i="24" s="1"/>
  <c r="J498" i="24"/>
  <c r="K498" i="24" s="1"/>
  <c r="J499" i="24"/>
  <c r="K499" i="24" s="1"/>
  <c r="K500" i="24"/>
  <c r="J501" i="24"/>
  <c r="K501" i="24" s="1"/>
  <c r="J502" i="24"/>
  <c r="K502" i="24" s="1"/>
  <c r="J503" i="24"/>
  <c r="K503" i="24" s="1"/>
  <c r="J504" i="24"/>
  <c r="K504" i="24" s="1"/>
  <c r="J505" i="24"/>
  <c r="K505" i="24" s="1"/>
  <c r="J506" i="24"/>
  <c r="K506" i="24" s="1"/>
  <c r="J507" i="24"/>
  <c r="K507" i="24" s="1"/>
  <c r="J508" i="24"/>
  <c r="K508" i="24" s="1"/>
  <c r="J509" i="24"/>
  <c r="K509" i="24" s="1"/>
  <c r="J510" i="24"/>
  <c r="K510" i="24" s="1"/>
  <c r="J511" i="24"/>
  <c r="K511" i="24" s="1"/>
  <c r="K512" i="24"/>
  <c r="K513" i="24"/>
  <c r="J514" i="24"/>
  <c r="K514" i="24" s="1"/>
  <c r="K515" i="24"/>
  <c r="J516" i="24"/>
  <c r="K516" i="24" s="1"/>
  <c r="J517" i="24"/>
  <c r="K517" i="24" s="1"/>
  <c r="J518" i="24"/>
  <c r="K518" i="24" s="1"/>
  <c r="J519" i="24"/>
  <c r="K519" i="24" s="1"/>
  <c r="J520" i="24"/>
  <c r="K520" i="24" s="1"/>
  <c r="J521" i="24"/>
  <c r="K521" i="24" s="1"/>
  <c r="J522" i="24"/>
  <c r="K522" i="24" s="1"/>
  <c r="J523" i="24"/>
  <c r="K523" i="24" s="1"/>
  <c r="K524" i="24"/>
  <c r="K525" i="24"/>
  <c r="J526" i="24"/>
  <c r="K526" i="24" s="1"/>
  <c r="J527" i="24"/>
  <c r="K527" i="24" s="1"/>
  <c r="J528" i="24"/>
  <c r="K528" i="24" s="1"/>
  <c r="J529" i="24"/>
  <c r="K529" i="24" s="1"/>
  <c r="J530" i="24"/>
  <c r="K530" i="24" s="1"/>
  <c r="K531" i="24"/>
  <c r="J532" i="24"/>
  <c r="K532" i="24" s="1"/>
  <c r="J533" i="24"/>
  <c r="K533" i="24" s="1"/>
  <c r="J534" i="24"/>
  <c r="K534" i="24" s="1"/>
  <c r="J535" i="24"/>
  <c r="K535" i="24" s="1"/>
  <c r="J536" i="24"/>
  <c r="K536" i="24" s="1"/>
  <c r="J537" i="24"/>
  <c r="K537" i="24" s="1"/>
  <c r="J538" i="24"/>
  <c r="K538" i="24" s="1"/>
  <c r="J539" i="24"/>
  <c r="K539" i="24" s="1"/>
  <c r="J540" i="24"/>
  <c r="K540" i="24" s="1"/>
  <c r="J541" i="24"/>
  <c r="K541" i="24" s="1"/>
  <c r="J542" i="24"/>
  <c r="K542" i="24" s="1"/>
  <c r="J543" i="24"/>
  <c r="K543" i="24" s="1"/>
  <c r="J544" i="24"/>
  <c r="K544" i="24" s="1"/>
  <c r="J545" i="24"/>
  <c r="K545" i="24" s="1"/>
  <c r="J546" i="24"/>
  <c r="K546" i="24" s="1"/>
  <c r="J547" i="24"/>
  <c r="K547" i="24" s="1"/>
  <c r="J548" i="24"/>
  <c r="K548" i="24" s="1"/>
  <c r="J549" i="24"/>
  <c r="K549" i="24" s="1"/>
  <c r="J550" i="24"/>
  <c r="K550" i="24" s="1"/>
  <c r="J551" i="24"/>
  <c r="K551" i="24" s="1"/>
  <c r="J552" i="24"/>
  <c r="K552" i="24" s="1"/>
  <c r="J553" i="24"/>
  <c r="K553" i="24" s="1"/>
  <c r="K554" i="24"/>
  <c r="J555" i="24"/>
  <c r="K555" i="24" s="1"/>
  <c r="K556" i="24"/>
  <c r="J557" i="24"/>
  <c r="K557" i="24" s="1"/>
  <c r="J558" i="24"/>
  <c r="K558" i="24" s="1"/>
  <c r="J559" i="24"/>
  <c r="K559" i="24" s="1"/>
  <c r="J560" i="24"/>
  <c r="K560" i="24" s="1"/>
  <c r="J561" i="24"/>
  <c r="K561" i="24" s="1"/>
  <c r="J562" i="24"/>
  <c r="K562" i="24" s="1"/>
  <c r="J563" i="24"/>
  <c r="K563" i="24" s="1"/>
  <c r="J564" i="24"/>
  <c r="K564" i="24" s="1"/>
  <c r="J565" i="24"/>
  <c r="K565" i="24" s="1"/>
  <c r="J566" i="24"/>
  <c r="K566" i="24" s="1"/>
  <c r="J567" i="24"/>
  <c r="K567" i="24" s="1"/>
  <c r="J568" i="24"/>
  <c r="K568" i="24" s="1"/>
  <c r="K569" i="24"/>
  <c r="K570" i="24"/>
  <c r="J571" i="24"/>
  <c r="K571" i="24" s="1"/>
  <c r="J572" i="24"/>
  <c r="K572" i="24" s="1"/>
  <c r="J573" i="24"/>
  <c r="K573" i="24" s="1"/>
  <c r="K574" i="24"/>
  <c r="K575" i="24"/>
  <c r="J576" i="24"/>
  <c r="K576" i="24" s="1"/>
  <c r="J577" i="24"/>
  <c r="K577" i="24" s="1"/>
  <c r="J578" i="24"/>
  <c r="K578" i="24" s="1"/>
  <c r="J579" i="24"/>
  <c r="K579" i="24" s="1"/>
  <c r="K580" i="24"/>
  <c r="K581" i="24"/>
  <c r="K582" i="24"/>
  <c r="J583" i="24"/>
  <c r="K583" i="24" s="1"/>
  <c r="K584" i="24"/>
  <c r="K585" i="24"/>
  <c r="K586" i="24"/>
  <c r="K587" i="24"/>
  <c r="K588" i="24"/>
  <c r="J589" i="24"/>
  <c r="K589" i="24" s="1"/>
  <c r="J590" i="24"/>
  <c r="K590" i="24" s="1"/>
  <c r="J591" i="24"/>
  <c r="K591" i="24" s="1"/>
  <c r="J592" i="24"/>
  <c r="K592" i="24" s="1"/>
  <c r="K593" i="24"/>
  <c r="J594" i="24"/>
  <c r="K594" i="24" s="1"/>
  <c r="J595" i="24"/>
  <c r="K595" i="24" s="1"/>
  <c r="J596" i="24"/>
  <c r="K596" i="24" s="1"/>
  <c r="J597" i="24"/>
  <c r="K597" i="24" s="1"/>
  <c r="J598" i="24"/>
  <c r="K598" i="24" s="1"/>
  <c r="J599" i="24"/>
  <c r="K599" i="24" s="1"/>
  <c r="J600" i="24"/>
  <c r="K600" i="24" s="1"/>
  <c r="J601" i="24"/>
  <c r="K601" i="24" s="1"/>
  <c r="K602" i="24"/>
  <c r="J603" i="24"/>
  <c r="K603" i="24" s="1"/>
  <c r="K604" i="24"/>
  <c r="K605" i="24"/>
  <c r="J606" i="24"/>
  <c r="K606" i="24" s="1"/>
  <c r="J607" i="24"/>
  <c r="K607" i="24" s="1"/>
  <c r="J608" i="24"/>
  <c r="K608" i="24" s="1"/>
  <c r="J609" i="24"/>
  <c r="K609" i="24" s="1"/>
  <c r="J610" i="24"/>
  <c r="K610" i="24" s="1"/>
  <c r="J611" i="24"/>
  <c r="K611" i="24" s="1"/>
  <c r="J612" i="24"/>
  <c r="K612" i="24" s="1"/>
  <c r="J613" i="24"/>
  <c r="K613" i="24" s="1"/>
  <c r="J614" i="24"/>
  <c r="K614" i="24" s="1"/>
  <c r="J615" i="24"/>
  <c r="K615" i="24" s="1"/>
  <c r="J616" i="24"/>
  <c r="K616" i="24" s="1"/>
  <c r="J617" i="24"/>
  <c r="K617" i="24" s="1"/>
  <c r="J618" i="24"/>
  <c r="K618" i="24" s="1"/>
  <c r="J619" i="24"/>
  <c r="K619" i="24" s="1"/>
  <c r="J620" i="24"/>
  <c r="K620" i="24" s="1"/>
  <c r="K621" i="24"/>
  <c r="J622" i="24"/>
  <c r="K622" i="24" s="1"/>
  <c r="J623" i="24"/>
  <c r="K623" i="24" s="1"/>
  <c r="K624" i="24"/>
  <c r="J625" i="24"/>
  <c r="K625" i="24" s="1"/>
  <c r="J626" i="24"/>
  <c r="K626" i="24" s="1"/>
  <c r="J627" i="24"/>
  <c r="K627" i="24" s="1"/>
  <c r="J628" i="24"/>
  <c r="K628" i="24" s="1"/>
  <c r="J629" i="24"/>
  <c r="K629" i="24" s="1"/>
  <c r="J630" i="24"/>
  <c r="K630" i="24" s="1"/>
  <c r="J631" i="24"/>
  <c r="K631" i="24" s="1"/>
  <c r="K632" i="24"/>
  <c r="K633" i="24"/>
  <c r="K634" i="24"/>
  <c r="K635" i="24"/>
  <c r="K636" i="24"/>
  <c r="K637" i="24"/>
  <c r="J638" i="24"/>
  <c r="K638" i="24" s="1"/>
  <c r="K639" i="24"/>
  <c r="J640" i="24"/>
  <c r="K640" i="24" s="1"/>
  <c r="J641" i="24"/>
  <c r="K641" i="24" s="1"/>
  <c r="K642" i="24"/>
  <c r="J643" i="24"/>
  <c r="K643" i="24" s="1"/>
  <c r="J644" i="24"/>
  <c r="K644" i="24" s="1"/>
  <c r="K645" i="24"/>
  <c r="J646" i="24"/>
  <c r="K646" i="24" s="1"/>
  <c r="J647" i="24"/>
  <c r="K647" i="24" s="1"/>
  <c r="J648" i="24"/>
  <c r="K648" i="24" s="1"/>
  <c r="J649" i="24"/>
  <c r="K649" i="24" s="1"/>
  <c r="K650" i="24"/>
  <c r="J651" i="24"/>
  <c r="K651" i="24" s="1"/>
  <c r="K652" i="24"/>
  <c r="K653" i="24"/>
  <c r="J654" i="24"/>
  <c r="K654" i="24" s="1"/>
  <c r="J655" i="24"/>
  <c r="K655" i="24" s="1"/>
  <c r="J656" i="24"/>
  <c r="K656" i="24" s="1"/>
  <c r="J657" i="24"/>
  <c r="K657" i="24" s="1"/>
  <c r="J658" i="24"/>
  <c r="K658" i="24" s="1"/>
  <c r="K659" i="24"/>
  <c r="K660" i="24"/>
  <c r="K661" i="24"/>
  <c r="K662" i="24"/>
  <c r="K663" i="24"/>
  <c r="K664" i="24"/>
  <c r="J665" i="24"/>
  <c r="K665" i="24" s="1"/>
  <c r="J666" i="24"/>
  <c r="K666" i="24" s="1"/>
  <c r="J667" i="24"/>
  <c r="K667" i="24" s="1"/>
  <c r="J668" i="24"/>
  <c r="K668" i="24" s="1"/>
  <c r="J669" i="24"/>
  <c r="K669" i="24" s="1"/>
  <c r="J670" i="24"/>
  <c r="K670" i="24" s="1"/>
  <c r="J671" i="24"/>
  <c r="K671" i="24" s="1"/>
  <c r="J672" i="24"/>
  <c r="K672" i="24" s="1"/>
  <c r="J673" i="24"/>
  <c r="K673" i="24" s="1"/>
  <c r="J674" i="24"/>
  <c r="K674" i="24" s="1"/>
  <c r="J675" i="24"/>
  <c r="K675" i="24" s="1"/>
  <c r="J676" i="24"/>
  <c r="K676" i="24" s="1"/>
  <c r="J677" i="24"/>
  <c r="K677" i="24" s="1"/>
  <c r="J678" i="24"/>
  <c r="K678" i="24" s="1"/>
  <c r="K679" i="24"/>
  <c r="K680" i="24"/>
  <c r="K681" i="24"/>
  <c r="K682" i="24"/>
  <c r="K683" i="24"/>
  <c r="J684" i="24"/>
  <c r="K684" i="24" s="1"/>
  <c r="J685" i="24"/>
  <c r="K685" i="24" s="1"/>
  <c r="J686" i="24"/>
  <c r="K686" i="24" s="1"/>
  <c r="J687" i="24"/>
  <c r="K687" i="24" s="1"/>
  <c r="J688" i="24"/>
  <c r="K688" i="24" s="1"/>
  <c r="J689" i="24"/>
  <c r="K689" i="24" s="1"/>
  <c r="K690" i="24"/>
  <c r="J691" i="24"/>
  <c r="K691" i="24" s="1"/>
  <c r="J692" i="24"/>
  <c r="K692" i="24" s="1"/>
  <c r="K693" i="24"/>
  <c r="J694" i="24"/>
  <c r="K694" i="24" s="1"/>
  <c r="J695" i="24"/>
  <c r="K695" i="24" s="1"/>
  <c r="K696" i="24"/>
  <c r="K697" i="24"/>
  <c r="J698" i="24"/>
  <c r="K698" i="24" s="1"/>
  <c r="J699" i="24"/>
  <c r="K699" i="24" s="1"/>
  <c r="J700" i="24"/>
  <c r="K700" i="24" s="1"/>
  <c r="J701" i="24"/>
  <c r="K701" i="24" s="1"/>
  <c r="J702" i="24"/>
  <c r="K702" i="24" s="1"/>
  <c r="J703" i="24"/>
  <c r="K703" i="24" s="1"/>
  <c r="J704" i="24"/>
  <c r="K704" i="24" s="1"/>
  <c r="K705" i="24"/>
  <c r="K706" i="24"/>
  <c r="J707" i="24"/>
  <c r="K707" i="24" s="1"/>
  <c r="J708" i="24"/>
  <c r="K708" i="24" s="1"/>
  <c r="K709" i="24"/>
  <c r="J710" i="24"/>
  <c r="K710" i="24" s="1"/>
  <c r="J711" i="24"/>
  <c r="K711" i="24" s="1"/>
  <c r="J712" i="24"/>
  <c r="K712" i="24" s="1"/>
  <c r="J713" i="24"/>
  <c r="K713" i="24" s="1"/>
  <c r="J714" i="24"/>
  <c r="K714" i="24" s="1"/>
  <c r="J715" i="24"/>
  <c r="K715" i="24" s="1"/>
  <c r="K716" i="24"/>
  <c r="J717" i="24"/>
  <c r="K717" i="24" s="1"/>
  <c r="J718" i="24"/>
  <c r="K718" i="24" s="1"/>
  <c r="J719" i="24"/>
  <c r="K719" i="24" s="1"/>
  <c r="J720" i="24"/>
  <c r="K720" i="24" s="1"/>
  <c r="K721" i="24"/>
  <c r="J722" i="24"/>
  <c r="K722" i="24" s="1"/>
  <c r="J723" i="24"/>
  <c r="K723" i="24" s="1"/>
  <c r="K724" i="24"/>
  <c r="J725" i="24"/>
  <c r="K725" i="24" s="1"/>
  <c r="J726" i="24"/>
  <c r="K726" i="24" s="1"/>
  <c r="K727" i="24"/>
  <c r="K728" i="24"/>
  <c r="J729" i="24"/>
  <c r="K729" i="24" s="1"/>
  <c r="J730" i="24"/>
  <c r="K730" i="24" s="1"/>
  <c r="J731" i="24"/>
  <c r="K731" i="24" s="1"/>
  <c r="K732" i="24"/>
  <c r="K733" i="24"/>
  <c r="K734" i="24"/>
  <c r="K735" i="24"/>
  <c r="K736" i="24"/>
  <c r="K737" i="24"/>
  <c r="K738" i="24"/>
  <c r="K739" i="24"/>
  <c r="K740" i="24"/>
  <c r="K741" i="24"/>
  <c r="J742" i="24"/>
  <c r="K742" i="24" s="1"/>
  <c r="J743" i="24"/>
  <c r="K743" i="24" s="1"/>
  <c r="J744" i="24"/>
  <c r="K744" i="24" s="1"/>
  <c r="K745" i="24"/>
  <c r="J746" i="24"/>
  <c r="K746" i="24" s="1"/>
  <c r="J747" i="24"/>
  <c r="K747" i="24" s="1"/>
  <c r="J748" i="24"/>
  <c r="K748" i="24" s="1"/>
  <c r="J749" i="24"/>
  <c r="K749" i="24" s="1"/>
  <c r="K750" i="24"/>
  <c r="K751" i="24"/>
  <c r="K752" i="24"/>
  <c r="J753" i="24"/>
  <c r="K753" i="24" s="1"/>
  <c r="J754" i="24"/>
  <c r="K754" i="24" s="1"/>
  <c r="J755" i="24"/>
  <c r="K755" i="24" s="1"/>
  <c r="K756" i="24"/>
  <c r="K757" i="24"/>
  <c r="K758" i="24"/>
  <c r="J759" i="24"/>
  <c r="K759" i="24" s="1"/>
  <c r="K760" i="24"/>
  <c r="K761" i="24"/>
  <c r="J762" i="24"/>
  <c r="K762" i="24" s="1"/>
  <c r="J763" i="24"/>
  <c r="K763" i="24" s="1"/>
  <c r="J764" i="24"/>
  <c r="K764" i="24" s="1"/>
  <c r="K765" i="24"/>
  <c r="K766" i="24"/>
  <c r="K767" i="24"/>
  <c r="K768" i="24"/>
  <c r="K769" i="24"/>
  <c r="K770" i="24"/>
  <c r="J771" i="24"/>
  <c r="K771" i="24" s="1"/>
  <c r="J772" i="24"/>
  <c r="K772" i="24" s="1"/>
  <c r="J773" i="24"/>
  <c r="K773" i="24" s="1"/>
  <c r="K774" i="24"/>
  <c r="K775" i="24"/>
  <c r="J776" i="24"/>
  <c r="K776" i="24" s="1"/>
  <c r="K777" i="24"/>
  <c r="K778" i="24"/>
  <c r="J779" i="24"/>
  <c r="K779" i="24" s="1"/>
  <c r="K780" i="24"/>
  <c r="J781" i="24"/>
  <c r="K781" i="24" s="1"/>
  <c r="K782" i="24"/>
  <c r="K783" i="24"/>
  <c r="K784" i="24"/>
  <c r="K785" i="24"/>
  <c r="K786" i="24"/>
  <c r="K787" i="24"/>
  <c r="K788" i="24"/>
  <c r="J789" i="24"/>
  <c r="K789" i="24" s="1"/>
  <c r="J790" i="24"/>
  <c r="K790" i="24" s="1"/>
  <c r="J791" i="24"/>
  <c r="K791" i="24" s="1"/>
  <c r="J792" i="24"/>
  <c r="K792" i="24" s="1"/>
  <c r="J793" i="24"/>
  <c r="K793" i="24" s="1"/>
  <c r="J794" i="24"/>
  <c r="K794" i="24" s="1"/>
  <c r="J795" i="24"/>
  <c r="K795" i="24" s="1"/>
  <c r="J796" i="24"/>
  <c r="K796" i="24" s="1"/>
  <c r="J797" i="24"/>
  <c r="K797" i="24" s="1"/>
  <c r="J798" i="24"/>
  <c r="K798" i="24" s="1"/>
  <c r="K799" i="24"/>
  <c r="K800" i="24"/>
  <c r="J801" i="24"/>
  <c r="K801" i="24" s="1"/>
  <c r="J802" i="24"/>
  <c r="K802" i="24" s="1"/>
  <c r="J803" i="24"/>
  <c r="K803" i="24" s="1"/>
  <c r="J804" i="24"/>
  <c r="K804" i="24" s="1"/>
  <c r="J805" i="24"/>
  <c r="K805" i="24" s="1"/>
  <c r="K806" i="24"/>
  <c r="J807" i="24"/>
  <c r="K807" i="24" s="1"/>
  <c r="J808" i="24"/>
  <c r="K808" i="24" s="1"/>
  <c r="J809" i="24"/>
  <c r="K809" i="24" s="1"/>
  <c r="J810" i="24"/>
  <c r="K810" i="24" s="1"/>
  <c r="K811" i="24"/>
  <c r="J812" i="24"/>
  <c r="K812" i="24" s="1"/>
  <c r="J813" i="24"/>
  <c r="K813" i="24" s="1"/>
  <c r="J814" i="24"/>
  <c r="K814" i="24" s="1"/>
  <c r="K815" i="24"/>
  <c r="J816" i="24"/>
  <c r="K816" i="24" s="1"/>
  <c r="J817" i="24"/>
  <c r="K817" i="24" s="1"/>
  <c r="K818" i="24"/>
  <c r="J819" i="24"/>
  <c r="K819" i="24" s="1"/>
  <c r="K820" i="24"/>
  <c r="J821" i="24"/>
  <c r="K821" i="24" s="1"/>
  <c r="J822" i="24"/>
  <c r="K822" i="24" s="1"/>
  <c r="J823" i="24"/>
  <c r="K823" i="24" s="1"/>
  <c r="J824" i="24"/>
  <c r="K824" i="24" s="1"/>
  <c r="J825" i="24"/>
  <c r="K825" i="24" s="1"/>
  <c r="J826" i="24"/>
  <c r="K826" i="24" s="1"/>
  <c r="J827" i="24"/>
  <c r="K827" i="24" s="1"/>
  <c r="J828" i="24"/>
  <c r="K828" i="24" s="1"/>
  <c r="K829" i="24"/>
  <c r="J830" i="24"/>
  <c r="K830" i="24" s="1"/>
  <c r="J831" i="24"/>
  <c r="K831" i="24" s="1"/>
  <c r="J832" i="24"/>
  <c r="K832" i="24" s="1"/>
  <c r="J833" i="24"/>
  <c r="K833" i="24" s="1"/>
  <c r="J834" i="24"/>
  <c r="K834" i="24" s="1"/>
  <c r="K835" i="24"/>
  <c r="K836" i="24"/>
  <c r="K837" i="24"/>
  <c r="J838" i="24"/>
  <c r="K838" i="24" s="1"/>
  <c r="J839" i="24"/>
  <c r="K839" i="24" s="1"/>
  <c r="K840" i="24"/>
  <c r="K841" i="24"/>
  <c r="J842" i="24"/>
  <c r="K842" i="24" s="1"/>
  <c r="K843" i="24"/>
  <c r="K844" i="24"/>
  <c r="K845" i="24"/>
  <c r="K846" i="24"/>
  <c r="K847" i="24"/>
  <c r="J848" i="24"/>
  <c r="K848" i="24" s="1"/>
  <c r="J849" i="24"/>
  <c r="K849" i="24" s="1"/>
  <c r="J850" i="24"/>
  <c r="K850" i="24" s="1"/>
  <c r="J851" i="24"/>
  <c r="K851" i="24" s="1"/>
  <c r="J852" i="24"/>
  <c r="K852" i="24" s="1"/>
  <c r="J853" i="24"/>
  <c r="K853" i="24" s="1"/>
  <c r="J854" i="24"/>
  <c r="K854" i="24" s="1"/>
  <c r="J855" i="24"/>
  <c r="K855" i="24" s="1"/>
  <c r="K856" i="24"/>
  <c r="K857" i="24"/>
  <c r="J858" i="24"/>
  <c r="K858" i="24" s="1"/>
  <c r="K859" i="24"/>
  <c r="K860" i="24"/>
  <c r="K861" i="24"/>
  <c r="K862" i="24"/>
  <c r="K863" i="24"/>
  <c r="K864" i="24"/>
  <c r="K865" i="24"/>
  <c r="J866" i="24"/>
  <c r="K866" i="24" s="1"/>
  <c r="J867" i="24"/>
  <c r="K867" i="24" s="1"/>
  <c r="J868" i="24"/>
  <c r="K868" i="24" s="1"/>
  <c r="K869" i="24"/>
  <c r="K870" i="24"/>
  <c r="J871" i="24"/>
  <c r="K871" i="24" s="1"/>
  <c r="J872" i="24"/>
  <c r="K872" i="24" s="1"/>
  <c r="J873" i="24"/>
  <c r="K873" i="24" s="1"/>
  <c r="J874" i="24"/>
  <c r="K874" i="24" s="1"/>
  <c r="J875" i="24"/>
  <c r="K875" i="24" s="1"/>
  <c r="K876" i="24"/>
  <c r="K877" i="24"/>
  <c r="J878" i="24"/>
  <c r="K878" i="24" s="1"/>
  <c r="K879" i="24"/>
  <c r="K880" i="24"/>
  <c r="K881" i="24"/>
  <c r="K882" i="24"/>
  <c r="K883" i="24"/>
  <c r="J884" i="24"/>
  <c r="K884" i="24" s="1"/>
  <c r="K885" i="24"/>
  <c r="K886" i="24"/>
  <c r="J887" i="24"/>
  <c r="K887" i="24" s="1"/>
  <c r="J888" i="24"/>
  <c r="K888" i="24" s="1"/>
  <c r="K889" i="24"/>
  <c r="J890" i="24"/>
  <c r="K890" i="24" s="1"/>
  <c r="J891" i="24"/>
  <c r="K891" i="24" s="1"/>
  <c r="J892" i="24"/>
  <c r="K892" i="24" s="1"/>
  <c r="J893" i="24"/>
  <c r="K893" i="24" s="1"/>
  <c r="J894" i="24"/>
  <c r="K894" i="24" s="1"/>
  <c r="K895" i="24"/>
  <c r="K896" i="24"/>
  <c r="J897" i="24"/>
  <c r="K897" i="24" s="1"/>
  <c r="J898" i="24"/>
  <c r="K898" i="24" s="1"/>
  <c r="J899" i="24"/>
  <c r="K899" i="24" s="1"/>
  <c r="K900" i="24"/>
  <c r="J901" i="24"/>
  <c r="K901" i="24" s="1"/>
  <c r="J902" i="24"/>
  <c r="K902" i="24" s="1"/>
  <c r="J903" i="24"/>
  <c r="K903" i="24" s="1"/>
  <c r="K904" i="24"/>
  <c r="J905" i="24"/>
  <c r="K905" i="24" s="1"/>
  <c r="K906" i="24"/>
  <c r="J907" i="24"/>
  <c r="K907" i="24" s="1"/>
  <c r="J908" i="24"/>
  <c r="K908" i="24" s="1"/>
  <c r="K909" i="24"/>
  <c r="J910" i="24"/>
  <c r="K910" i="24" s="1"/>
  <c r="K911" i="24"/>
  <c r="K912" i="24"/>
  <c r="J913" i="24"/>
  <c r="K913" i="24" s="1"/>
  <c r="J914" i="24"/>
  <c r="K914" i="24" s="1"/>
  <c r="K915" i="24"/>
  <c r="K916" i="24"/>
  <c r="K917" i="24"/>
  <c r="K918" i="24"/>
  <c r="K919" i="24"/>
  <c r="K920" i="24"/>
  <c r="J921" i="24"/>
  <c r="K921" i="24" s="1"/>
  <c r="K922" i="24"/>
  <c r="K923" i="24"/>
  <c r="K924" i="24"/>
  <c r="K925" i="24"/>
  <c r="K926" i="24"/>
  <c r="J927" i="24"/>
  <c r="K927" i="24" s="1"/>
  <c r="J928" i="24"/>
  <c r="K928" i="24" s="1"/>
  <c r="J929" i="24"/>
  <c r="K929" i="24" s="1"/>
  <c r="K930" i="24"/>
  <c r="J931" i="24"/>
  <c r="K931" i="24" s="1"/>
  <c r="K932" i="24"/>
  <c r="J933" i="24"/>
  <c r="K933" i="24" s="1"/>
  <c r="J934" i="24"/>
  <c r="K934" i="24" s="1"/>
  <c r="K935" i="24"/>
  <c r="K936" i="24"/>
  <c r="J937" i="24"/>
  <c r="K937" i="24" s="1"/>
  <c r="J938" i="24"/>
  <c r="K938" i="24" s="1"/>
  <c r="J939" i="24"/>
  <c r="K939" i="24" s="1"/>
  <c r="J940" i="24"/>
  <c r="K940" i="24" s="1"/>
  <c r="J941" i="24"/>
  <c r="K941" i="24" s="1"/>
  <c r="J942" i="24"/>
  <c r="K942" i="24" s="1"/>
  <c r="K943" i="24"/>
  <c r="K944" i="24"/>
  <c r="K945" i="24"/>
  <c r="J946" i="24"/>
  <c r="K946" i="24" s="1"/>
  <c r="J947" i="24"/>
  <c r="K947" i="24" s="1"/>
  <c r="J948" i="24"/>
  <c r="K948" i="24" s="1"/>
  <c r="J949" i="24"/>
  <c r="K949" i="24" s="1"/>
  <c r="J950" i="24"/>
  <c r="K950" i="24" s="1"/>
  <c r="J951" i="24"/>
  <c r="K951" i="24" s="1"/>
  <c r="J952" i="24"/>
  <c r="K952" i="24" s="1"/>
  <c r="J953" i="24"/>
  <c r="K953" i="24" s="1"/>
  <c r="J954" i="24"/>
  <c r="K954" i="24" s="1"/>
  <c r="J955" i="24"/>
  <c r="K955" i="24" s="1"/>
  <c r="K956" i="24"/>
  <c r="K957" i="24"/>
  <c r="J958" i="24"/>
  <c r="K958" i="24" s="1"/>
  <c r="J959" i="24"/>
  <c r="K959" i="24" s="1"/>
  <c r="J960" i="24"/>
  <c r="K960" i="24" s="1"/>
  <c r="J961" i="24"/>
  <c r="K961" i="24" s="1"/>
  <c r="J962" i="24"/>
  <c r="K962" i="24" s="1"/>
  <c r="K963" i="24"/>
  <c r="K964" i="24"/>
  <c r="K965" i="24"/>
  <c r="K966" i="24"/>
  <c r="K967" i="24"/>
  <c r="K968" i="24"/>
  <c r="J969" i="24"/>
  <c r="K969" i="24" s="1"/>
  <c r="J970" i="24"/>
  <c r="K970" i="24" s="1"/>
  <c r="K971" i="24"/>
  <c r="K972" i="24"/>
  <c r="K973" i="24"/>
  <c r="K974" i="24"/>
  <c r="K975" i="24"/>
  <c r="K976" i="24"/>
  <c r="J977" i="24"/>
  <c r="K977" i="24" s="1"/>
  <c r="J978" i="24"/>
  <c r="K978" i="24" s="1"/>
  <c r="K979" i="24"/>
  <c r="J980" i="24"/>
  <c r="K980" i="24" s="1"/>
  <c r="J981" i="24"/>
  <c r="K981" i="24" s="1"/>
  <c r="J982" i="24"/>
  <c r="K982" i="24" s="1"/>
  <c r="K983" i="24"/>
  <c r="K984" i="24"/>
  <c r="K985" i="24"/>
  <c r="K986" i="24"/>
  <c r="K987" i="24"/>
  <c r="J988" i="24"/>
  <c r="K988" i="24" s="1"/>
  <c r="K989" i="24"/>
  <c r="K990" i="24"/>
  <c r="J991" i="24"/>
  <c r="K991" i="24" s="1"/>
  <c r="J992" i="24"/>
  <c r="K992" i="24" s="1"/>
  <c r="J993" i="24"/>
  <c r="K993" i="24" s="1"/>
  <c r="K994" i="24"/>
  <c r="J995" i="24"/>
  <c r="K995" i="24" s="1"/>
  <c r="J996" i="24"/>
  <c r="K996" i="24" s="1"/>
  <c r="J997" i="24"/>
  <c r="K997" i="24" s="1"/>
  <c r="K998" i="24"/>
  <c r="J999" i="24"/>
  <c r="K999" i="24" s="1"/>
  <c r="J1000" i="24"/>
  <c r="K1000" i="24" s="1"/>
  <c r="K1001" i="24"/>
  <c r="J1002" i="24"/>
  <c r="K1002" i="24" s="1"/>
  <c r="J1003" i="24"/>
  <c r="K1003" i="24" s="1"/>
  <c r="K1004" i="24"/>
  <c r="J1005" i="24"/>
  <c r="K1005" i="24" s="1"/>
  <c r="J1006" i="24"/>
  <c r="K1006" i="24" s="1"/>
  <c r="K1007" i="24"/>
  <c r="J1008" i="24"/>
  <c r="K1008" i="24" s="1"/>
  <c r="J1009" i="24"/>
  <c r="K1009" i="24" s="1"/>
  <c r="J1010" i="24"/>
  <c r="K1010" i="24" s="1"/>
  <c r="K1011" i="24"/>
  <c r="J1012" i="24"/>
  <c r="K1012" i="24" s="1"/>
  <c r="J1013" i="24"/>
  <c r="K1013" i="24" s="1"/>
  <c r="J1014" i="24"/>
  <c r="K1014" i="24" s="1"/>
  <c r="J1015" i="24"/>
  <c r="K1015" i="24" s="1"/>
  <c r="J1016" i="24"/>
  <c r="K1016" i="24" s="1"/>
  <c r="J1017" i="24"/>
  <c r="K1017" i="24" s="1"/>
  <c r="J1018" i="24"/>
  <c r="K1018" i="24" s="1"/>
  <c r="K1019" i="24"/>
  <c r="K1020" i="24"/>
  <c r="J1021" i="24"/>
  <c r="K1021" i="24" s="1"/>
  <c r="J1022" i="24"/>
  <c r="K1022" i="24" s="1"/>
  <c r="J1023" i="24"/>
  <c r="K1023" i="24" s="1"/>
  <c r="J1024" i="24"/>
  <c r="K1024" i="24" s="1"/>
  <c r="J1025" i="24"/>
  <c r="K1025" i="24" s="1"/>
  <c r="J1026" i="24"/>
  <c r="K1026" i="24" s="1"/>
  <c r="J1027" i="24"/>
  <c r="K1027" i="24" s="1"/>
  <c r="J1028" i="24"/>
  <c r="K1028" i="24" s="1"/>
  <c r="J1029" i="24"/>
  <c r="K1029" i="24" s="1"/>
  <c r="J1030" i="24"/>
  <c r="K1030" i="24" s="1"/>
  <c r="J1031" i="24"/>
  <c r="K1031" i="24" s="1"/>
  <c r="K1032" i="24"/>
  <c r="K1033" i="24"/>
  <c r="J1034" i="24"/>
  <c r="K1034" i="24" s="1"/>
  <c r="K1035" i="24"/>
  <c r="J1036" i="24"/>
  <c r="K1036" i="24" s="1"/>
  <c r="J1037" i="24"/>
  <c r="K1037" i="24" s="1"/>
  <c r="J1038" i="24"/>
  <c r="K1038" i="24" s="1"/>
  <c r="J1039" i="24"/>
  <c r="K1039" i="24" s="1"/>
  <c r="K1040" i="24"/>
  <c r="K1041" i="24"/>
  <c r="J1042" i="24"/>
  <c r="K1042" i="24" s="1"/>
  <c r="J1043" i="24"/>
  <c r="K1043" i="24" s="1"/>
  <c r="J1044" i="24"/>
  <c r="K1044" i="24" s="1"/>
  <c r="J1045" i="24"/>
  <c r="K1045" i="24" s="1"/>
  <c r="J1046" i="24"/>
  <c r="K1046" i="24" s="1"/>
  <c r="J1047" i="24"/>
  <c r="K1047" i="24" s="1"/>
  <c r="K1048" i="24"/>
  <c r="J1049" i="24"/>
  <c r="K1049" i="24" s="1"/>
  <c r="J1050" i="24"/>
  <c r="K1050" i="24" s="1"/>
  <c r="J1051" i="24"/>
  <c r="K1051" i="24" s="1"/>
  <c r="J1052" i="24"/>
  <c r="K1052" i="24" s="1"/>
  <c r="J1053" i="24"/>
  <c r="K1053" i="24" s="1"/>
  <c r="K1054" i="24"/>
  <c r="J1055" i="24"/>
  <c r="K1055" i="24" s="1"/>
  <c r="J1056" i="24"/>
  <c r="K1056" i="24" s="1"/>
  <c r="J1057" i="24"/>
  <c r="K1057" i="24" s="1"/>
  <c r="K1058" i="24"/>
  <c r="K1059" i="24"/>
  <c r="K1060" i="24"/>
  <c r="J1061" i="24"/>
  <c r="K1061" i="24" s="1"/>
  <c r="J1062" i="24"/>
  <c r="K1062" i="24" s="1"/>
  <c r="J1063" i="24"/>
  <c r="K1063" i="24" s="1"/>
  <c r="J1064" i="24"/>
  <c r="K1064" i="24" s="1"/>
  <c r="K1065" i="24"/>
  <c r="J1066" i="24"/>
  <c r="K1066" i="24" s="1"/>
  <c r="J1067" i="24"/>
  <c r="K1067" i="24" s="1"/>
  <c r="J1068" i="24"/>
  <c r="K1068" i="24" s="1"/>
  <c r="K1069" i="24"/>
  <c r="J1070" i="24"/>
  <c r="K1070" i="24" s="1"/>
  <c r="K1071" i="24"/>
  <c r="J1072" i="24"/>
  <c r="K1072" i="24" s="1"/>
  <c r="J1073" i="24"/>
  <c r="K1073" i="24" s="1"/>
  <c r="J1074" i="24"/>
  <c r="K1074" i="24" s="1"/>
  <c r="J1075" i="24"/>
  <c r="K1075" i="24" s="1"/>
  <c r="K1076" i="24"/>
  <c r="J1077" i="24"/>
  <c r="K1077" i="24" s="1"/>
  <c r="J1078" i="24"/>
  <c r="K1078" i="24" s="1"/>
  <c r="J1079" i="24"/>
  <c r="K1079" i="24" s="1"/>
  <c r="J1080" i="24"/>
  <c r="K1080" i="24" s="1"/>
  <c r="K1081" i="24"/>
  <c r="J1082" i="24"/>
  <c r="K1082" i="24" s="1"/>
  <c r="J1083" i="24"/>
  <c r="K1083" i="24" s="1"/>
  <c r="J1084" i="24"/>
  <c r="K1084" i="24" s="1"/>
  <c r="J1085" i="24"/>
  <c r="K1085" i="24" s="1"/>
  <c r="J1086" i="24"/>
  <c r="K1086" i="24" s="1"/>
  <c r="J1087" i="24"/>
  <c r="K1087" i="24" s="1"/>
  <c r="J1088" i="24"/>
  <c r="K1088" i="24" s="1"/>
  <c r="J1089" i="24"/>
  <c r="K1089" i="24" s="1"/>
  <c r="K1090" i="24"/>
  <c r="K1091" i="24"/>
  <c r="J1092" i="24"/>
  <c r="K1092" i="24" s="1"/>
  <c r="J1093" i="24"/>
  <c r="K1093" i="24" s="1"/>
  <c r="J1094" i="24"/>
  <c r="K1094" i="24" s="1"/>
  <c r="J1095" i="24"/>
  <c r="K1095" i="24" s="1"/>
  <c r="J1096" i="24"/>
  <c r="K1096" i="24" s="1"/>
  <c r="J1097" i="24"/>
  <c r="K1097" i="24" s="1"/>
  <c r="J1098" i="24"/>
  <c r="K1098" i="24" s="1"/>
  <c r="J1099" i="24"/>
  <c r="K1099" i="24" s="1"/>
  <c r="K1100" i="24"/>
  <c r="K1101" i="24"/>
  <c r="J1102" i="24"/>
  <c r="K1102" i="24" s="1"/>
  <c r="J1103" i="24"/>
  <c r="K1103" i="24" s="1"/>
  <c r="J1104" i="24"/>
  <c r="K1104" i="24" s="1"/>
  <c r="K1105" i="24"/>
  <c r="J1106" i="24"/>
  <c r="K1106" i="24" s="1"/>
  <c r="K1107" i="24"/>
  <c r="J1108" i="24"/>
  <c r="K1108" i="24" s="1"/>
  <c r="K1109" i="24"/>
  <c r="J1110" i="24"/>
  <c r="K1110" i="24" s="1"/>
  <c r="J1111" i="24"/>
  <c r="K1111" i="24" s="1"/>
  <c r="J1112" i="24"/>
  <c r="K1112" i="24" s="1"/>
  <c r="J1113" i="24"/>
  <c r="K1113" i="24" s="1"/>
  <c r="J1114" i="24"/>
  <c r="K1114" i="24" s="1"/>
  <c r="J1115" i="24"/>
  <c r="K1115" i="24" s="1"/>
  <c r="J1116" i="24"/>
  <c r="K1116" i="24" s="1"/>
  <c r="K1117" i="24"/>
  <c r="K1118" i="24"/>
  <c r="J1119" i="24"/>
  <c r="K1119" i="24" s="1"/>
  <c r="J1120" i="24"/>
  <c r="K1120" i="24" s="1"/>
  <c r="J1121" i="24"/>
  <c r="K1121" i="24" s="1"/>
  <c r="J1122" i="24"/>
  <c r="K1122" i="24" s="1"/>
  <c r="J1123" i="24"/>
  <c r="K1123" i="24" s="1"/>
  <c r="J1124" i="24"/>
  <c r="K1124" i="24" s="1"/>
  <c r="J1125" i="24"/>
  <c r="K1125" i="24" s="1"/>
  <c r="J1126" i="24"/>
  <c r="K1126" i="24" s="1"/>
  <c r="J1127" i="24"/>
  <c r="K1127" i="24" s="1"/>
  <c r="J1128" i="24"/>
  <c r="K1128" i="24" s="1"/>
  <c r="J1129" i="24"/>
  <c r="K1129" i="24" s="1"/>
  <c r="J1130" i="24"/>
  <c r="K1130" i="24" s="1"/>
  <c r="J1131" i="24"/>
  <c r="K1131" i="24" s="1"/>
  <c r="J1132" i="24"/>
  <c r="K1132" i="24" s="1"/>
  <c r="K1133" i="24"/>
  <c r="K1134" i="24"/>
  <c r="K1135" i="24"/>
  <c r="K1136" i="24"/>
  <c r="K1137" i="24"/>
  <c r="K1138" i="24"/>
  <c r="J1139" i="24"/>
  <c r="K1139" i="24" s="1"/>
  <c r="J1140" i="24"/>
  <c r="K1140" i="24" s="1"/>
  <c r="K1141" i="24"/>
  <c r="K1142" i="24"/>
  <c r="K1143" i="24"/>
  <c r="J1144" i="24"/>
  <c r="K1144" i="24" s="1"/>
  <c r="J1145" i="24"/>
  <c r="K1145" i="24" s="1"/>
  <c r="K1146" i="24"/>
  <c r="K1147" i="24"/>
  <c r="K1148" i="24"/>
  <c r="K1149" i="24"/>
  <c r="K1150" i="24"/>
  <c r="K1151" i="24"/>
  <c r="J1152" i="24"/>
  <c r="K1152" i="24" s="1"/>
  <c r="J1153" i="24"/>
  <c r="K1153" i="24" s="1"/>
  <c r="J1154" i="24"/>
  <c r="K1154" i="24" s="1"/>
  <c r="K1155" i="24"/>
  <c r="J1156" i="24"/>
  <c r="K1156" i="24" s="1"/>
  <c r="K1157" i="24"/>
  <c r="J1158" i="24"/>
  <c r="K1158" i="24" s="1"/>
  <c r="J1159" i="24"/>
  <c r="K1159" i="24" s="1"/>
  <c r="J1160" i="24"/>
  <c r="K1160" i="24" s="1"/>
  <c r="J1161" i="24"/>
  <c r="K1161" i="24" s="1"/>
  <c r="J1162" i="24"/>
  <c r="K1162" i="24" s="1"/>
  <c r="J1163" i="24"/>
  <c r="K1163" i="24" s="1"/>
  <c r="J1164" i="24"/>
  <c r="K1164" i="24" s="1"/>
  <c r="J1165" i="24"/>
  <c r="K1165" i="24" s="1"/>
  <c r="J1166" i="24"/>
  <c r="K1166" i="24" s="1"/>
  <c r="J1167" i="24"/>
  <c r="K1167" i="24" s="1"/>
  <c r="J1168" i="24"/>
  <c r="K1168" i="24" s="1"/>
  <c r="J1169" i="24"/>
  <c r="K1169" i="24" s="1"/>
  <c r="J1170" i="24"/>
  <c r="K1170" i="24" s="1"/>
  <c r="J1171" i="24"/>
  <c r="K1171" i="24" s="1"/>
  <c r="K1172" i="24"/>
  <c r="J1173" i="24"/>
  <c r="K1173" i="24" s="1"/>
  <c r="J1174" i="24"/>
  <c r="K1174" i="24" s="1"/>
  <c r="K1175" i="24"/>
  <c r="K1176" i="24"/>
  <c r="J1177" i="24"/>
  <c r="K1177" i="24" s="1"/>
  <c r="J1178" i="24"/>
  <c r="K1178" i="24" s="1"/>
  <c r="J1179" i="24"/>
  <c r="K1179" i="24" s="1"/>
  <c r="K1180" i="24"/>
  <c r="J1181" i="24"/>
  <c r="K1181" i="24" s="1"/>
  <c r="J1182" i="24"/>
  <c r="K1182" i="24" s="1"/>
  <c r="J1183" i="24"/>
  <c r="K1183" i="24" s="1"/>
  <c r="J1184" i="24"/>
  <c r="K1184" i="24" s="1"/>
  <c r="J1185" i="24"/>
  <c r="K1185" i="24" s="1"/>
  <c r="K1186" i="24"/>
  <c r="J1187" i="24"/>
  <c r="K1187" i="24" s="1"/>
  <c r="J1188" i="24"/>
  <c r="K1188" i="24" s="1"/>
  <c r="J1189" i="24"/>
  <c r="K1189" i="24" s="1"/>
  <c r="J1190" i="24"/>
  <c r="K1190" i="24" s="1"/>
  <c r="K1191" i="24"/>
  <c r="K1192" i="24"/>
  <c r="K1193" i="24"/>
  <c r="K1194" i="24"/>
  <c r="K1195" i="24"/>
  <c r="J1196" i="24"/>
  <c r="K1196" i="24" s="1"/>
  <c r="K1197" i="24"/>
  <c r="K1198" i="24"/>
  <c r="J1199" i="24"/>
  <c r="K1199" i="24" s="1"/>
  <c r="K1200" i="24"/>
  <c r="K1201" i="24"/>
  <c r="K1202" i="24"/>
  <c r="I1203" i="24"/>
  <c r="J1203" i="24"/>
  <c r="J1204" i="24"/>
  <c r="K1204" i="24" s="1"/>
  <c r="J1205" i="24"/>
  <c r="K1205" i="24" s="1"/>
  <c r="J1206" i="24"/>
  <c r="K1206" i="24" s="1"/>
  <c r="J1207" i="24"/>
  <c r="K1207" i="24" s="1"/>
  <c r="K1208" i="24"/>
  <c r="K1209" i="24"/>
  <c r="K1210" i="24"/>
  <c r="K1211" i="24"/>
  <c r="J1212" i="24"/>
  <c r="K1212" i="24" s="1"/>
  <c r="J1213" i="24"/>
  <c r="K1213" i="24" s="1"/>
  <c r="J1214" i="24"/>
  <c r="K1214" i="24" s="1"/>
  <c r="K1215" i="24"/>
  <c r="K1216" i="24"/>
  <c r="J1217" i="24"/>
  <c r="K1217" i="24" s="1"/>
  <c r="J1218" i="24"/>
  <c r="K1218" i="24" s="1"/>
  <c r="J1219" i="24"/>
  <c r="K1219" i="24" s="1"/>
  <c r="J1220" i="24"/>
  <c r="K1220" i="24" s="1"/>
  <c r="J1221" i="24"/>
  <c r="K1221" i="24" s="1"/>
  <c r="J1222" i="24"/>
  <c r="K1222" i="24" s="1"/>
  <c r="J1223" i="24"/>
  <c r="K1223" i="24" s="1"/>
  <c r="J1224" i="24"/>
  <c r="K1224" i="24" s="1"/>
  <c r="K1225" i="24"/>
  <c r="J1226" i="24"/>
  <c r="K1226" i="24" s="1"/>
  <c r="J1227" i="24"/>
  <c r="K1227" i="24" s="1"/>
  <c r="J1228" i="24"/>
  <c r="K1228" i="24" s="1"/>
  <c r="J1229" i="24"/>
  <c r="K1229" i="24" s="1"/>
  <c r="J1230" i="24"/>
  <c r="K1230" i="24" s="1"/>
  <c r="J1231" i="24"/>
  <c r="K1231" i="24" s="1"/>
  <c r="J1232" i="24"/>
  <c r="K1232" i="24" s="1"/>
  <c r="J1233" i="24"/>
  <c r="K1233" i="24" s="1"/>
  <c r="J1234" i="24"/>
  <c r="K1234" i="24" s="1"/>
  <c r="J1235" i="24"/>
  <c r="K1235" i="24" s="1"/>
  <c r="J1236" i="24"/>
  <c r="K1236" i="24" s="1"/>
  <c r="K1237" i="24"/>
  <c r="J1238" i="24"/>
  <c r="K1238" i="24" s="1"/>
  <c r="J1239" i="24"/>
  <c r="K1239" i="24" s="1"/>
  <c r="J1240" i="24"/>
  <c r="K1240" i="24" s="1"/>
  <c r="J1241" i="24"/>
  <c r="K1241" i="24" s="1"/>
  <c r="J1242" i="24"/>
  <c r="K1242" i="24" s="1"/>
  <c r="K1243" i="24"/>
  <c r="J1244" i="24"/>
  <c r="K1244" i="24" s="1"/>
  <c r="K1245" i="24"/>
  <c r="J1246" i="24"/>
  <c r="K1246" i="24" s="1"/>
  <c r="J1247" i="24"/>
  <c r="K1247" i="24" s="1"/>
  <c r="J1248" i="24"/>
  <c r="K1248" i="24" s="1"/>
  <c r="J1249" i="24"/>
  <c r="K1249" i="24" s="1"/>
  <c r="J1250" i="24"/>
  <c r="K1250" i="24" s="1"/>
  <c r="J1251" i="24"/>
  <c r="K1251" i="24" s="1"/>
  <c r="J1252" i="24"/>
  <c r="K1252" i="24" s="1"/>
  <c r="J1253" i="24"/>
  <c r="K1253" i="24" s="1"/>
  <c r="J1254" i="24"/>
  <c r="K1254" i="24" s="1"/>
  <c r="J1255" i="24"/>
  <c r="K1255" i="24" s="1"/>
  <c r="J1256" i="24"/>
  <c r="K1256" i="24" s="1"/>
  <c r="J1257" i="24"/>
  <c r="K1257" i="24" s="1"/>
  <c r="J1258" i="24"/>
  <c r="K1258" i="24" s="1"/>
  <c r="J1259" i="24"/>
  <c r="K1259" i="24" s="1"/>
  <c r="J1260" i="24"/>
  <c r="K1260" i="24" s="1"/>
  <c r="J1261" i="24"/>
  <c r="K1261" i="24" s="1"/>
  <c r="K1262" i="24"/>
  <c r="K1263" i="24"/>
  <c r="K1264" i="24"/>
  <c r="J1265" i="24"/>
  <c r="K1265" i="24" s="1"/>
  <c r="J1266" i="24"/>
  <c r="K1266" i="24" s="1"/>
  <c r="J1267" i="24"/>
  <c r="K1267" i="24" s="1"/>
  <c r="J1268" i="24"/>
  <c r="K1268" i="24" s="1"/>
  <c r="J1269" i="24"/>
  <c r="K1269" i="24" s="1"/>
  <c r="J1270" i="24"/>
  <c r="K1270" i="24" s="1"/>
  <c r="J1271" i="24"/>
  <c r="K1271" i="24" s="1"/>
  <c r="J1272" i="24"/>
  <c r="K1272" i="24" s="1"/>
  <c r="J1273" i="24"/>
  <c r="K1273" i="24" s="1"/>
  <c r="J1274" i="24"/>
  <c r="K1274" i="24" s="1"/>
  <c r="J1275" i="24"/>
  <c r="K1275" i="24" s="1"/>
  <c r="J1276" i="24"/>
  <c r="K1276" i="24" s="1"/>
  <c r="K1277" i="24"/>
  <c r="J1278" i="24"/>
  <c r="K1278" i="24" s="1"/>
  <c r="J1279" i="24"/>
  <c r="K1279" i="24" s="1"/>
  <c r="J1280" i="24"/>
  <c r="K1280" i="24" s="1"/>
  <c r="J1281" i="24"/>
  <c r="K1281" i="24" s="1"/>
  <c r="J1282" i="24"/>
  <c r="K1282" i="24" s="1"/>
  <c r="J1283" i="24"/>
  <c r="K1283" i="24" s="1"/>
  <c r="J1284" i="24"/>
  <c r="K1284" i="24" s="1"/>
  <c r="K1285" i="24"/>
  <c r="J1286" i="24"/>
  <c r="K1286" i="24" s="1"/>
  <c r="K1287" i="24"/>
  <c r="J1288" i="24"/>
  <c r="K1288" i="24" s="1"/>
  <c r="J1289" i="24"/>
  <c r="K1289" i="24" s="1"/>
  <c r="J1290" i="24"/>
  <c r="K1290" i="24" s="1"/>
  <c r="K1291" i="24"/>
  <c r="K1292" i="24"/>
  <c r="J1293" i="24"/>
  <c r="K1293" i="24" s="1"/>
  <c r="K1294" i="24"/>
  <c r="J1295" i="24"/>
  <c r="K1295" i="24" s="1"/>
  <c r="K1296" i="24"/>
  <c r="K1297" i="24"/>
  <c r="J1298" i="24"/>
  <c r="K1298" i="24" s="1"/>
  <c r="J1299" i="24"/>
  <c r="K1299" i="24" s="1"/>
  <c r="J1300" i="24"/>
  <c r="K1300" i="24" s="1"/>
  <c r="J1301" i="24"/>
  <c r="K1301" i="24" s="1"/>
  <c r="J1302" i="24"/>
  <c r="K1302" i="24" s="1"/>
  <c r="J1303" i="24"/>
  <c r="K1303" i="24" s="1"/>
  <c r="J1304" i="24"/>
  <c r="K1304" i="24" s="1"/>
  <c r="J1305" i="24"/>
  <c r="K1305" i="24" s="1"/>
  <c r="K1306" i="24"/>
  <c r="J1307" i="24"/>
  <c r="K1307" i="24" s="1"/>
  <c r="J1308" i="24"/>
  <c r="K1308" i="24" s="1"/>
  <c r="J1309" i="24"/>
  <c r="K1309" i="24" s="1"/>
  <c r="J1310" i="24"/>
  <c r="K1310" i="24" s="1"/>
  <c r="J1311" i="24"/>
  <c r="K1311" i="24" s="1"/>
  <c r="J1312" i="24"/>
  <c r="K1312" i="24" s="1"/>
  <c r="J1313" i="24"/>
  <c r="K1313" i="24" s="1"/>
  <c r="J1314" i="24"/>
  <c r="K1314" i="24" s="1"/>
  <c r="J1315" i="24"/>
  <c r="K1315" i="24" s="1"/>
  <c r="J1316" i="24"/>
  <c r="K1316" i="24" s="1"/>
  <c r="J1317" i="24"/>
  <c r="K1317" i="24" s="1"/>
  <c r="K1318" i="24"/>
  <c r="K1319" i="24"/>
  <c r="J1320" i="24"/>
  <c r="K1320" i="24" s="1"/>
  <c r="J1321" i="24"/>
  <c r="K1321" i="24" s="1"/>
  <c r="K1322" i="24"/>
  <c r="J1323" i="24"/>
  <c r="K1323" i="24" s="1"/>
  <c r="J1324" i="24"/>
  <c r="K1324" i="24" s="1"/>
  <c r="J1325" i="24"/>
  <c r="K1325" i="24" s="1"/>
  <c r="K1326" i="24"/>
  <c r="K1327" i="24"/>
  <c r="J1328" i="24"/>
  <c r="K1328" i="24" s="1"/>
  <c r="J1329" i="24"/>
  <c r="K1329" i="24" s="1"/>
  <c r="K1330" i="24"/>
  <c r="K1331" i="24"/>
  <c r="K1332" i="24"/>
  <c r="K1333" i="24"/>
  <c r="J1334" i="24"/>
  <c r="K1334" i="24" s="1"/>
  <c r="J1335" i="24"/>
  <c r="K1335" i="24" s="1"/>
  <c r="K1336" i="24"/>
  <c r="J1337" i="24"/>
  <c r="K1337" i="24" s="1"/>
  <c r="J1338" i="24"/>
  <c r="K1338" i="24" s="1"/>
  <c r="J1339" i="24"/>
  <c r="K1339" i="24" s="1"/>
  <c r="J1340" i="24"/>
  <c r="K1340" i="24" s="1"/>
  <c r="J1341" i="24"/>
  <c r="K1341" i="24" s="1"/>
  <c r="K1342" i="24"/>
  <c r="K1343" i="24"/>
  <c r="K1344" i="24"/>
  <c r="K1345" i="24"/>
  <c r="K1346" i="24"/>
  <c r="J1347" i="24"/>
  <c r="K1347" i="24" s="1"/>
  <c r="J1348" i="24"/>
  <c r="K1348" i="24" s="1"/>
  <c r="J1349" i="24"/>
  <c r="K1349" i="24" s="1"/>
  <c r="J1350" i="24"/>
  <c r="K1350" i="24" s="1"/>
  <c r="J1351" i="24"/>
  <c r="K1351" i="24" s="1"/>
  <c r="K1352" i="24"/>
  <c r="J1353" i="24"/>
  <c r="K1353" i="24" s="1"/>
  <c r="J1354" i="24"/>
  <c r="K1354" i="24" s="1"/>
  <c r="J1355" i="24"/>
  <c r="K1355" i="24" s="1"/>
  <c r="J1356" i="24"/>
  <c r="K1356" i="24" s="1"/>
  <c r="J1357" i="24"/>
  <c r="K1357" i="24" s="1"/>
  <c r="J1358" i="24"/>
  <c r="K1358" i="24" s="1"/>
  <c r="J1359" i="24"/>
  <c r="K1359" i="24" s="1"/>
  <c r="K1360" i="24"/>
  <c r="J1361" i="24"/>
  <c r="K1361" i="24" s="1"/>
  <c r="J1362" i="24"/>
  <c r="K1362" i="24" s="1"/>
  <c r="I1363" i="24"/>
  <c r="J1363" i="24"/>
  <c r="J1364" i="24"/>
  <c r="K1364" i="24" s="1"/>
  <c r="J1365" i="24"/>
  <c r="K1365" i="24" s="1"/>
  <c r="J1366" i="24"/>
  <c r="K1366" i="24" s="1"/>
  <c r="I1367" i="24"/>
  <c r="J1367" i="24"/>
  <c r="J1368" i="24"/>
  <c r="K1368" i="24" s="1"/>
  <c r="J1369" i="24"/>
  <c r="K1369" i="24" s="1"/>
  <c r="J1370" i="24"/>
  <c r="K1370" i="24" s="1"/>
  <c r="J1371" i="24"/>
  <c r="K1371" i="24" s="1"/>
  <c r="J1372" i="24"/>
  <c r="K1372" i="24" s="1"/>
  <c r="J1373" i="24"/>
  <c r="K1373" i="24" s="1"/>
  <c r="J1374" i="24"/>
  <c r="K1374" i="24" s="1"/>
  <c r="J1375" i="24"/>
  <c r="K1375" i="24" s="1"/>
  <c r="K1376" i="24"/>
  <c r="J1377" i="24"/>
  <c r="K1377" i="24" s="1"/>
  <c r="J1378" i="24"/>
  <c r="K1378" i="24" s="1"/>
  <c r="J1379" i="24"/>
  <c r="K1379" i="24" s="1"/>
  <c r="K1380" i="24"/>
  <c r="J1381" i="24"/>
  <c r="K1381" i="24" s="1"/>
  <c r="J1382" i="24"/>
  <c r="K1382" i="24" s="1"/>
  <c r="K1383" i="24"/>
  <c r="J1384" i="24"/>
  <c r="K1384" i="24" s="1"/>
  <c r="J1385" i="24"/>
  <c r="K1385" i="24" s="1"/>
  <c r="J1386" i="24"/>
  <c r="K1386" i="24" s="1"/>
  <c r="J1387" i="24"/>
  <c r="K1387" i="24" s="1"/>
  <c r="J1388" i="24"/>
  <c r="K1388" i="24" s="1"/>
  <c r="J1389" i="24"/>
  <c r="K1389" i="24" s="1"/>
  <c r="J1390" i="24"/>
  <c r="K1390" i="24" s="1"/>
  <c r="J1391" i="24"/>
  <c r="K1391" i="24" s="1"/>
  <c r="J1392" i="24"/>
  <c r="K1392" i="24" s="1"/>
  <c r="K1393" i="24"/>
  <c r="J1394" i="24"/>
  <c r="K1394" i="24" s="1"/>
  <c r="K1395" i="24"/>
  <c r="J1396" i="24"/>
  <c r="K1396" i="24" s="1"/>
  <c r="J1397" i="24"/>
  <c r="K1397" i="24" s="1"/>
  <c r="J1398" i="24"/>
  <c r="K1398" i="24" s="1"/>
  <c r="K1399" i="24"/>
  <c r="K1400" i="24"/>
  <c r="J1401" i="24"/>
  <c r="K1401" i="24" s="1"/>
  <c r="J1402" i="24"/>
  <c r="K1402" i="24" s="1"/>
  <c r="K1403" i="24"/>
  <c r="K1404" i="24"/>
  <c r="K1405" i="24"/>
  <c r="J1406" i="24"/>
  <c r="K1406" i="24" s="1"/>
  <c r="J1407" i="24"/>
  <c r="K1407" i="24" s="1"/>
  <c r="K1408" i="24"/>
  <c r="J1409" i="24"/>
  <c r="K1409" i="24" s="1"/>
  <c r="K1410" i="24"/>
  <c r="K1411" i="24"/>
  <c r="J1412" i="24"/>
  <c r="K1412" i="24" s="1"/>
  <c r="J1413" i="24"/>
  <c r="K1413" i="24" s="1"/>
  <c r="J1414" i="24"/>
  <c r="K1414" i="24" s="1"/>
  <c r="K1415" i="24"/>
  <c r="J1416" i="24"/>
  <c r="K1416" i="24" s="1"/>
  <c r="K1417" i="24"/>
  <c r="J1418" i="24"/>
  <c r="K1418" i="24" s="1"/>
  <c r="I1419" i="24"/>
  <c r="J1419" i="24"/>
  <c r="J1420" i="24"/>
  <c r="K1420" i="24" s="1"/>
  <c r="J1421" i="24"/>
  <c r="K1421" i="24" s="1"/>
  <c r="K1422" i="24"/>
  <c r="J1423" i="24"/>
  <c r="K1423" i="24" s="1"/>
  <c r="K1424" i="24"/>
  <c r="K1425" i="24"/>
  <c r="I1426" i="24"/>
  <c r="J1426" i="24"/>
  <c r="J1427" i="24"/>
  <c r="K1427" i="24" s="1"/>
  <c r="J1428" i="24"/>
  <c r="K1428" i="24" s="1"/>
  <c r="J1429" i="24"/>
  <c r="K1429" i="24" s="1"/>
  <c r="J1430" i="24"/>
  <c r="K1430" i="24" s="1"/>
  <c r="J1431" i="24"/>
  <c r="K1431" i="24" s="1"/>
  <c r="K1432" i="24"/>
  <c r="J1433" i="24"/>
  <c r="K1433" i="24" s="1"/>
  <c r="J1434" i="24"/>
  <c r="K1434" i="24" s="1"/>
  <c r="K1435" i="24"/>
  <c r="J1436" i="24"/>
  <c r="K1436" i="24" s="1"/>
  <c r="J1437" i="24"/>
  <c r="K1437" i="24" s="1"/>
  <c r="K1438" i="24"/>
  <c r="J1439" i="24"/>
  <c r="K1439" i="24" s="1"/>
  <c r="J1440" i="24"/>
  <c r="K1440" i="24" s="1"/>
  <c r="K1441" i="24"/>
  <c r="K1442" i="24"/>
  <c r="J1443" i="24"/>
  <c r="K1443" i="24" s="1"/>
  <c r="J1444" i="24"/>
  <c r="K1444" i="24" s="1"/>
  <c r="J1445" i="24"/>
  <c r="K1445" i="24" s="1"/>
  <c r="J1446" i="24"/>
  <c r="K1446" i="24" s="1"/>
  <c r="K1447" i="24"/>
  <c r="K1448" i="24"/>
  <c r="J1449" i="24"/>
  <c r="K1449" i="24" s="1"/>
  <c r="K1450" i="24"/>
  <c r="K1451" i="24"/>
  <c r="J1452" i="24"/>
  <c r="K1452" i="24" s="1"/>
  <c r="J1453" i="24"/>
  <c r="K1453" i="24" s="1"/>
  <c r="J1454" i="24"/>
  <c r="K1454" i="24" s="1"/>
  <c r="J1455" i="24"/>
  <c r="K1455" i="24" s="1"/>
  <c r="K1456" i="24"/>
  <c r="K1457" i="24"/>
  <c r="J1458" i="24"/>
  <c r="K1458" i="24" s="1"/>
  <c r="J1459" i="24"/>
  <c r="K1459" i="24" s="1"/>
  <c r="K1460" i="24"/>
  <c r="J1461" i="24"/>
  <c r="K1461" i="24" s="1"/>
  <c r="J1462" i="24"/>
  <c r="K1462" i="24" s="1"/>
  <c r="J1463" i="24"/>
  <c r="K1463" i="24" s="1"/>
  <c r="J1464" i="24"/>
  <c r="K1464" i="24" s="1"/>
  <c r="J1465" i="24"/>
  <c r="K1465" i="24" s="1"/>
  <c r="K1466" i="24"/>
  <c r="K1467" i="24"/>
  <c r="J1468" i="24"/>
  <c r="K1468" i="24" s="1"/>
  <c r="J1469" i="24"/>
  <c r="K1469" i="24" s="1"/>
  <c r="K1470" i="24"/>
  <c r="K1471" i="24"/>
  <c r="K1472" i="24"/>
  <c r="J1473" i="24"/>
  <c r="K1473" i="24" s="1"/>
  <c r="J1474" i="24"/>
  <c r="K1474" i="24" s="1"/>
  <c r="K1475" i="24"/>
  <c r="J1476" i="24"/>
  <c r="K1476" i="24" s="1"/>
  <c r="K1477" i="24"/>
  <c r="J1478" i="24"/>
  <c r="K1478" i="24" s="1"/>
  <c r="J1479" i="24"/>
  <c r="K1479" i="24" s="1"/>
  <c r="K1480" i="24"/>
  <c r="J1481" i="24"/>
  <c r="K1481" i="24" s="1"/>
  <c r="J1482" i="24"/>
  <c r="K1482" i="24" s="1"/>
  <c r="J1483" i="24"/>
  <c r="K1483" i="24" s="1"/>
  <c r="J1484" i="24"/>
  <c r="K1484" i="24" s="1"/>
  <c r="K1485" i="24"/>
  <c r="K1486" i="24"/>
  <c r="J1487" i="24"/>
  <c r="K1487" i="24" s="1"/>
  <c r="J1488" i="24"/>
  <c r="K1488" i="24" s="1"/>
  <c r="K1489" i="24"/>
  <c r="J1490" i="24"/>
  <c r="K1490" i="24" s="1"/>
  <c r="J1491" i="24"/>
  <c r="K1491" i="24" s="1"/>
  <c r="K1492" i="24"/>
  <c r="J1493" i="24"/>
  <c r="K1493" i="24" s="1"/>
  <c r="J1494" i="24"/>
  <c r="K1494" i="24" s="1"/>
  <c r="K1495" i="24"/>
  <c r="K1496" i="24"/>
  <c r="K1497" i="24"/>
  <c r="K1498" i="24"/>
  <c r="K1499" i="24"/>
  <c r="K1500" i="24"/>
  <c r="J1501" i="24"/>
  <c r="K1501" i="24" s="1"/>
  <c r="J1502" i="24"/>
  <c r="K1502" i="24" s="1"/>
  <c r="J1503" i="24"/>
  <c r="K1503" i="24" s="1"/>
  <c r="J1504" i="24"/>
  <c r="K1504" i="24" s="1"/>
  <c r="J1505" i="24"/>
  <c r="K1505" i="24" s="1"/>
  <c r="K1506" i="24"/>
  <c r="J1507" i="24"/>
  <c r="K1507" i="24" s="1"/>
  <c r="J1508" i="24"/>
  <c r="K1508" i="24" s="1"/>
  <c r="J1509" i="24"/>
  <c r="K1509" i="24" s="1"/>
  <c r="K1510" i="24"/>
  <c r="K1511" i="24"/>
  <c r="K1512" i="24"/>
  <c r="K1513" i="24"/>
  <c r="J1514" i="24"/>
  <c r="K1514" i="24" s="1"/>
  <c r="K1515" i="24"/>
  <c r="J1516" i="24"/>
  <c r="K1516" i="24" s="1"/>
  <c r="K1517" i="24"/>
  <c r="J1518" i="24"/>
  <c r="K1518" i="24" s="1"/>
  <c r="J1519" i="24"/>
  <c r="K1519" i="24" s="1"/>
  <c r="K1520" i="24"/>
  <c r="K1521" i="24"/>
  <c r="J1522" i="24"/>
  <c r="K1522" i="24" s="1"/>
  <c r="J1523" i="24"/>
  <c r="K1523" i="24" s="1"/>
  <c r="J1524" i="24"/>
  <c r="K1524" i="24" s="1"/>
  <c r="J1525" i="24"/>
  <c r="K1525" i="24" s="1"/>
  <c r="J1526" i="24"/>
  <c r="K1526" i="24" s="1"/>
  <c r="J1527" i="24"/>
  <c r="K1527" i="24" s="1"/>
  <c r="J1528" i="24"/>
  <c r="K1528" i="24" s="1"/>
  <c r="K1529" i="24"/>
  <c r="J1530" i="24"/>
  <c r="K1530" i="24" s="1"/>
  <c r="J1531" i="24"/>
  <c r="K1531" i="24" s="1"/>
  <c r="J1532" i="24"/>
  <c r="K1532" i="24" s="1"/>
  <c r="K1533" i="24"/>
  <c r="J1534" i="24"/>
  <c r="K1534" i="24" s="1"/>
  <c r="J1535" i="24"/>
  <c r="K1535" i="24" s="1"/>
  <c r="J1536" i="24"/>
  <c r="K1536" i="24" s="1"/>
  <c r="J1537" i="24"/>
  <c r="K1537" i="24" s="1"/>
  <c r="K1538" i="24"/>
  <c r="K1539" i="24"/>
  <c r="K1540" i="24"/>
  <c r="J1541" i="24"/>
  <c r="K1541" i="24" s="1"/>
  <c r="K1542" i="24"/>
  <c r="K1543" i="24"/>
  <c r="J1544" i="24"/>
  <c r="K1544" i="24" s="1"/>
  <c r="J1545" i="24"/>
  <c r="K1545" i="24" s="1"/>
  <c r="K1546" i="24"/>
  <c r="K1547" i="24"/>
  <c r="K1548" i="24"/>
  <c r="K1549" i="24"/>
  <c r="J1550" i="24"/>
  <c r="K1550" i="24" s="1"/>
  <c r="J1551" i="24"/>
  <c r="K1551" i="24" s="1"/>
  <c r="J1552" i="24"/>
  <c r="K1552" i="24" s="1"/>
  <c r="J1553" i="24"/>
  <c r="K1553" i="24" s="1"/>
  <c r="J1554" i="24"/>
  <c r="K1554" i="24" s="1"/>
  <c r="K1555" i="24"/>
  <c r="J1556" i="24"/>
  <c r="K1556" i="24" s="1"/>
  <c r="J1557" i="24"/>
  <c r="K1557" i="24" s="1"/>
  <c r="J1558" i="24"/>
  <c r="K1558" i="24" s="1"/>
  <c r="K1559" i="24"/>
  <c r="J1560" i="24"/>
  <c r="K1560" i="24" s="1"/>
  <c r="J1561" i="24"/>
  <c r="K1561" i="24" s="1"/>
  <c r="J1562" i="24"/>
  <c r="K1562" i="24" s="1"/>
  <c r="K1563" i="24"/>
  <c r="J1564" i="24"/>
  <c r="K1564" i="24" s="1"/>
  <c r="J1565" i="24"/>
  <c r="K1565" i="24" s="1"/>
  <c r="K1566" i="24"/>
  <c r="K1567" i="24"/>
  <c r="J1568" i="24"/>
  <c r="K1568" i="24" s="1"/>
  <c r="K1569" i="24"/>
  <c r="K1570" i="24"/>
  <c r="K1571" i="24"/>
  <c r="J1572" i="24"/>
  <c r="K1572" i="24" s="1"/>
  <c r="K1573" i="24"/>
  <c r="J1574" i="24"/>
  <c r="K1574" i="24" s="1"/>
  <c r="J1575" i="24"/>
  <c r="K1575" i="24" s="1"/>
  <c r="K1576" i="24"/>
  <c r="J1577" i="24"/>
  <c r="K1577" i="24" s="1"/>
  <c r="K1578" i="24"/>
  <c r="K1579" i="24"/>
  <c r="J1580" i="24"/>
  <c r="K1580" i="24" s="1"/>
  <c r="J1581" i="24"/>
  <c r="K1581" i="24" s="1"/>
  <c r="J1582" i="24"/>
  <c r="K1582" i="24" s="1"/>
  <c r="K1583" i="24"/>
  <c r="J1584" i="24"/>
  <c r="K1584" i="24" s="1"/>
  <c r="J1585" i="24"/>
  <c r="K1585" i="24" s="1"/>
  <c r="J1586" i="24"/>
  <c r="K1586" i="24" s="1"/>
  <c r="K1587" i="24"/>
  <c r="K1588" i="24"/>
  <c r="K1589" i="24"/>
  <c r="K1590" i="24"/>
  <c r="J1591" i="24"/>
  <c r="K1591" i="24" s="1"/>
  <c r="J1592" i="24"/>
  <c r="K1592" i="24" s="1"/>
  <c r="J1593" i="24"/>
  <c r="K1593" i="24" s="1"/>
  <c r="J1594" i="24"/>
  <c r="K1594" i="24" s="1"/>
  <c r="J1595" i="24"/>
  <c r="K1595" i="24" s="1"/>
  <c r="K1596" i="24"/>
  <c r="K1597" i="24"/>
  <c r="K1598" i="24"/>
  <c r="K1599" i="24"/>
  <c r="J1600" i="24"/>
  <c r="K1600" i="24" s="1"/>
  <c r="K1601" i="24"/>
  <c r="J1602" i="24"/>
  <c r="K1602" i="24" s="1"/>
  <c r="K1603" i="24"/>
  <c r="J1604" i="24"/>
  <c r="K1604" i="24" s="1"/>
  <c r="J1605" i="24"/>
  <c r="K1605" i="24" s="1"/>
  <c r="K1606" i="24"/>
  <c r="K1607" i="24"/>
  <c r="J1608" i="24"/>
  <c r="K1608" i="24" s="1"/>
  <c r="K1609" i="24"/>
  <c r="J1610" i="24"/>
  <c r="K1610" i="24" s="1"/>
  <c r="K1611" i="24"/>
  <c r="K1612" i="24"/>
  <c r="K1613" i="24"/>
  <c r="J1614" i="24"/>
  <c r="K1614" i="24" s="1"/>
  <c r="J1615" i="24"/>
  <c r="K1615" i="24" s="1"/>
  <c r="K1616" i="24"/>
  <c r="J1617" i="24"/>
  <c r="K1617" i="24" s="1"/>
  <c r="K1618" i="24"/>
  <c r="K1619" i="24"/>
  <c r="K1620" i="24"/>
  <c r="K1621" i="24"/>
  <c r="K1622" i="24"/>
  <c r="J1623" i="24"/>
  <c r="K1623" i="24" s="1"/>
  <c r="J1624" i="24"/>
  <c r="K1624" i="24" s="1"/>
  <c r="J1625" i="24"/>
  <c r="K1625" i="24" s="1"/>
  <c r="K1626" i="24"/>
  <c r="K1627" i="24"/>
  <c r="J1628" i="24"/>
  <c r="K1628" i="24" s="1"/>
  <c r="K1629" i="24"/>
  <c r="K1630" i="24"/>
  <c r="K1631" i="24"/>
  <c r="J1632" i="24"/>
  <c r="K1632" i="24" s="1"/>
  <c r="K1633" i="24"/>
  <c r="K1634" i="24"/>
  <c r="K1635" i="24"/>
  <c r="J1636" i="24"/>
  <c r="K1636" i="24" s="1"/>
  <c r="K1637" i="24"/>
  <c r="J1638" i="24"/>
  <c r="K1638" i="24" s="1"/>
  <c r="J1639" i="24"/>
  <c r="K1639" i="24" s="1"/>
  <c r="J1640" i="24"/>
  <c r="K1640" i="24" s="1"/>
  <c r="K1641" i="24"/>
  <c r="K1642" i="24"/>
  <c r="K1643" i="24"/>
  <c r="K1644" i="24"/>
  <c r="K1645" i="24"/>
  <c r="K1646" i="24"/>
  <c r="J1647" i="24"/>
  <c r="K1647" i="24" s="1"/>
  <c r="J1648" i="24"/>
  <c r="K1648" i="24" s="1"/>
  <c r="J1649" i="24"/>
  <c r="K1649" i="24" s="1"/>
  <c r="K1650" i="24"/>
  <c r="J1651" i="24"/>
  <c r="K1651" i="24" s="1"/>
  <c r="J1652" i="24"/>
  <c r="K1652" i="24" s="1"/>
  <c r="J1653" i="24"/>
  <c r="K1653" i="24" s="1"/>
  <c r="J1654" i="24"/>
  <c r="K1654" i="24" s="1"/>
  <c r="J1655" i="24"/>
  <c r="K1655" i="24" s="1"/>
  <c r="J1656" i="24"/>
  <c r="K1656" i="24" s="1"/>
  <c r="J1657" i="24"/>
  <c r="K1657" i="24" s="1"/>
  <c r="J1658" i="24"/>
  <c r="K1658" i="24" s="1"/>
  <c r="J1659" i="24"/>
  <c r="K1659" i="24" s="1"/>
  <c r="K1660" i="24"/>
  <c r="K1661" i="24"/>
  <c r="K1662" i="24"/>
  <c r="K1663" i="24"/>
  <c r="K1664" i="24"/>
  <c r="J1665" i="24"/>
  <c r="K1665" i="24" s="1"/>
  <c r="K1666" i="24"/>
  <c r="K1667" i="24"/>
  <c r="K1668" i="24"/>
  <c r="K1669" i="24"/>
  <c r="K1670" i="24"/>
  <c r="K1671" i="24"/>
  <c r="K1672" i="24"/>
  <c r="J1673" i="24"/>
  <c r="K1673" i="24" s="1"/>
  <c r="K1674" i="24"/>
  <c r="K1675" i="24"/>
  <c r="K1676" i="24"/>
  <c r="K1677" i="24"/>
  <c r="K1678" i="24"/>
  <c r="K1679" i="24"/>
  <c r="K1680" i="24"/>
  <c r="K1681" i="24"/>
  <c r="K1682" i="24"/>
  <c r="J1683" i="24"/>
  <c r="K1683" i="24" s="1"/>
  <c r="J1684" i="24"/>
  <c r="K1684" i="24" s="1"/>
  <c r="K1685" i="24"/>
  <c r="K1686" i="24"/>
  <c r="K1687" i="24"/>
  <c r="J1688" i="24"/>
  <c r="K1688" i="24" s="1"/>
  <c r="J1689" i="24"/>
  <c r="K1689" i="24" s="1"/>
  <c r="K1690" i="24"/>
  <c r="K1691" i="24"/>
  <c r="K1692" i="24"/>
  <c r="J1693" i="24"/>
  <c r="K1693" i="24" s="1"/>
  <c r="K1694" i="24"/>
  <c r="K1695" i="24"/>
  <c r="K1696" i="24"/>
  <c r="K1697" i="24"/>
  <c r="K1698" i="24"/>
  <c r="K1699" i="24"/>
  <c r="K1700" i="24"/>
  <c r="J1701" i="24"/>
  <c r="K1701" i="24" s="1"/>
  <c r="K1702" i="24"/>
  <c r="K1703" i="24"/>
  <c r="K1704" i="24"/>
  <c r="J1705" i="24"/>
  <c r="K1705" i="24" s="1"/>
  <c r="J1706" i="24"/>
  <c r="K1706" i="24" s="1"/>
  <c r="K1707" i="24"/>
  <c r="K1708" i="24"/>
  <c r="K1709" i="24"/>
  <c r="K1710" i="24"/>
  <c r="K1711" i="24"/>
  <c r="K1712" i="24"/>
  <c r="K1713" i="24"/>
  <c r="J1714" i="24"/>
  <c r="K1714" i="24" s="1"/>
  <c r="K1715" i="24"/>
  <c r="K1716" i="24"/>
  <c r="K1717" i="24"/>
  <c r="K1718" i="24"/>
  <c r="K1719" i="24"/>
  <c r="K1720" i="24"/>
  <c r="K1721" i="24"/>
  <c r="J1722" i="24"/>
  <c r="K1722" i="24" s="1"/>
  <c r="K1723" i="24"/>
  <c r="J1724" i="24"/>
  <c r="K1724" i="24" s="1"/>
  <c r="K1725" i="24"/>
  <c r="K1726" i="24"/>
  <c r="J1727" i="24"/>
  <c r="K1727" i="24" s="1"/>
  <c r="K1728" i="24"/>
  <c r="J1729" i="24"/>
  <c r="K1729" i="24" s="1"/>
  <c r="K1730" i="24"/>
  <c r="J1731" i="24"/>
  <c r="K1731" i="24" s="1"/>
  <c r="K1732" i="24"/>
  <c r="K1733" i="24"/>
  <c r="K1734" i="24"/>
  <c r="J1735" i="24"/>
  <c r="K1735" i="24" s="1"/>
  <c r="J1736" i="24"/>
  <c r="K1736" i="24" s="1"/>
  <c r="J1737" i="24"/>
  <c r="K1737" i="24" s="1"/>
  <c r="K1738" i="24"/>
  <c r="K1739" i="24"/>
  <c r="K1740" i="24"/>
  <c r="J1741" i="24"/>
  <c r="K1741" i="24" s="1"/>
  <c r="J1742" i="24"/>
  <c r="K1742" i="24" s="1"/>
  <c r="J1743" i="24"/>
  <c r="K1743" i="24" s="1"/>
  <c r="K1744" i="24"/>
  <c r="K1745" i="24"/>
  <c r="J1746" i="24"/>
  <c r="K1746" i="24" s="1"/>
  <c r="K1747" i="24"/>
  <c r="J1748" i="24"/>
  <c r="K1748" i="24" s="1"/>
  <c r="J1749" i="24"/>
  <c r="K1749" i="24" s="1"/>
  <c r="K1750" i="24"/>
  <c r="K1751" i="24"/>
  <c r="K1752" i="24"/>
  <c r="K1753" i="24"/>
  <c r="K1754" i="24"/>
  <c r="J1755" i="24"/>
  <c r="K1755" i="24" s="1"/>
  <c r="K1756" i="24"/>
  <c r="K1757" i="24"/>
  <c r="J1758" i="24"/>
  <c r="K1758" i="24" s="1"/>
  <c r="J1759" i="24"/>
  <c r="K1759" i="24" s="1"/>
  <c r="J1760" i="24"/>
  <c r="K1760" i="24" s="1"/>
  <c r="K1761" i="24"/>
  <c r="K1762" i="24"/>
  <c r="K1763" i="24"/>
  <c r="J1764" i="24"/>
  <c r="K1764" i="24" s="1"/>
  <c r="K1765" i="24"/>
  <c r="K1766" i="24"/>
  <c r="J1767" i="24"/>
  <c r="K1767" i="24" s="1"/>
  <c r="J1768" i="24"/>
  <c r="K1768" i="24" s="1"/>
  <c r="J1769" i="24"/>
  <c r="K1769" i="24" s="1"/>
  <c r="J1770" i="24"/>
  <c r="K1770" i="24" s="1"/>
  <c r="J1771" i="24"/>
  <c r="K1771" i="24" s="1"/>
  <c r="K1772" i="24"/>
  <c r="K1773" i="24"/>
  <c r="K1774" i="24"/>
  <c r="K1775" i="24"/>
  <c r="K1776" i="24"/>
  <c r="K1777" i="24"/>
  <c r="K1778" i="24"/>
  <c r="J1779" i="24"/>
  <c r="K1779" i="24" s="1"/>
  <c r="K1780" i="24"/>
  <c r="J1781" i="24"/>
  <c r="K1781" i="24" s="1"/>
  <c r="K1782" i="24"/>
  <c r="K1783" i="24"/>
  <c r="K1784" i="24"/>
  <c r="J1785" i="24"/>
  <c r="K1785" i="24" s="1"/>
  <c r="K1786" i="24"/>
  <c r="K1787" i="24"/>
  <c r="K1788" i="24"/>
  <c r="K1789" i="24"/>
  <c r="K1790" i="24"/>
  <c r="K1791" i="24"/>
  <c r="J1792" i="24"/>
  <c r="K1792" i="24" s="1"/>
  <c r="J1793" i="24"/>
  <c r="K1793" i="24" s="1"/>
  <c r="J1794" i="24"/>
  <c r="K1794" i="24" s="1"/>
  <c r="J1795" i="24"/>
  <c r="K1795" i="24" s="1"/>
  <c r="J1796" i="24"/>
  <c r="K1796" i="24" s="1"/>
  <c r="K1797" i="24"/>
  <c r="K1798" i="24"/>
  <c r="J1799" i="24"/>
  <c r="K1799" i="24" s="1"/>
  <c r="K1800" i="24"/>
  <c r="J1801" i="24"/>
  <c r="K1801" i="24" s="1"/>
  <c r="J1802" i="24"/>
  <c r="K1802" i="24" s="1"/>
  <c r="J1803" i="24"/>
  <c r="K1803" i="24" s="1"/>
  <c r="K1804" i="24"/>
  <c r="K1805" i="24"/>
  <c r="J1806" i="24"/>
  <c r="K1806" i="24" s="1"/>
  <c r="J1807" i="24"/>
  <c r="K1807" i="24" s="1"/>
  <c r="K1808" i="24"/>
  <c r="K1809" i="24"/>
  <c r="K1810" i="24"/>
  <c r="K1811" i="24"/>
  <c r="K1812" i="24"/>
  <c r="J1813" i="24"/>
  <c r="K1813" i="24" s="1"/>
  <c r="K1814" i="24"/>
  <c r="K1815" i="24"/>
  <c r="J1816" i="24"/>
  <c r="K1816" i="24" s="1"/>
  <c r="K1817" i="24"/>
  <c r="K1818" i="24"/>
  <c r="K1819" i="24"/>
  <c r="K1820" i="24"/>
  <c r="K1821" i="24"/>
  <c r="K1822" i="24"/>
  <c r="K1823" i="24"/>
  <c r="J1824" i="24"/>
  <c r="K1824" i="24" s="1"/>
  <c r="J1825" i="24"/>
  <c r="K1825" i="24" s="1"/>
  <c r="K1826" i="24"/>
  <c r="K1827" i="24"/>
  <c r="J1828" i="24"/>
  <c r="K1828" i="24" s="1"/>
  <c r="J1829" i="24"/>
  <c r="K1829" i="24" s="1"/>
  <c r="J1830" i="24"/>
  <c r="K1830" i="24" s="1"/>
  <c r="J1831" i="24"/>
  <c r="K1831" i="24" s="1"/>
  <c r="K1832" i="24"/>
  <c r="J1833" i="24"/>
  <c r="K1833" i="24" s="1"/>
  <c r="J1834" i="24"/>
  <c r="K1834" i="24" s="1"/>
  <c r="J1835" i="24"/>
  <c r="K1835" i="24" s="1"/>
  <c r="J1836" i="24"/>
  <c r="K1836" i="24" s="1"/>
  <c r="J1837" i="24"/>
  <c r="K1837" i="24" s="1"/>
  <c r="K1838" i="24"/>
  <c r="K1839" i="24"/>
  <c r="J1840" i="24"/>
  <c r="K1840" i="24" s="1"/>
  <c r="K1841" i="24"/>
  <c r="K1842" i="24"/>
  <c r="K1843" i="24"/>
  <c r="K1844" i="24"/>
  <c r="J1845" i="24"/>
  <c r="K1845" i="24" s="1"/>
  <c r="J1846" i="24"/>
  <c r="K1846" i="24" s="1"/>
  <c r="K1847" i="24"/>
  <c r="J1848" i="24"/>
  <c r="K1848" i="24" s="1"/>
  <c r="K1849" i="24"/>
  <c r="J1850" i="24"/>
  <c r="K1850" i="24" s="1"/>
  <c r="K1851" i="24"/>
  <c r="K1852" i="24"/>
  <c r="J1853" i="24"/>
  <c r="K1853" i="24" s="1"/>
  <c r="K1854" i="24"/>
  <c r="J1855" i="24"/>
  <c r="K1855" i="24" s="1"/>
  <c r="K1856" i="24"/>
  <c r="K1857" i="24"/>
  <c r="J1858" i="24"/>
  <c r="K1858" i="24" s="1"/>
  <c r="K1859" i="24"/>
  <c r="K1860" i="24"/>
  <c r="K1861" i="24"/>
  <c r="K1862" i="24"/>
  <c r="J1863" i="24"/>
  <c r="K1863" i="24" s="1"/>
  <c r="J1864" i="24"/>
  <c r="K1864" i="24" s="1"/>
  <c r="J1865" i="24"/>
  <c r="K1865" i="24" s="1"/>
  <c r="K1866" i="24"/>
  <c r="J1867" i="24"/>
  <c r="K1867" i="24" s="1"/>
  <c r="J1868" i="24"/>
  <c r="K1868" i="24" s="1"/>
  <c r="J1869" i="24"/>
  <c r="K1869" i="24" s="1"/>
  <c r="K1870" i="24"/>
  <c r="K1871" i="24"/>
  <c r="K1872" i="24"/>
  <c r="K1873" i="24"/>
  <c r="J1874" i="24"/>
  <c r="K1874" i="24" s="1"/>
  <c r="J1875" i="24"/>
  <c r="K1875" i="24" s="1"/>
  <c r="K1876" i="24"/>
  <c r="K1877" i="24"/>
  <c r="K1878" i="24"/>
  <c r="J1879" i="24"/>
  <c r="K1879" i="24" s="1"/>
  <c r="K1880" i="24"/>
  <c r="J1881" i="24"/>
  <c r="K1881" i="24" s="1"/>
  <c r="J1882" i="24"/>
  <c r="K1882" i="24" s="1"/>
  <c r="J1883" i="24"/>
  <c r="K1883" i="24" s="1"/>
  <c r="K1884" i="24"/>
  <c r="K1885" i="24"/>
  <c r="J1886" i="24"/>
  <c r="K1886" i="24" s="1"/>
  <c r="K1887" i="24"/>
  <c r="J1888" i="24"/>
  <c r="K1888" i="24" s="1"/>
  <c r="K1889" i="24"/>
  <c r="J1890" i="24"/>
  <c r="K1890" i="24" s="1"/>
  <c r="J1891" i="24"/>
  <c r="K1891" i="24" s="1"/>
  <c r="K1892" i="24"/>
  <c r="K1893" i="24"/>
  <c r="J1894" i="24"/>
  <c r="K1894" i="24" s="1"/>
  <c r="J1895" i="24"/>
  <c r="K1895" i="24" s="1"/>
  <c r="J1896" i="24"/>
  <c r="K1896" i="24" s="1"/>
  <c r="K1897" i="24"/>
  <c r="J1898" i="24"/>
  <c r="K1898" i="24" s="1"/>
  <c r="K1899" i="24"/>
  <c r="K1900" i="24"/>
  <c r="K1901" i="24"/>
  <c r="K1902" i="24"/>
  <c r="K1903" i="24"/>
  <c r="K1904" i="24"/>
  <c r="J1905" i="24"/>
  <c r="K1905" i="24" s="1"/>
  <c r="K1906" i="24"/>
  <c r="K1907" i="24"/>
  <c r="K1908" i="24"/>
  <c r="J1909" i="24"/>
  <c r="K1909" i="24" s="1"/>
  <c r="K1910" i="24"/>
  <c r="K1911" i="24"/>
  <c r="K1912" i="24"/>
  <c r="J1913" i="24"/>
  <c r="K1913" i="24" s="1"/>
  <c r="J1914" i="24"/>
  <c r="K1914" i="24" s="1"/>
  <c r="J1915" i="24"/>
  <c r="K1915" i="24" s="1"/>
  <c r="J1916" i="24"/>
  <c r="K1916" i="24" s="1"/>
  <c r="J1917" i="24"/>
  <c r="K1917" i="24" s="1"/>
  <c r="K1918" i="24"/>
  <c r="K1919" i="24"/>
  <c r="K1920" i="24"/>
  <c r="K1921" i="24"/>
  <c r="J1922" i="24"/>
  <c r="K1922" i="24" s="1"/>
  <c r="K1923" i="24"/>
  <c r="K1924" i="24"/>
  <c r="K1925" i="24"/>
  <c r="K1926" i="24"/>
  <c r="J1927" i="24"/>
  <c r="K1927" i="24" s="1"/>
  <c r="J1928" i="24"/>
  <c r="K1928" i="24" s="1"/>
  <c r="K1929" i="24"/>
  <c r="K1930" i="24"/>
  <c r="K1931" i="24"/>
  <c r="K1932" i="24"/>
  <c r="J1933" i="24"/>
  <c r="K1933" i="24" s="1"/>
  <c r="K1934" i="24"/>
  <c r="J1935" i="24"/>
  <c r="K1935" i="24" s="1"/>
  <c r="K1936" i="24"/>
  <c r="K1937" i="24"/>
  <c r="K1938" i="24"/>
  <c r="K1939" i="24"/>
  <c r="K1940" i="24"/>
  <c r="K1941" i="24"/>
  <c r="J1942" i="24"/>
  <c r="K1942" i="24" s="1"/>
  <c r="K1943" i="24"/>
  <c r="J1944" i="24"/>
  <c r="K1944" i="24" s="1"/>
  <c r="K1945" i="24"/>
  <c r="K1946" i="24"/>
  <c r="K1947" i="24"/>
  <c r="J1948" i="24"/>
  <c r="K1948" i="24" s="1"/>
  <c r="K1949" i="24"/>
  <c r="J1950" i="24"/>
  <c r="K1950" i="24" s="1"/>
  <c r="J1951" i="24"/>
  <c r="K1951" i="24" s="1"/>
  <c r="J1952" i="24"/>
  <c r="K1952" i="24" s="1"/>
  <c r="J1953" i="24"/>
  <c r="K1953" i="24" s="1"/>
  <c r="K1954" i="24"/>
  <c r="J1955" i="24"/>
  <c r="K1955" i="24" s="1"/>
  <c r="K1956" i="24"/>
  <c r="J1957" i="24"/>
  <c r="K1957" i="24" s="1"/>
  <c r="K1958" i="24"/>
  <c r="J1959" i="24"/>
  <c r="K1959" i="24" s="1"/>
  <c r="J1960" i="24"/>
  <c r="K1960" i="24" s="1"/>
  <c r="J1961" i="24"/>
  <c r="K1961" i="24" s="1"/>
  <c r="K1962" i="24"/>
  <c r="K1963" i="24"/>
  <c r="K1964" i="24"/>
  <c r="J1965" i="24"/>
  <c r="K1965" i="24" s="1"/>
  <c r="J1966" i="24"/>
  <c r="K1966" i="24" s="1"/>
  <c r="K1967" i="24"/>
  <c r="J1968" i="24"/>
  <c r="K1968" i="24" s="1"/>
  <c r="K1969" i="24"/>
  <c r="K1970" i="24"/>
  <c r="K1971" i="24"/>
  <c r="K1972" i="24"/>
  <c r="K1973" i="24"/>
  <c r="J1974" i="24"/>
  <c r="K1974" i="24" s="1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J1989" i="24"/>
  <c r="K1989" i="24" s="1"/>
  <c r="J1990" i="24"/>
  <c r="K1990" i="24" s="1"/>
  <c r="K1991" i="24"/>
  <c r="J1992" i="24"/>
  <c r="K1992" i="24" s="1"/>
  <c r="K1993" i="24"/>
  <c r="K1994" i="24"/>
  <c r="J1995" i="24"/>
  <c r="K1995" i="24" s="1"/>
  <c r="K1996" i="24"/>
  <c r="K1997" i="24"/>
  <c r="K1998" i="24"/>
  <c r="K1999" i="24"/>
  <c r="J2000" i="24"/>
  <c r="K2000" i="24" s="1"/>
  <c r="J2001" i="24"/>
  <c r="K2001" i="24" s="1"/>
  <c r="J2002" i="24"/>
  <c r="K2002" i="24" s="1"/>
  <c r="K2003" i="24"/>
  <c r="K2004" i="24"/>
  <c r="K2005" i="24"/>
  <c r="J2006" i="24"/>
  <c r="K2006" i="24" s="1"/>
  <c r="K2007" i="24"/>
  <c r="J2008" i="24"/>
  <c r="K2008" i="24" s="1"/>
  <c r="K2009" i="24"/>
  <c r="J2010" i="24"/>
  <c r="K2010" i="24" s="1"/>
  <c r="K2011" i="24"/>
  <c r="K2012" i="24"/>
  <c r="K2013" i="24"/>
  <c r="J2014" i="24"/>
  <c r="K2014" i="24" s="1"/>
  <c r="K2015" i="24"/>
  <c r="J2016" i="24"/>
  <c r="K2016" i="24" s="1"/>
  <c r="K2017" i="24"/>
  <c r="J2018" i="24"/>
  <c r="K2018" i="24" s="1"/>
  <c r="K2019" i="24"/>
  <c r="K2020" i="24"/>
  <c r="J2021" i="24"/>
  <c r="K2021" i="24" s="1"/>
  <c r="J2022" i="24"/>
  <c r="K2022" i="24" s="1"/>
  <c r="K2023" i="24"/>
  <c r="K2024" i="24"/>
  <c r="K2025" i="24"/>
  <c r="K2026" i="24"/>
  <c r="J2027" i="24"/>
  <c r="K2027" i="24" s="1"/>
  <c r="J2028" i="24"/>
  <c r="K2028" i="24" s="1"/>
  <c r="K2029" i="24"/>
  <c r="K2030" i="24"/>
  <c r="J2031" i="24"/>
  <c r="K2031" i="24" s="1"/>
  <c r="K2032" i="24"/>
  <c r="J2033" i="24"/>
  <c r="K2033" i="24" s="1"/>
  <c r="K2034" i="24"/>
  <c r="K2035" i="24"/>
  <c r="K2036" i="24"/>
  <c r="K2037" i="24"/>
  <c r="K2038" i="24"/>
  <c r="J2039" i="24"/>
  <c r="K2039" i="24" s="1"/>
  <c r="K2040" i="24"/>
  <c r="K2041" i="24"/>
  <c r="K2042" i="24"/>
  <c r="K2043" i="24"/>
  <c r="J2044" i="24"/>
  <c r="K2044" i="24" s="1"/>
  <c r="J2045" i="24"/>
  <c r="K2045" i="24" s="1"/>
  <c r="K2046" i="24"/>
  <c r="J2047" i="24"/>
  <c r="K2047" i="24" s="1"/>
  <c r="K2048" i="24"/>
  <c r="K2049" i="24"/>
  <c r="K2050" i="24"/>
  <c r="K2051" i="24"/>
  <c r="J2052" i="24"/>
  <c r="K2052" i="24" s="1"/>
  <c r="J2053" i="24"/>
  <c r="K2053" i="24" s="1"/>
  <c r="K2054" i="24"/>
  <c r="J2055" i="24"/>
  <c r="K2055" i="24" s="1"/>
  <c r="J2056" i="24"/>
  <c r="K2056" i="24" s="1"/>
  <c r="J2057" i="24"/>
  <c r="K2057" i="24" s="1"/>
  <c r="J2058" i="24"/>
  <c r="K2058" i="24" s="1"/>
  <c r="J2059" i="24"/>
  <c r="K2059" i="24" s="1"/>
  <c r="J2060" i="24"/>
  <c r="K2060" i="24" s="1"/>
  <c r="K2061" i="24"/>
  <c r="J2062" i="24"/>
  <c r="K2062" i="24" s="1"/>
  <c r="K2063" i="24"/>
  <c r="J2064" i="24"/>
  <c r="K2064" i="24" s="1"/>
  <c r="J2065" i="24"/>
  <c r="K2065" i="24" s="1"/>
  <c r="J2066" i="24"/>
  <c r="K2066" i="24" s="1"/>
  <c r="J2067" i="24"/>
  <c r="K2067" i="24" s="1"/>
  <c r="K2068" i="24"/>
  <c r="J2069" i="24"/>
  <c r="K2069" i="24" s="1"/>
  <c r="K2070" i="24"/>
  <c r="K2071" i="24"/>
  <c r="J2072" i="24"/>
  <c r="K2072" i="24" s="1"/>
  <c r="J2073" i="24"/>
  <c r="K2073" i="24" s="1"/>
  <c r="J2074" i="24"/>
  <c r="K2074" i="24" s="1"/>
  <c r="K2075" i="24"/>
  <c r="J2076" i="24"/>
  <c r="K2076" i="24" s="1"/>
  <c r="K2077" i="24"/>
  <c r="K2078" i="24"/>
  <c r="K2079" i="24"/>
  <c r="J2080" i="24"/>
  <c r="K2080" i="24" s="1"/>
  <c r="J2081" i="24"/>
  <c r="K2081" i="24" s="1"/>
  <c r="K2082" i="24"/>
  <c r="J2083" i="24"/>
  <c r="K2083" i="24" s="1"/>
  <c r="J2084" i="24"/>
  <c r="K2084" i="24" s="1"/>
  <c r="K2085" i="24"/>
  <c r="K2086" i="24"/>
  <c r="K2087" i="24"/>
  <c r="K2088" i="24"/>
  <c r="J2089" i="24"/>
  <c r="K2089" i="24" s="1"/>
  <c r="J2090" i="24"/>
  <c r="K2090" i="24" s="1"/>
  <c r="J2091" i="24"/>
  <c r="K2091" i="24" s="1"/>
  <c r="J2092" i="24"/>
  <c r="K2092" i="24" s="1"/>
  <c r="K2093" i="24"/>
  <c r="J2094" i="24"/>
  <c r="K2094" i="24" s="1"/>
  <c r="J2095" i="24"/>
  <c r="K2095" i="24" s="1"/>
  <c r="J2096" i="24"/>
  <c r="K2096" i="24" s="1"/>
  <c r="J2097" i="24"/>
  <c r="K2097" i="24" s="1"/>
  <c r="K2098" i="24"/>
  <c r="K2099" i="24"/>
  <c r="J2100" i="24"/>
  <c r="K2100" i="24" s="1"/>
  <c r="J2101" i="24"/>
  <c r="K2101" i="24" s="1"/>
  <c r="K2102" i="24"/>
  <c r="K2103" i="24"/>
  <c r="K2104" i="24"/>
  <c r="K2105" i="24"/>
  <c r="K2106" i="24"/>
  <c r="K2107" i="24"/>
  <c r="J2108" i="24"/>
  <c r="K2108" i="24" s="1"/>
  <c r="J2109" i="24"/>
  <c r="K2109" i="24" s="1"/>
  <c r="K2110" i="24"/>
  <c r="J2111" i="24"/>
  <c r="K2111" i="24" s="1"/>
  <c r="J2112" i="24"/>
  <c r="K2112" i="24" s="1"/>
  <c r="J2113" i="24"/>
  <c r="K2113" i="24" s="1"/>
  <c r="K2114" i="24"/>
  <c r="K2115" i="24"/>
  <c r="K2116" i="24"/>
  <c r="J2117" i="24"/>
  <c r="K2117" i="24" s="1"/>
  <c r="J2118" i="24"/>
  <c r="K2118" i="24" s="1"/>
  <c r="K2119" i="24"/>
  <c r="J2120" i="24"/>
  <c r="K2120" i="24" s="1"/>
  <c r="J2121" i="24"/>
  <c r="K2121" i="24" s="1"/>
  <c r="K2122" i="24"/>
  <c r="K2123" i="24"/>
  <c r="J2124" i="24"/>
  <c r="K2124" i="24" s="1"/>
  <c r="K2125" i="24"/>
  <c r="K2126" i="24"/>
  <c r="K2127" i="24"/>
  <c r="K2128" i="24"/>
  <c r="K2129" i="24"/>
  <c r="J2130" i="24"/>
  <c r="K2130" i="24" s="1"/>
  <c r="K2131" i="24"/>
  <c r="K2132" i="24"/>
  <c r="K2133" i="24"/>
  <c r="J2134" i="24"/>
  <c r="K2134" i="24" s="1"/>
  <c r="J2135" i="24"/>
  <c r="K2135" i="24" s="1"/>
  <c r="K2136" i="24"/>
  <c r="J2137" i="24"/>
  <c r="K2137" i="24" s="1"/>
  <c r="K2138" i="24"/>
  <c r="J2139" i="24"/>
  <c r="K2139" i="24" s="1"/>
  <c r="K2140" i="24"/>
  <c r="J2141" i="24"/>
  <c r="K2141" i="24" s="1"/>
  <c r="J2142" i="24"/>
  <c r="K2142" i="24" s="1"/>
  <c r="K2143" i="24"/>
  <c r="J2144" i="24"/>
  <c r="K2144" i="24" s="1"/>
  <c r="J2145" i="24"/>
  <c r="K2145" i="24" s="1"/>
  <c r="K2146" i="24"/>
  <c r="J2147" i="24"/>
  <c r="K2147" i="24" s="1"/>
  <c r="K2148" i="24"/>
  <c r="K2149" i="24"/>
  <c r="K2150" i="24"/>
  <c r="K2151" i="24"/>
  <c r="K2152" i="24"/>
  <c r="J2153" i="24"/>
  <c r="K2153" i="24" s="1"/>
  <c r="J2154" i="24"/>
  <c r="K2154" i="24" s="1"/>
  <c r="J2155" i="24"/>
  <c r="K2155" i="24" s="1"/>
  <c r="K2156" i="24"/>
  <c r="K2157" i="24"/>
  <c r="K2158" i="24"/>
  <c r="J2159" i="24"/>
  <c r="K2159" i="24" s="1"/>
  <c r="J2160" i="24"/>
  <c r="K2160" i="24" s="1"/>
  <c r="K2161" i="24"/>
  <c r="J2162" i="24"/>
  <c r="K2162" i="24" s="1"/>
  <c r="J2163" i="24"/>
  <c r="K2163" i="24" s="1"/>
  <c r="K2164" i="24"/>
  <c r="K2165" i="24"/>
  <c r="K2166" i="24"/>
  <c r="K2167" i="24"/>
  <c r="J2168" i="24"/>
  <c r="K2168" i="24" s="1"/>
  <c r="K2169" i="24"/>
  <c r="J2170" i="24"/>
  <c r="K2170" i="24" s="1"/>
  <c r="K2171" i="24"/>
  <c r="K2172" i="24"/>
  <c r="J2173" i="24"/>
  <c r="K2173" i="24" s="1"/>
  <c r="J2174" i="24"/>
  <c r="K2174" i="24" s="1"/>
  <c r="J2175" i="24"/>
  <c r="K2175" i="24" s="1"/>
  <c r="K2176" i="24"/>
  <c r="K2177" i="24"/>
  <c r="K2178" i="24"/>
  <c r="K2179" i="24"/>
  <c r="K2180" i="24"/>
  <c r="J2181" i="24"/>
  <c r="K2181" i="24" s="1"/>
  <c r="J2182" i="24"/>
  <c r="K2182" i="24" s="1"/>
  <c r="J2183" i="24"/>
  <c r="K2183" i="24" s="1"/>
  <c r="J2184" i="24"/>
  <c r="K2184" i="24" s="1"/>
  <c r="K2185" i="24"/>
  <c r="K2186" i="24"/>
  <c r="J2187" i="24"/>
  <c r="K2187" i="24" s="1"/>
  <c r="K2188" i="24"/>
  <c r="K2189" i="24"/>
  <c r="K2190" i="24"/>
  <c r="J2191" i="24"/>
  <c r="K2191" i="24" s="1"/>
  <c r="K2192" i="24"/>
  <c r="J2193" i="24"/>
  <c r="K2193" i="24" s="1"/>
  <c r="K2194" i="24"/>
  <c r="J2195" i="24"/>
  <c r="K2195" i="24" s="1"/>
  <c r="K2196" i="24"/>
  <c r="K2197" i="24"/>
  <c r="J2198" i="24"/>
  <c r="K2198" i="24" s="1"/>
  <c r="J2199" i="24"/>
  <c r="K2199" i="24" s="1"/>
  <c r="K2200" i="24"/>
  <c r="J2201" i="24"/>
  <c r="K2201" i="24" s="1"/>
  <c r="J2202" i="24"/>
  <c r="K2202" i="24" s="1"/>
  <c r="J2203" i="24"/>
  <c r="K2203" i="24" s="1"/>
  <c r="J2204" i="24"/>
  <c r="K2204" i="24" s="1"/>
  <c r="J2205" i="24"/>
  <c r="K2205" i="24" s="1"/>
  <c r="J2206" i="24"/>
  <c r="K2206" i="24" s="1"/>
  <c r="J2207" i="24"/>
  <c r="K2207" i="24" s="1"/>
  <c r="J2208" i="24"/>
  <c r="K2208" i="24" s="1"/>
  <c r="K2209" i="24"/>
  <c r="J2210" i="24"/>
  <c r="K2210" i="24" s="1"/>
  <c r="J2211" i="24"/>
  <c r="K2211" i="24" s="1"/>
  <c r="J2212" i="24"/>
  <c r="K2212" i="24" s="1"/>
  <c r="J2213" i="24"/>
  <c r="K2213" i="24" s="1"/>
  <c r="J2214" i="24"/>
  <c r="K2214" i="24" s="1"/>
  <c r="K2215" i="24"/>
  <c r="K2216" i="24"/>
  <c r="K2217" i="24"/>
  <c r="J2218" i="24"/>
  <c r="K2218" i="24" s="1"/>
  <c r="J2219" i="24"/>
  <c r="K2219" i="24" s="1"/>
  <c r="J2220" i="24"/>
  <c r="K2220" i="24" s="1"/>
  <c r="J2221" i="24"/>
  <c r="K2221" i="24" s="1"/>
  <c r="J2222" i="24"/>
  <c r="K2222" i="24" s="1"/>
  <c r="J2223" i="24"/>
  <c r="K2223" i="24" s="1"/>
  <c r="K2224" i="24"/>
  <c r="J2225" i="24"/>
  <c r="K2225" i="24" s="1"/>
  <c r="K2226" i="24"/>
  <c r="J2227" i="24"/>
  <c r="K2227" i="24" s="1"/>
  <c r="J2228" i="24"/>
  <c r="K2228" i="24" s="1"/>
  <c r="K2229" i="24"/>
  <c r="K2230" i="24"/>
  <c r="K2231" i="24"/>
  <c r="K2232" i="24"/>
  <c r="J2233" i="24"/>
  <c r="K2233" i="24" s="1"/>
  <c r="K2234" i="24"/>
  <c r="J2235" i="24"/>
  <c r="K2235" i="24" s="1"/>
  <c r="J2236" i="24"/>
  <c r="K2236" i="24" s="1"/>
  <c r="J2237" i="24"/>
  <c r="K2237" i="24" s="1"/>
  <c r="J2238" i="24"/>
  <c r="K2238" i="24" s="1"/>
  <c r="K2239" i="24"/>
  <c r="J2240" i="24"/>
  <c r="K2240" i="24" s="1"/>
  <c r="J2241" i="24"/>
  <c r="K2241" i="24" s="1"/>
  <c r="K2242" i="24"/>
  <c r="J2243" i="24"/>
  <c r="K2243" i="24" s="1"/>
  <c r="J2244" i="24"/>
  <c r="K2244" i="24" s="1"/>
  <c r="K2245" i="24"/>
  <c r="J2246" i="24"/>
  <c r="K2246" i="24" s="1"/>
  <c r="J2247" i="24"/>
  <c r="K2247" i="24" s="1"/>
  <c r="K2248" i="24"/>
  <c r="J2249" i="24"/>
  <c r="K2249" i="24" s="1"/>
  <c r="J2250" i="24"/>
  <c r="K2250" i="24" s="1"/>
  <c r="J2251" i="24"/>
  <c r="K2251" i="24" s="1"/>
  <c r="J2252" i="24"/>
  <c r="K2252" i="24" s="1"/>
  <c r="J2253" i="24"/>
  <c r="K2253" i="24" s="1"/>
  <c r="K2254" i="24"/>
  <c r="J2255" i="24"/>
  <c r="K2255" i="24" s="1"/>
  <c r="J2256" i="24"/>
  <c r="K2256" i="24" s="1"/>
  <c r="K2257" i="24"/>
  <c r="K2258" i="24"/>
  <c r="J2259" i="24"/>
  <c r="K2259" i="24" s="1"/>
  <c r="K2260" i="24"/>
  <c r="J2261" i="24"/>
  <c r="K2261" i="24" s="1"/>
  <c r="J2262" i="24"/>
  <c r="K2262" i="24" s="1"/>
  <c r="J2263" i="24"/>
  <c r="K2263" i="24" s="1"/>
  <c r="J2264" i="24"/>
  <c r="K2264" i="24" s="1"/>
  <c r="K2265" i="24"/>
  <c r="J2266" i="24"/>
  <c r="K2266" i="24" s="1"/>
  <c r="K2267" i="24"/>
  <c r="J2268" i="24"/>
  <c r="K2268" i="24" s="1"/>
  <c r="K2269" i="24"/>
  <c r="K2270" i="24"/>
  <c r="K2271" i="24"/>
  <c r="K2272" i="24"/>
  <c r="J2273" i="24"/>
  <c r="K2273" i="24" s="1"/>
  <c r="J2274" i="24"/>
  <c r="K2274" i="24" s="1"/>
  <c r="J2275" i="24"/>
  <c r="K2275" i="24" s="1"/>
  <c r="K2276" i="24"/>
  <c r="K2277" i="24"/>
  <c r="K2278" i="24"/>
  <c r="K2279" i="24"/>
  <c r="J2280" i="24"/>
  <c r="K2280" i="24" s="1"/>
  <c r="K2281" i="24"/>
  <c r="K2282" i="24"/>
  <c r="J2283" i="24"/>
  <c r="K2283" i="24" s="1"/>
  <c r="J2284" i="24"/>
  <c r="K2284" i="24" s="1"/>
  <c r="J2285" i="24"/>
  <c r="K2285" i="24" s="1"/>
  <c r="J2286" i="24"/>
  <c r="K2286" i="24" s="1"/>
  <c r="K2287" i="24"/>
  <c r="K2288" i="24"/>
  <c r="J2289" i="24"/>
  <c r="K2289" i="24" s="1"/>
  <c r="J2290" i="24"/>
  <c r="K2290" i="24" s="1"/>
  <c r="J2291" i="24"/>
  <c r="K2291" i="24" s="1"/>
  <c r="J2292" i="24"/>
  <c r="K2292" i="24" s="1"/>
  <c r="J2293" i="24"/>
  <c r="K2293" i="24" s="1"/>
  <c r="K2294" i="24"/>
  <c r="J2295" i="24"/>
  <c r="K2295" i="24" s="1"/>
  <c r="K2296" i="24"/>
  <c r="J2297" i="24"/>
  <c r="K2297" i="24" s="1"/>
  <c r="J2298" i="24"/>
  <c r="K2298" i="24" s="1"/>
  <c r="K2299" i="24"/>
  <c r="J2300" i="24"/>
  <c r="K2300" i="24" s="1"/>
  <c r="K2301" i="24"/>
  <c r="J2302" i="24"/>
  <c r="K2302" i="24" s="1"/>
  <c r="J2303" i="24"/>
  <c r="K2303" i="24" s="1"/>
  <c r="J2304" i="24"/>
  <c r="K2304" i="24" s="1"/>
  <c r="K2305" i="24"/>
  <c r="K2306" i="24"/>
  <c r="K2307" i="24"/>
  <c r="J2308" i="24"/>
  <c r="K2308" i="24" s="1"/>
  <c r="J2309" i="24"/>
  <c r="K2309" i="24" s="1"/>
  <c r="J2310" i="24"/>
  <c r="K2310" i="24" s="1"/>
  <c r="J2311" i="24"/>
  <c r="K2311" i="24" s="1"/>
  <c r="J2312" i="24"/>
  <c r="K2312" i="24" s="1"/>
  <c r="K2313" i="24"/>
  <c r="J2314" i="24"/>
  <c r="K2314" i="24" s="1"/>
  <c r="J2315" i="24"/>
  <c r="K2315" i="24" s="1"/>
  <c r="J2316" i="24"/>
  <c r="K2316" i="24" s="1"/>
  <c r="J2317" i="24"/>
  <c r="K2317" i="24" s="1"/>
  <c r="J2318" i="24"/>
  <c r="K2318" i="24" s="1"/>
  <c r="J2319" i="24"/>
  <c r="K2319" i="24" s="1"/>
  <c r="J2320" i="24"/>
  <c r="K2320" i="24" s="1"/>
  <c r="K2321" i="24"/>
  <c r="K2322" i="24"/>
  <c r="J2323" i="24"/>
  <c r="K2323" i="24" s="1"/>
  <c r="J2324" i="24"/>
  <c r="K2324" i="24" s="1"/>
  <c r="K2325" i="24"/>
  <c r="J2326" i="24"/>
  <c r="K2326" i="24" s="1"/>
  <c r="K2327" i="24"/>
  <c r="K2328" i="24"/>
  <c r="J2329" i="24"/>
  <c r="K2329" i="24" s="1"/>
  <c r="J2330" i="24"/>
  <c r="K2330" i="24" s="1"/>
  <c r="J2331" i="24"/>
  <c r="K2331" i="24" s="1"/>
  <c r="J2332" i="24"/>
  <c r="K2332" i="24" s="1"/>
  <c r="J2333" i="24"/>
  <c r="K2333" i="24" s="1"/>
  <c r="J2334" i="24"/>
  <c r="K2334" i="24" s="1"/>
  <c r="J2335" i="24"/>
  <c r="K2335" i="24" s="1"/>
  <c r="J2336" i="24"/>
  <c r="K2336" i="24" s="1"/>
  <c r="J2337" i="24"/>
  <c r="K2337" i="24" s="1"/>
  <c r="J2338" i="24"/>
  <c r="K2338" i="24" s="1"/>
  <c r="K2339" i="24"/>
  <c r="K2340" i="24"/>
  <c r="J2341" i="24"/>
  <c r="K2341" i="24" s="1"/>
  <c r="J2342" i="24"/>
  <c r="K2342" i="24" s="1"/>
  <c r="K2343" i="24"/>
  <c r="K2344" i="24"/>
  <c r="J2345" i="24"/>
  <c r="K2345" i="24" s="1"/>
  <c r="K2346" i="24"/>
  <c r="J2347" i="24"/>
  <c r="K2347" i="24" s="1"/>
  <c r="K2348" i="24"/>
  <c r="K2349" i="24"/>
  <c r="J2350" i="24"/>
  <c r="K2350" i="24" s="1"/>
  <c r="K2351" i="24"/>
  <c r="J2352" i="24"/>
  <c r="K2352" i="24" s="1"/>
  <c r="J2353" i="24"/>
  <c r="K2353" i="24" s="1"/>
  <c r="J2354" i="24"/>
  <c r="K2354" i="24" s="1"/>
  <c r="J2355" i="24"/>
  <c r="K2355" i="24" s="1"/>
  <c r="J2356" i="24"/>
  <c r="K2356" i="24" s="1"/>
  <c r="J2357" i="24"/>
  <c r="K2357" i="24" s="1"/>
  <c r="J2358" i="24"/>
  <c r="K2358" i="24" s="1"/>
  <c r="J2359" i="24"/>
  <c r="K2359" i="24" s="1"/>
  <c r="K2360" i="24"/>
  <c r="J2361" i="24"/>
  <c r="K2361" i="24" s="1"/>
  <c r="K2362" i="24"/>
  <c r="K2363" i="24"/>
  <c r="J2364" i="24"/>
  <c r="K2364" i="24" s="1"/>
  <c r="J2365" i="24"/>
  <c r="K2365" i="24" s="1"/>
  <c r="J2366" i="24"/>
  <c r="K2366" i="24" s="1"/>
  <c r="J2367" i="24"/>
  <c r="K2367" i="24" s="1"/>
  <c r="J2368" i="24"/>
  <c r="K2368" i="24" s="1"/>
  <c r="J2369" i="24"/>
  <c r="K2369" i="24" s="1"/>
  <c r="J2370" i="24"/>
  <c r="K2370" i="24" s="1"/>
  <c r="J2371" i="24"/>
  <c r="K2371" i="24" s="1"/>
  <c r="J2372" i="24"/>
  <c r="K2372" i="24" s="1"/>
  <c r="J2373" i="24"/>
  <c r="K2373" i="24" s="1"/>
  <c r="J2374" i="24"/>
  <c r="K2374" i="24" s="1"/>
  <c r="J2375" i="24"/>
  <c r="K2375" i="24" s="1"/>
  <c r="J2376" i="24"/>
  <c r="K2376" i="24" s="1"/>
  <c r="J2377" i="24"/>
  <c r="K2377" i="24" s="1"/>
  <c r="J2378" i="24"/>
  <c r="K2378" i="24" s="1"/>
  <c r="J2379" i="24"/>
  <c r="K2379" i="24" s="1"/>
  <c r="J2380" i="24"/>
  <c r="K2380" i="24" s="1"/>
  <c r="J2381" i="24"/>
  <c r="K2381" i="24" s="1"/>
  <c r="J2382" i="24"/>
  <c r="K2382" i="24" s="1"/>
  <c r="J2383" i="24"/>
  <c r="K2383" i="24" s="1"/>
  <c r="J2384" i="24"/>
  <c r="K2384" i="24" s="1"/>
  <c r="J2385" i="24"/>
  <c r="K2385" i="24" s="1"/>
  <c r="K2386" i="24"/>
  <c r="J2387" i="24"/>
  <c r="K2387" i="24" s="1"/>
  <c r="J2388" i="24"/>
  <c r="K2388" i="24" s="1"/>
  <c r="K2389" i="24"/>
  <c r="J2390" i="24"/>
  <c r="K2390" i="24" s="1"/>
  <c r="J2391" i="24"/>
  <c r="K2391" i="24" s="1"/>
  <c r="J2392" i="24"/>
  <c r="K2392" i="24" s="1"/>
  <c r="J2393" i="24"/>
  <c r="K2393" i="24" s="1"/>
  <c r="J2394" i="24"/>
  <c r="K2394" i="24" s="1"/>
  <c r="J2395" i="24"/>
  <c r="K2395" i="24" s="1"/>
  <c r="J2396" i="24"/>
  <c r="K2396" i="24" s="1"/>
  <c r="J2397" i="24"/>
  <c r="K2397" i="24" s="1"/>
  <c r="K2398" i="24"/>
  <c r="J2399" i="24"/>
  <c r="K2399" i="24" s="1"/>
  <c r="J2400" i="24"/>
  <c r="K2400" i="24" s="1"/>
  <c r="J2401" i="24"/>
  <c r="K2401" i="24" s="1"/>
  <c r="J2402" i="24"/>
  <c r="K2402" i="24" s="1"/>
  <c r="J2403" i="24"/>
  <c r="K2403" i="24" s="1"/>
  <c r="J2404" i="24"/>
  <c r="K2404" i="24" s="1"/>
  <c r="J2405" i="24"/>
  <c r="K2405" i="24" s="1"/>
  <c r="J2406" i="24"/>
  <c r="K2406" i="24" s="1"/>
  <c r="K2407" i="24"/>
  <c r="J2408" i="24"/>
  <c r="K2408" i="24" s="1"/>
  <c r="J2409" i="24"/>
  <c r="K2409" i="24" s="1"/>
  <c r="K2410" i="24"/>
  <c r="J2411" i="24"/>
  <c r="K2411" i="24" s="1"/>
  <c r="J2412" i="24"/>
  <c r="K2412" i="24" s="1"/>
  <c r="K2413" i="24"/>
  <c r="J2414" i="24"/>
  <c r="K2414" i="24" s="1"/>
  <c r="K2415" i="24"/>
  <c r="K2416" i="24"/>
  <c r="K2417" i="24"/>
  <c r="K2418" i="24"/>
  <c r="J2419" i="24"/>
  <c r="K2419" i="24" s="1"/>
  <c r="J2420" i="24"/>
  <c r="K2420" i="24" s="1"/>
  <c r="J2421" i="24"/>
  <c r="K2421" i="24" s="1"/>
  <c r="J2422" i="24"/>
  <c r="K2422" i="24" s="1"/>
  <c r="J2423" i="24"/>
  <c r="K2423" i="24" s="1"/>
  <c r="J2424" i="24"/>
  <c r="K2424" i="24" s="1"/>
  <c r="J2425" i="24"/>
  <c r="K2425" i="24" s="1"/>
  <c r="K2426" i="24"/>
  <c r="K2427" i="24"/>
  <c r="J2428" i="24"/>
  <c r="K2428" i="24" s="1"/>
  <c r="J2429" i="24"/>
  <c r="K2429" i="24" s="1"/>
  <c r="J2430" i="24"/>
  <c r="K2430" i="24" s="1"/>
  <c r="K2431" i="24"/>
  <c r="J2432" i="24"/>
  <c r="K2432" i="24" s="1"/>
  <c r="J2433" i="24"/>
  <c r="K2433" i="24" s="1"/>
  <c r="J2434" i="24"/>
  <c r="K2434" i="24" s="1"/>
  <c r="K2435" i="24"/>
  <c r="J2436" i="24"/>
  <c r="K2436" i="24" s="1"/>
  <c r="J2437" i="24"/>
  <c r="K2437" i="24" s="1"/>
  <c r="J2438" i="24"/>
  <c r="K2438" i="24" s="1"/>
  <c r="J2439" i="24"/>
  <c r="K2439" i="24" s="1"/>
  <c r="K2440" i="24"/>
  <c r="J2441" i="24"/>
  <c r="K2441" i="24" s="1"/>
  <c r="K2442" i="24"/>
  <c r="K2443" i="24"/>
  <c r="K2444" i="24"/>
  <c r="J2445" i="24"/>
  <c r="K2445" i="24" s="1"/>
  <c r="J2446" i="24"/>
  <c r="K2446" i="24" s="1"/>
  <c r="J2447" i="24"/>
  <c r="K2447" i="24" s="1"/>
  <c r="J2448" i="24"/>
  <c r="K2448" i="24" s="1"/>
  <c r="J2449" i="24"/>
  <c r="K2449" i="24" s="1"/>
  <c r="K2450" i="24"/>
  <c r="J2451" i="24"/>
  <c r="K2451" i="24" s="1"/>
  <c r="J2452" i="24"/>
  <c r="K2452" i="24" s="1"/>
  <c r="J2453" i="24"/>
  <c r="K2453" i="24" s="1"/>
  <c r="J2454" i="24"/>
  <c r="K2454" i="24" s="1"/>
  <c r="J2455" i="24"/>
  <c r="K2455" i="24" s="1"/>
  <c r="J2456" i="24"/>
  <c r="K2456" i="24" s="1"/>
  <c r="J2457" i="24"/>
  <c r="K2457" i="24" s="1"/>
  <c r="J2458" i="24"/>
  <c r="K2458" i="24" s="1"/>
  <c r="K2459" i="24"/>
  <c r="J2460" i="24"/>
  <c r="K2460" i="24" s="1"/>
  <c r="J2461" i="24"/>
  <c r="K2461" i="24" s="1"/>
  <c r="J2462" i="24"/>
  <c r="K2462" i="24" s="1"/>
  <c r="J2463" i="24"/>
  <c r="K2463" i="24" s="1"/>
  <c r="J2464" i="24"/>
  <c r="K2464" i="24" s="1"/>
  <c r="J2465" i="24"/>
  <c r="K2465" i="24" s="1"/>
  <c r="J2466" i="24"/>
  <c r="K2466" i="24" s="1"/>
  <c r="J2467" i="24"/>
  <c r="K2467" i="24" s="1"/>
  <c r="J2468" i="24"/>
  <c r="K2468" i="24" s="1"/>
  <c r="J2469" i="24"/>
  <c r="K2469" i="24" s="1"/>
  <c r="J2470" i="24"/>
  <c r="K2470" i="24" s="1"/>
  <c r="J2471" i="24"/>
  <c r="K2471" i="24" s="1"/>
  <c r="K2472" i="24"/>
  <c r="J2473" i="24"/>
  <c r="K2473" i="24" s="1"/>
  <c r="J2474" i="24"/>
  <c r="K2474" i="24" s="1"/>
  <c r="J2475" i="24"/>
  <c r="K2475" i="24" s="1"/>
  <c r="J2476" i="24"/>
  <c r="K2476" i="24" s="1"/>
  <c r="J2477" i="24"/>
  <c r="K2477" i="24" s="1"/>
  <c r="K2478" i="24"/>
  <c r="J2479" i="24"/>
  <c r="K2479" i="24" s="1"/>
  <c r="J2480" i="24"/>
  <c r="K2480" i="24" s="1"/>
  <c r="J2481" i="24"/>
  <c r="K2481" i="24" s="1"/>
  <c r="J2482" i="24"/>
  <c r="K2482" i="24" s="1"/>
  <c r="J2483" i="24"/>
  <c r="K2483" i="24" s="1"/>
  <c r="J2484" i="24"/>
  <c r="K2484" i="24" s="1"/>
  <c r="K2485" i="24"/>
  <c r="J2486" i="24"/>
  <c r="K2486" i="24" s="1"/>
  <c r="K2487" i="24"/>
  <c r="J2488" i="24"/>
  <c r="K2488" i="24" s="1"/>
  <c r="J2489" i="24"/>
  <c r="K2489" i="24" s="1"/>
  <c r="J2490" i="24"/>
  <c r="K2490" i="24" s="1"/>
  <c r="J2491" i="24"/>
  <c r="K2491" i="24" s="1"/>
  <c r="J2492" i="24"/>
  <c r="K2492" i="24" s="1"/>
  <c r="J2493" i="24"/>
  <c r="K2493" i="24" s="1"/>
  <c r="J2494" i="24"/>
  <c r="K2494" i="24" s="1"/>
  <c r="J2495" i="24"/>
  <c r="K2495" i="24" s="1"/>
  <c r="J2496" i="24"/>
  <c r="K2496" i="24" s="1"/>
  <c r="J2497" i="24"/>
  <c r="K2497" i="24" s="1"/>
  <c r="J2498" i="24"/>
  <c r="K2498" i="24" s="1"/>
  <c r="J2499" i="24"/>
  <c r="K2499" i="24" s="1"/>
  <c r="J2500" i="24"/>
  <c r="K2500" i="24" s="1"/>
  <c r="J2501" i="24"/>
  <c r="K2501" i="24" s="1"/>
  <c r="J2502" i="24"/>
  <c r="K2502" i="24" s="1"/>
  <c r="J2503" i="24"/>
  <c r="K2503" i="24" s="1"/>
  <c r="J2504" i="24"/>
  <c r="K2504" i="24" s="1"/>
  <c r="J2505" i="24"/>
  <c r="K2505" i="24" s="1"/>
  <c r="J2506" i="24"/>
  <c r="K2506" i="24" s="1"/>
  <c r="J2507" i="24"/>
  <c r="K2507" i="24" s="1"/>
  <c r="K2508" i="24"/>
  <c r="J2509" i="24"/>
  <c r="K2509" i="24" s="1"/>
  <c r="J2510" i="24"/>
  <c r="K2510" i="24" s="1"/>
  <c r="J2511" i="24"/>
  <c r="K2511" i="24" s="1"/>
  <c r="J2512" i="24"/>
  <c r="K2512" i="24" s="1"/>
  <c r="J2513" i="24"/>
  <c r="K2513" i="24" s="1"/>
  <c r="J2514" i="24"/>
  <c r="K2514" i="24" s="1"/>
  <c r="J2515" i="24"/>
  <c r="K2515" i="24" s="1"/>
  <c r="J2516" i="24"/>
  <c r="K2516" i="24" s="1"/>
  <c r="K2517" i="24"/>
  <c r="J2518" i="24"/>
  <c r="K2518" i="24" s="1"/>
  <c r="J2519" i="24"/>
  <c r="K2519" i="24" s="1"/>
  <c r="J2520" i="24"/>
  <c r="K2520" i="24" s="1"/>
  <c r="J2521" i="24"/>
  <c r="K2521" i="24" s="1"/>
  <c r="K2522" i="24"/>
  <c r="J2523" i="24"/>
  <c r="K2523" i="24" s="1"/>
  <c r="J2524" i="24"/>
  <c r="K2524" i="24" s="1"/>
  <c r="K2525" i="24"/>
  <c r="J2526" i="24"/>
  <c r="K2526" i="24" s="1"/>
  <c r="J2527" i="24"/>
  <c r="K2527" i="24" s="1"/>
  <c r="J2528" i="24"/>
  <c r="K2528" i="24" s="1"/>
  <c r="J2529" i="24"/>
  <c r="K2529" i="24" s="1"/>
  <c r="J2530" i="24"/>
  <c r="K2530" i="24" s="1"/>
  <c r="J2531" i="24"/>
  <c r="K2531" i="24" s="1"/>
  <c r="J2532" i="24"/>
  <c r="K2532" i="24" s="1"/>
  <c r="J2533" i="24"/>
  <c r="K2533" i="24" s="1"/>
  <c r="J2534" i="24"/>
  <c r="K2534" i="24" s="1"/>
  <c r="J2535" i="24"/>
  <c r="K2535" i="24" s="1"/>
  <c r="J2536" i="24"/>
  <c r="K2536" i="24" s="1"/>
  <c r="J2537" i="24"/>
  <c r="K2537" i="24" s="1"/>
  <c r="J2538" i="24"/>
  <c r="K2538" i="24" s="1"/>
  <c r="J2539" i="24"/>
  <c r="K2539" i="24" s="1"/>
  <c r="J2540" i="24"/>
  <c r="K2540" i="24" s="1"/>
  <c r="J2541" i="24"/>
  <c r="K2541" i="24" s="1"/>
  <c r="J2542" i="24"/>
  <c r="K2542" i="24" s="1"/>
  <c r="J2543" i="24"/>
  <c r="K2543" i="24" s="1"/>
  <c r="J2544" i="24"/>
  <c r="K2544" i="24" s="1"/>
  <c r="J2545" i="24"/>
  <c r="K2545" i="24" s="1"/>
  <c r="J2546" i="24"/>
  <c r="K2546" i="24" s="1"/>
  <c r="J2547" i="24"/>
  <c r="K2547" i="24" s="1"/>
  <c r="K2548" i="24"/>
  <c r="K2549" i="24"/>
  <c r="J2550" i="24"/>
  <c r="K2550" i="24" s="1"/>
  <c r="J2551" i="24"/>
  <c r="K2551" i="24" s="1"/>
  <c r="K2552" i="24"/>
  <c r="J2553" i="24"/>
  <c r="K2553" i="24" s="1"/>
  <c r="K2554" i="24"/>
  <c r="J2555" i="24"/>
  <c r="K2555" i="24" s="1"/>
  <c r="J2556" i="24"/>
  <c r="K2556" i="24" s="1"/>
  <c r="J2557" i="24"/>
  <c r="K2557" i="24" s="1"/>
  <c r="J2558" i="24"/>
  <c r="K2558" i="24" s="1"/>
  <c r="J2559" i="24"/>
  <c r="K2559" i="24" s="1"/>
  <c r="J2560" i="24"/>
  <c r="K2560" i="24" s="1"/>
  <c r="J2561" i="24"/>
  <c r="K2561" i="24" s="1"/>
  <c r="I2562" i="24"/>
  <c r="J2562" i="24"/>
  <c r="K2563" i="24"/>
  <c r="K2564" i="24"/>
  <c r="J2565" i="24"/>
  <c r="K2565" i="24" s="1"/>
  <c r="K2566" i="24"/>
  <c r="K2567" i="24"/>
  <c r="K2568" i="24"/>
  <c r="K2569" i="24"/>
  <c r="J2570" i="24"/>
  <c r="K2570" i="24" s="1"/>
  <c r="J2571" i="24"/>
  <c r="K2571" i="24" s="1"/>
  <c r="J2572" i="24"/>
  <c r="K2572" i="24" s="1"/>
  <c r="J2573" i="24"/>
  <c r="K2573" i="24" s="1"/>
  <c r="J2574" i="24"/>
  <c r="K2574" i="24" s="1"/>
  <c r="K2575" i="24"/>
  <c r="J2576" i="24"/>
  <c r="K2576" i="24" s="1"/>
  <c r="K2577" i="24"/>
  <c r="K2578" i="24"/>
  <c r="J2579" i="24"/>
  <c r="K2579" i="24" s="1"/>
  <c r="J2580" i="24"/>
  <c r="K2580" i="24" s="1"/>
  <c r="K2581" i="24"/>
  <c r="J2582" i="24"/>
  <c r="K2582" i="24" s="1"/>
  <c r="J2583" i="24"/>
  <c r="K2583" i="24" s="1"/>
  <c r="J2584" i="24"/>
  <c r="K2584" i="24" s="1"/>
  <c r="J2585" i="24"/>
  <c r="K2585" i="24" s="1"/>
  <c r="J2586" i="24"/>
  <c r="K2586" i="24" s="1"/>
  <c r="J2587" i="24"/>
  <c r="K2587" i="24" s="1"/>
  <c r="J2588" i="24"/>
  <c r="K2588" i="24" s="1"/>
  <c r="K2589" i="24"/>
  <c r="J2590" i="24"/>
  <c r="K2590" i="24" s="1"/>
  <c r="J2591" i="24"/>
  <c r="K2591" i="24" s="1"/>
  <c r="J2592" i="24"/>
  <c r="K2592" i="24" s="1"/>
  <c r="J2593" i="24"/>
  <c r="K2593" i="24" s="1"/>
  <c r="J2594" i="24"/>
  <c r="K2594" i="24" s="1"/>
  <c r="J2595" i="24"/>
  <c r="K2595" i="24" s="1"/>
  <c r="J2596" i="24"/>
  <c r="K2596" i="24" s="1"/>
  <c r="J2597" i="24"/>
  <c r="K2597" i="24" s="1"/>
  <c r="J2598" i="24"/>
  <c r="K2598" i="24" s="1"/>
  <c r="J2599" i="24"/>
  <c r="K2599" i="24" s="1"/>
  <c r="J2600" i="24"/>
  <c r="K2600" i="24" s="1"/>
  <c r="J2601" i="24"/>
  <c r="K2601" i="24" s="1"/>
  <c r="J2602" i="24"/>
  <c r="K2602" i="24" s="1"/>
  <c r="J2603" i="24"/>
  <c r="K2603" i="24" s="1"/>
  <c r="J2604" i="24"/>
  <c r="K2604" i="24" s="1"/>
  <c r="J2605" i="24"/>
  <c r="K2605" i="24" s="1"/>
  <c r="K2606" i="24"/>
  <c r="J2607" i="24"/>
  <c r="K2607" i="24" s="1"/>
  <c r="J2608" i="24"/>
  <c r="K2608" i="24" s="1"/>
  <c r="J2609" i="24"/>
  <c r="K2609" i="24" s="1"/>
  <c r="J2610" i="24"/>
  <c r="K2610" i="24" s="1"/>
  <c r="J2611" i="24"/>
  <c r="K2611" i="24" s="1"/>
  <c r="J2612" i="24"/>
  <c r="K2612" i="24" s="1"/>
  <c r="J2613" i="24"/>
  <c r="K2613" i="24" s="1"/>
  <c r="J2614" i="24"/>
  <c r="K2614" i="24" s="1"/>
  <c r="J2615" i="24"/>
  <c r="K2615" i="24" s="1"/>
  <c r="J2616" i="24"/>
  <c r="K2616" i="24" s="1"/>
  <c r="J2617" i="24"/>
  <c r="K2617" i="24" s="1"/>
  <c r="J2618" i="24"/>
  <c r="K2618" i="24" s="1"/>
  <c r="K2619" i="24"/>
  <c r="J2620" i="24"/>
  <c r="K2620" i="24" s="1"/>
  <c r="K2621" i="24"/>
  <c r="J2622" i="24"/>
  <c r="K2622" i="24" s="1"/>
  <c r="J2623" i="24"/>
  <c r="K2623" i="24" s="1"/>
  <c r="J2624" i="24"/>
  <c r="K2624" i="24" s="1"/>
  <c r="J2625" i="24"/>
  <c r="K2625" i="24" s="1"/>
  <c r="J2626" i="24"/>
  <c r="K2626" i="24" s="1"/>
  <c r="J2627" i="24"/>
  <c r="K2627" i="24" s="1"/>
  <c r="K2628" i="24"/>
  <c r="K2629" i="24"/>
  <c r="K2630" i="24"/>
  <c r="J2631" i="24"/>
  <c r="K2631" i="24" s="1"/>
  <c r="K2632" i="24"/>
  <c r="J2633" i="24"/>
  <c r="K2633" i="24" s="1"/>
  <c r="K2634" i="24"/>
  <c r="K2635" i="24"/>
  <c r="J2636" i="24"/>
  <c r="K2636" i="24" s="1"/>
  <c r="J2637" i="24"/>
  <c r="K2637" i="24" s="1"/>
  <c r="K2638" i="24"/>
  <c r="K2639" i="24"/>
  <c r="J2640" i="24"/>
  <c r="K2640" i="24" s="1"/>
  <c r="K2641" i="24"/>
  <c r="J2642" i="24"/>
  <c r="K2642" i="24" s="1"/>
  <c r="K2643" i="24"/>
  <c r="J2644" i="24"/>
  <c r="K2644" i="24" s="1"/>
  <c r="J2645" i="24"/>
  <c r="K2645" i="24" s="1"/>
  <c r="J2646" i="24"/>
  <c r="K2646" i="24" s="1"/>
  <c r="J2647" i="24"/>
  <c r="K2647" i="24" s="1"/>
  <c r="K2648" i="24"/>
  <c r="K2649" i="24"/>
  <c r="J2650" i="24"/>
  <c r="K2650" i="24" s="1"/>
  <c r="K2651" i="24"/>
  <c r="K2652" i="24"/>
  <c r="K2653" i="24"/>
  <c r="K2654" i="24"/>
  <c r="J2655" i="24"/>
  <c r="K2655" i="24" s="1"/>
  <c r="K2656" i="24"/>
  <c r="J2657" i="24"/>
  <c r="K2657" i="24" s="1"/>
  <c r="J2658" i="24"/>
  <c r="K2658" i="24" s="1"/>
  <c r="J2659" i="24"/>
  <c r="K2659" i="24" s="1"/>
  <c r="K2660" i="24"/>
  <c r="K2661" i="24"/>
  <c r="J2662" i="24"/>
  <c r="K2662" i="24" s="1"/>
  <c r="J2663" i="24"/>
  <c r="K2663" i="24" s="1"/>
  <c r="J2664" i="24"/>
  <c r="K2664" i="24" s="1"/>
  <c r="J2665" i="24"/>
  <c r="K2665" i="24" s="1"/>
  <c r="J2666" i="24"/>
  <c r="K2666" i="24" s="1"/>
  <c r="J2667" i="24"/>
  <c r="K2667" i="24" s="1"/>
  <c r="J2668" i="24"/>
  <c r="K2668" i="24" s="1"/>
  <c r="J2669" i="24"/>
  <c r="K2669" i="24" s="1"/>
  <c r="J2670" i="24"/>
  <c r="K2670" i="24" s="1"/>
  <c r="J2671" i="24"/>
  <c r="K2671" i="24" s="1"/>
  <c r="K2672" i="24"/>
  <c r="K2673" i="24"/>
  <c r="J2674" i="24"/>
  <c r="K2674" i="24" s="1"/>
  <c r="J2675" i="24"/>
  <c r="K2675" i="24" s="1"/>
  <c r="J2676" i="24"/>
  <c r="K2676" i="24" s="1"/>
  <c r="J2677" i="24"/>
  <c r="K2677" i="24" s="1"/>
  <c r="K2678" i="24"/>
  <c r="J2679" i="24"/>
  <c r="K2679" i="24" s="1"/>
  <c r="J2680" i="24"/>
  <c r="K2680" i="24" s="1"/>
  <c r="J2681" i="24"/>
  <c r="K2681" i="24" s="1"/>
  <c r="J2682" i="24"/>
  <c r="K2682" i="24" s="1"/>
  <c r="K2683" i="24"/>
  <c r="J2684" i="24"/>
  <c r="K2684" i="24" s="1"/>
  <c r="J2685" i="24"/>
  <c r="K2685" i="24" s="1"/>
  <c r="J2686" i="24"/>
  <c r="K2686" i="24" s="1"/>
  <c r="J2687" i="24"/>
  <c r="K2687" i="24" s="1"/>
  <c r="K2688" i="24"/>
  <c r="J2689" i="24"/>
  <c r="K2689" i="24" s="1"/>
  <c r="K2690" i="24"/>
  <c r="J2691" i="24"/>
  <c r="K2691" i="24" s="1"/>
  <c r="K2692" i="24"/>
  <c r="K2693" i="24"/>
  <c r="J2694" i="24"/>
  <c r="K2694" i="24" s="1"/>
  <c r="J2695" i="24"/>
  <c r="K2695" i="24" s="1"/>
  <c r="J2696" i="24"/>
  <c r="K2696" i="24" s="1"/>
  <c r="J2697" i="24"/>
  <c r="K2697" i="24" s="1"/>
  <c r="K2698" i="24"/>
  <c r="K2699" i="24"/>
  <c r="J2700" i="24"/>
  <c r="K2700" i="24" s="1"/>
  <c r="J2701" i="24"/>
  <c r="K2701" i="24" s="1"/>
  <c r="J2702" i="24"/>
  <c r="K2702" i="24" s="1"/>
  <c r="J2703" i="24"/>
  <c r="K2703" i="24" s="1"/>
  <c r="K2704" i="24"/>
  <c r="K2705" i="24"/>
  <c r="J2706" i="24"/>
  <c r="K2706" i="24" s="1"/>
  <c r="J2707" i="24"/>
  <c r="K2707" i="24" s="1"/>
  <c r="J2708" i="24"/>
  <c r="K2708" i="24" s="1"/>
  <c r="J2709" i="24"/>
  <c r="K2709" i="24" s="1"/>
  <c r="K2710" i="24"/>
  <c r="J2711" i="24"/>
  <c r="K2711" i="24" s="1"/>
  <c r="J2712" i="24"/>
  <c r="K2712" i="24" s="1"/>
  <c r="K2713" i="24"/>
  <c r="J2714" i="24"/>
  <c r="K2714" i="24" s="1"/>
  <c r="K2715" i="24"/>
  <c r="J2716" i="24"/>
  <c r="K2716" i="24" s="1"/>
  <c r="J2717" i="24"/>
  <c r="K2717" i="24" s="1"/>
  <c r="J2718" i="24"/>
  <c r="K2718" i="24" s="1"/>
  <c r="K2719" i="24"/>
  <c r="J2720" i="24"/>
  <c r="K2720" i="24" s="1"/>
  <c r="J2721" i="24"/>
  <c r="K2721" i="24" s="1"/>
  <c r="J2722" i="24"/>
  <c r="K2722" i="24" s="1"/>
  <c r="J2723" i="24"/>
  <c r="K2723" i="24" s="1"/>
  <c r="J2724" i="24"/>
  <c r="K2724" i="24" s="1"/>
  <c r="K2725" i="24"/>
  <c r="J2726" i="24"/>
  <c r="K2726" i="24" s="1"/>
  <c r="J2727" i="24"/>
  <c r="K2727" i="24" s="1"/>
  <c r="K2728" i="24"/>
  <c r="J2729" i="24"/>
  <c r="K2729" i="24" s="1"/>
  <c r="J2730" i="24"/>
  <c r="K2730" i="24" s="1"/>
  <c r="J2731" i="24"/>
  <c r="K2731" i="24" s="1"/>
  <c r="J2732" i="24"/>
  <c r="K2732" i="24" s="1"/>
  <c r="K2733" i="24"/>
  <c r="J2734" i="24"/>
  <c r="K2734" i="24" s="1"/>
  <c r="K2735" i="24"/>
  <c r="J2736" i="24"/>
  <c r="K2736" i="24" s="1"/>
  <c r="K2737" i="24"/>
  <c r="K2738" i="24"/>
  <c r="K2739" i="24"/>
  <c r="J2740" i="24"/>
  <c r="K2740" i="24" s="1"/>
  <c r="J2741" i="24"/>
  <c r="K2741" i="24" s="1"/>
  <c r="J2742" i="24"/>
  <c r="K2742" i="24" s="1"/>
  <c r="J2743" i="24"/>
  <c r="K2743" i="24" s="1"/>
  <c r="J2744" i="24"/>
  <c r="K2744" i="24" s="1"/>
  <c r="K2745" i="24"/>
  <c r="J2746" i="24"/>
  <c r="K2746" i="24" s="1"/>
  <c r="J2747" i="24"/>
  <c r="K2747" i="24" s="1"/>
  <c r="K2748" i="24"/>
  <c r="J2749" i="24"/>
  <c r="K2749" i="24" s="1"/>
  <c r="J2750" i="24"/>
  <c r="K2750" i="24" s="1"/>
  <c r="J2751" i="24"/>
  <c r="K2751" i="24" s="1"/>
  <c r="K2752" i="24"/>
  <c r="K2753" i="24"/>
  <c r="J2754" i="24"/>
  <c r="K2754" i="24" s="1"/>
  <c r="K2755" i="24"/>
  <c r="K2756" i="24"/>
  <c r="K2757" i="24"/>
  <c r="K2758" i="24"/>
  <c r="J2759" i="24"/>
  <c r="K2759" i="24" s="1"/>
  <c r="K2760" i="24"/>
  <c r="J2761" i="24"/>
  <c r="K2761" i="24" s="1"/>
  <c r="J2762" i="24"/>
  <c r="K2762" i="24" s="1"/>
  <c r="J2763" i="24"/>
  <c r="K2763" i="24" s="1"/>
  <c r="K2764" i="24"/>
  <c r="J2765" i="24"/>
  <c r="K2765" i="24" s="1"/>
  <c r="J2766" i="24"/>
  <c r="K2766" i="24" s="1"/>
  <c r="J2767" i="24"/>
  <c r="K2767" i="24" s="1"/>
  <c r="K2768" i="24"/>
  <c r="J2769" i="24"/>
  <c r="K2769" i="24" s="1"/>
  <c r="J2770" i="24"/>
  <c r="K2770" i="24" s="1"/>
  <c r="K2771" i="24"/>
  <c r="J2772" i="24"/>
  <c r="K2772" i="24" s="1"/>
  <c r="J2773" i="24"/>
  <c r="K2773" i="24" s="1"/>
  <c r="K2774" i="24"/>
  <c r="J2775" i="24"/>
  <c r="K2775" i="24" s="1"/>
  <c r="J2776" i="24"/>
  <c r="K2776" i="24" s="1"/>
  <c r="J2777" i="24"/>
  <c r="K2777" i="24" s="1"/>
  <c r="J2778" i="24"/>
  <c r="K2778" i="24" s="1"/>
  <c r="J2779" i="24"/>
  <c r="K2779" i="24" s="1"/>
  <c r="K2780" i="24"/>
  <c r="K2781" i="24"/>
  <c r="J2782" i="24"/>
  <c r="K2782" i="24" s="1"/>
  <c r="K2783" i="24"/>
  <c r="K2784" i="24"/>
  <c r="J2785" i="24"/>
  <c r="K2785" i="24" s="1"/>
  <c r="J2786" i="24"/>
  <c r="K2786" i="24" s="1"/>
  <c r="K2787" i="24"/>
  <c r="J2788" i="24"/>
  <c r="K2788" i="24" s="1"/>
  <c r="J2789" i="24"/>
  <c r="K2789" i="24" s="1"/>
  <c r="J2790" i="24"/>
  <c r="K2790" i="24" s="1"/>
  <c r="J2791" i="24"/>
  <c r="K2791" i="24" s="1"/>
  <c r="J2792" i="24"/>
  <c r="K2792" i="24" s="1"/>
  <c r="K2793" i="24"/>
  <c r="J2794" i="24"/>
  <c r="K2794" i="24" s="1"/>
  <c r="J2795" i="24"/>
  <c r="K2795" i="24" s="1"/>
  <c r="J2796" i="24"/>
  <c r="K2796" i="24" s="1"/>
  <c r="K2797" i="24"/>
  <c r="J2798" i="24"/>
  <c r="K2798" i="24" s="1"/>
  <c r="K2799" i="24"/>
  <c r="K2800" i="24"/>
  <c r="J2801" i="24"/>
  <c r="K2801" i="24" s="1"/>
  <c r="J2802" i="24"/>
  <c r="K2802" i="24" s="1"/>
  <c r="K2803" i="24"/>
  <c r="K2804" i="24"/>
  <c r="K2805" i="24"/>
  <c r="J2806" i="24"/>
  <c r="K2806" i="24" s="1"/>
  <c r="J2807" i="24"/>
  <c r="K2807" i="24" s="1"/>
  <c r="J2808" i="24"/>
  <c r="K2808" i="24" s="1"/>
  <c r="K2809" i="24"/>
  <c r="K2810" i="24"/>
  <c r="K2811" i="24"/>
  <c r="J2812" i="24"/>
  <c r="K2812" i="24" s="1"/>
  <c r="J2813" i="24"/>
  <c r="K2813" i="24" s="1"/>
  <c r="K2814" i="24"/>
  <c r="J2815" i="24"/>
  <c r="K2815" i="24" s="1"/>
  <c r="J2816" i="24"/>
  <c r="K2816" i="24" s="1"/>
  <c r="K2817" i="24"/>
  <c r="J2818" i="24"/>
  <c r="K2818" i="24" s="1"/>
  <c r="J2819" i="24"/>
  <c r="K2819" i="24" s="1"/>
  <c r="J2820" i="24"/>
  <c r="K2820" i="24" s="1"/>
  <c r="J2821" i="24"/>
  <c r="K2821" i="24" s="1"/>
  <c r="J2822" i="24"/>
  <c r="K2822" i="24" s="1"/>
  <c r="J2823" i="24"/>
  <c r="K2823" i="24" s="1"/>
  <c r="J2824" i="24"/>
  <c r="K2824" i="24" s="1"/>
  <c r="J2825" i="24"/>
  <c r="K2825" i="24" s="1"/>
  <c r="J2826" i="24"/>
  <c r="K2826" i="24" s="1"/>
  <c r="K2827" i="24"/>
  <c r="J2828" i="24"/>
  <c r="K2828" i="24" s="1"/>
  <c r="J2829" i="24"/>
  <c r="K2829" i="24" s="1"/>
  <c r="K2830" i="24"/>
  <c r="J2831" i="24"/>
  <c r="K2831" i="24" s="1"/>
  <c r="J2832" i="24"/>
  <c r="K2832" i="24" s="1"/>
  <c r="J2833" i="24"/>
  <c r="K2833" i="24" s="1"/>
  <c r="K2834" i="24"/>
  <c r="J2835" i="24"/>
  <c r="K2835" i="24" s="1"/>
  <c r="J2836" i="24"/>
  <c r="K2836" i="24" s="1"/>
  <c r="J2837" i="24"/>
  <c r="K2837" i="24" s="1"/>
  <c r="J2838" i="24"/>
  <c r="K2838" i="24" s="1"/>
  <c r="K2839" i="24"/>
  <c r="J2840" i="24"/>
  <c r="K2840" i="24" s="1"/>
  <c r="J2841" i="24"/>
  <c r="K2841" i="24" s="1"/>
  <c r="J2842" i="24"/>
  <c r="K2842" i="24" s="1"/>
  <c r="J2843" i="24"/>
  <c r="K2843" i="24" s="1"/>
  <c r="K2844" i="24"/>
  <c r="K2845" i="24"/>
  <c r="J2846" i="24"/>
  <c r="K2846" i="24" s="1"/>
  <c r="K2847" i="24"/>
  <c r="K2848" i="24"/>
  <c r="K2849" i="24"/>
  <c r="J2850" i="24"/>
  <c r="K2850" i="24" s="1"/>
  <c r="K2851" i="24"/>
  <c r="J2852" i="24"/>
  <c r="K2852" i="24" s="1"/>
  <c r="J2853" i="24"/>
  <c r="K2853" i="24" s="1"/>
  <c r="J2854" i="24"/>
  <c r="K2854" i="24" s="1"/>
  <c r="K2855" i="24"/>
  <c r="J2856" i="24"/>
  <c r="K2856" i="24" s="1"/>
  <c r="J2857" i="24"/>
  <c r="K2857" i="24" s="1"/>
  <c r="K2858" i="24"/>
  <c r="J2859" i="24"/>
  <c r="K2859" i="24" s="1"/>
  <c r="K2860" i="24"/>
  <c r="K2861" i="24"/>
  <c r="J2862" i="24"/>
  <c r="K2862" i="24" s="1"/>
  <c r="K2863" i="24"/>
  <c r="J2864" i="24"/>
  <c r="K2864" i="24" s="1"/>
  <c r="J2865" i="24"/>
  <c r="K2865" i="24" s="1"/>
  <c r="K2866" i="24"/>
  <c r="J2867" i="24"/>
  <c r="K2867" i="24" s="1"/>
  <c r="J2868" i="24"/>
  <c r="K2868" i="24" s="1"/>
  <c r="K2869" i="24"/>
  <c r="J2870" i="24"/>
  <c r="K2870" i="24" s="1"/>
  <c r="K2871" i="24"/>
  <c r="J2872" i="24"/>
  <c r="K2872" i="24" s="1"/>
  <c r="K2873" i="24"/>
  <c r="J2874" i="24"/>
  <c r="K2874" i="24" s="1"/>
  <c r="J2875" i="24"/>
  <c r="K2875" i="24" s="1"/>
  <c r="J2876" i="24"/>
  <c r="K2876" i="24" s="1"/>
  <c r="K2877" i="24"/>
  <c r="K2878" i="24"/>
  <c r="J2879" i="24"/>
  <c r="K2879" i="24" s="1"/>
  <c r="J2880" i="24"/>
  <c r="K2880" i="24" s="1"/>
  <c r="K2881" i="24"/>
  <c r="J2882" i="24"/>
  <c r="K2882" i="24" s="1"/>
  <c r="J2883" i="24"/>
  <c r="K2883" i="24" s="1"/>
  <c r="K2884" i="24"/>
  <c r="J2885" i="24"/>
  <c r="K2885" i="24" s="1"/>
  <c r="J2886" i="24"/>
  <c r="K2886" i="24" s="1"/>
  <c r="K2887" i="24"/>
  <c r="K2888" i="24"/>
  <c r="K2889" i="24"/>
  <c r="J2890" i="24"/>
  <c r="K2890" i="24" s="1"/>
  <c r="K2891" i="24"/>
  <c r="J2892" i="24"/>
  <c r="K2892" i="24" s="1"/>
  <c r="J2893" i="24"/>
  <c r="K2893" i="24" s="1"/>
  <c r="J2894" i="24"/>
  <c r="K2894" i="24" s="1"/>
  <c r="K2895" i="24"/>
  <c r="J2896" i="24"/>
  <c r="K2896" i="24" s="1"/>
  <c r="J2897" i="24"/>
  <c r="K2897" i="24" s="1"/>
  <c r="K2898" i="24"/>
  <c r="J2899" i="24"/>
  <c r="K2899" i="24" s="1"/>
  <c r="K2900" i="24"/>
  <c r="K2901" i="24"/>
  <c r="J2902" i="24"/>
  <c r="K2902" i="24" s="1"/>
  <c r="J2903" i="24"/>
  <c r="K2903" i="24" s="1"/>
  <c r="J2904" i="24"/>
  <c r="K2904" i="24" s="1"/>
  <c r="J2905" i="24"/>
  <c r="K2905" i="24" s="1"/>
  <c r="J2906" i="24"/>
  <c r="K2906" i="24" s="1"/>
  <c r="K2907" i="24"/>
  <c r="J2908" i="24"/>
  <c r="K2908" i="24" s="1"/>
  <c r="K2909" i="24"/>
  <c r="K2910" i="24"/>
  <c r="J2911" i="24"/>
  <c r="K2911" i="24" s="1"/>
  <c r="J2912" i="24"/>
  <c r="K2912" i="24" s="1"/>
  <c r="J2913" i="24"/>
  <c r="K2913" i="24" s="1"/>
  <c r="J2914" i="24"/>
  <c r="K2914" i="24" s="1"/>
  <c r="J2915" i="24"/>
  <c r="K2915" i="24" s="1"/>
  <c r="K2916" i="24"/>
  <c r="K2917" i="24"/>
  <c r="J2918" i="24"/>
  <c r="K2918" i="24" s="1"/>
  <c r="K2919" i="24"/>
  <c r="J2920" i="24"/>
  <c r="K2920" i="24" s="1"/>
  <c r="J2921" i="24"/>
  <c r="K2921" i="24" s="1"/>
  <c r="J2922" i="24"/>
  <c r="K2922" i="24" s="1"/>
  <c r="J2923" i="24"/>
  <c r="K2923" i="24" s="1"/>
  <c r="K2924" i="24"/>
  <c r="J2925" i="24"/>
  <c r="K2925" i="24" s="1"/>
  <c r="K2926" i="24"/>
  <c r="K2927" i="24"/>
  <c r="K2928" i="24"/>
  <c r="J2929" i="24"/>
  <c r="K2929" i="24" s="1"/>
  <c r="K2930" i="24"/>
  <c r="J2931" i="24"/>
  <c r="K2931" i="24" s="1"/>
  <c r="J2932" i="24"/>
  <c r="K2932" i="24" s="1"/>
  <c r="K2933" i="24"/>
  <c r="J2934" i="24"/>
  <c r="K2934" i="24" s="1"/>
  <c r="J2935" i="24"/>
  <c r="K2935" i="24" s="1"/>
  <c r="J2936" i="24"/>
  <c r="K2936" i="24" s="1"/>
  <c r="K2937" i="24"/>
  <c r="J2938" i="24"/>
  <c r="K2938" i="24" s="1"/>
  <c r="K2939" i="24"/>
  <c r="K2940" i="24"/>
  <c r="J2941" i="24"/>
  <c r="K2941" i="24" s="1"/>
  <c r="J2942" i="24"/>
  <c r="K2942" i="24" s="1"/>
  <c r="J2943" i="24"/>
  <c r="K2943" i="24" s="1"/>
  <c r="J2944" i="24"/>
  <c r="K2944" i="24" s="1"/>
  <c r="J2945" i="24"/>
  <c r="K2945" i="24" s="1"/>
  <c r="J2946" i="24"/>
  <c r="K2946" i="24" s="1"/>
  <c r="K2947" i="24"/>
  <c r="J2948" i="24"/>
  <c r="K2948" i="24" s="1"/>
  <c r="J2949" i="24"/>
  <c r="K2949" i="24" s="1"/>
  <c r="J2950" i="24"/>
  <c r="K2950" i="24" s="1"/>
  <c r="K2951" i="24"/>
  <c r="J2952" i="24"/>
  <c r="K2952" i="24" s="1"/>
  <c r="K2953" i="24"/>
  <c r="J2954" i="24"/>
  <c r="K2954" i="24" s="1"/>
  <c r="J2955" i="24"/>
  <c r="K2955" i="24" s="1"/>
  <c r="J2956" i="24"/>
  <c r="K2956" i="24" s="1"/>
  <c r="J2957" i="24"/>
  <c r="K2957" i="24" s="1"/>
  <c r="J2958" i="24"/>
  <c r="K2958" i="24" s="1"/>
  <c r="J2959" i="24"/>
  <c r="K2959" i="24" s="1"/>
  <c r="J2960" i="24"/>
  <c r="K2960" i="24" s="1"/>
  <c r="J2961" i="24"/>
  <c r="K2961" i="24" s="1"/>
  <c r="K2962" i="24"/>
  <c r="K2963" i="24"/>
  <c r="K2964" i="24"/>
  <c r="K2965" i="24"/>
  <c r="K2966" i="24"/>
  <c r="K2967" i="24"/>
  <c r="J2968" i="24"/>
  <c r="K2968" i="24" s="1"/>
  <c r="K2969" i="24"/>
  <c r="J2970" i="24"/>
  <c r="K2970" i="24" s="1"/>
  <c r="J2971" i="24"/>
  <c r="K2971" i="24" s="1"/>
  <c r="J2972" i="24"/>
  <c r="K2972" i="24" s="1"/>
  <c r="K2973" i="24"/>
  <c r="J2974" i="24"/>
  <c r="K2974" i="24" s="1"/>
  <c r="J2975" i="24"/>
  <c r="K2975" i="24" s="1"/>
  <c r="K2976" i="24"/>
  <c r="K2977" i="24"/>
  <c r="J2978" i="24"/>
  <c r="K2978" i="24" s="1"/>
  <c r="J2979" i="24"/>
  <c r="K2979" i="24" s="1"/>
  <c r="J2980" i="24"/>
  <c r="K2980" i="24" s="1"/>
  <c r="K2981" i="24"/>
  <c r="K2982" i="24"/>
  <c r="K2983" i="24"/>
  <c r="J2984" i="24"/>
  <c r="K2984" i="24" s="1"/>
  <c r="J2985" i="24"/>
  <c r="K2985" i="24" s="1"/>
  <c r="J2986" i="24"/>
  <c r="K2986" i="24" s="1"/>
  <c r="J2987" i="24"/>
  <c r="K2987" i="24" s="1"/>
  <c r="J2988" i="24"/>
  <c r="K2988" i="24" s="1"/>
  <c r="J2989" i="24"/>
  <c r="K2989" i="24" s="1"/>
  <c r="J2990" i="24"/>
  <c r="K2990" i="24" s="1"/>
  <c r="J2991" i="24"/>
  <c r="K2991" i="24" s="1"/>
  <c r="J2992" i="24"/>
  <c r="K2992" i="24" s="1"/>
  <c r="K2993" i="24"/>
  <c r="K2994" i="24"/>
  <c r="J2995" i="24"/>
  <c r="K2995" i="24" s="1"/>
  <c r="J2996" i="24"/>
  <c r="K2996" i="24" s="1"/>
  <c r="J2997" i="24"/>
  <c r="K2997" i="24" s="1"/>
  <c r="J2998" i="24"/>
  <c r="K2998" i="24" s="1"/>
  <c r="K2999" i="24"/>
  <c r="J3000" i="24"/>
  <c r="K3000" i="24" s="1"/>
  <c r="J3001" i="24"/>
  <c r="K3001" i="24" s="1"/>
  <c r="J3002" i="24"/>
  <c r="K3002" i="24" s="1"/>
  <c r="J3003" i="24"/>
  <c r="K3003" i="24" s="1"/>
  <c r="K3004" i="24"/>
  <c r="K3005" i="24"/>
  <c r="K3006" i="24"/>
  <c r="J3007" i="24"/>
  <c r="K3007" i="24" s="1"/>
  <c r="K3008" i="24"/>
  <c r="J3009" i="24"/>
  <c r="K3009" i="24" s="1"/>
  <c r="K3010" i="24"/>
  <c r="J3011" i="24"/>
  <c r="K3011" i="24" s="1"/>
  <c r="K3012" i="24"/>
  <c r="K3013" i="24"/>
  <c r="K3014" i="24"/>
  <c r="K3015" i="24"/>
  <c r="K3016" i="24"/>
  <c r="J3017" i="24"/>
  <c r="K3017" i="24" s="1"/>
  <c r="J3018" i="24"/>
  <c r="K3018" i="24" s="1"/>
  <c r="J3019" i="24"/>
  <c r="K3019" i="24" s="1"/>
  <c r="K3020" i="24"/>
  <c r="J3021" i="24"/>
  <c r="K3021" i="24" s="1"/>
  <c r="K3022" i="24"/>
  <c r="J3023" i="24"/>
  <c r="K3023" i="24" s="1"/>
  <c r="K3024" i="24"/>
  <c r="J3025" i="24"/>
  <c r="K3025" i="24" s="1"/>
  <c r="J3026" i="24"/>
  <c r="K3026" i="24" s="1"/>
  <c r="J3027" i="24"/>
  <c r="K3027" i="24" s="1"/>
  <c r="J3028" i="24"/>
  <c r="K3028" i="24" s="1"/>
  <c r="J3029" i="24"/>
  <c r="K3029" i="24" s="1"/>
  <c r="J3030" i="24"/>
  <c r="K3030" i="24" s="1"/>
  <c r="J3031" i="24"/>
  <c r="K3031" i="24" s="1"/>
  <c r="J3032" i="24"/>
  <c r="K3032" i="24" s="1"/>
  <c r="K3033" i="24"/>
  <c r="K3034" i="24"/>
  <c r="J3035" i="24"/>
  <c r="K3035" i="24" s="1"/>
  <c r="K3036" i="24"/>
  <c r="J3037" i="24"/>
  <c r="K3037" i="24" s="1"/>
  <c r="J3038" i="24"/>
  <c r="K3038" i="24" s="1"/>
  <c r="J3039" i="24"/>
  <c r="K3039" i="24" s="1"/>
  <c r="K3040" i="24"/>
  <c r="J3041" i="24"/>
  <c r="K3041" i="24" s="1"/>
  <c r="J3042" i="24"/>
  <c r="K3042" i="24" s="1"/>
  <c r="J3043" i="24"/>
  <c r="K3043" i="24" s="1"/>
  <c r="J3044" i="24"/>
  <c r="K3044" i="24" s="1"/>
  <c r="K3045" i="24"/>
  <c r="J3046" i="24"/>
  <c r="K3046" i="24" s="1"/>
  <c r="J3047" i="24"/>
  <c r="K3047" i="24" s="1"/>
  <c r="J3048" i="24"/>
  <c r="K3048" i="24" s="1"/>
  <c r="K3049" i="24"/>
  <c r="K3050" i="24"/>
  <c r="K3051" i="24"/>
  <c r="K3052" i="24"/>
  <c r="K3053" i="24"/>
  <c r="K3054" i="24"/>
  <c r="J3055" i="24"/>
  <c r="K3055" i="24" s="1"/>
  <c r="J3056" i="24"/>
  <c r="K3056" i="24" s="1"/>
  <c r="J3057" i="24"/>
  <c r="K3057" i="24" s="1"/>
  <c r="K3058" i="24"/>
  <c r="K3059" i="24"/>
  <c r="J3060" i="24"/>
  <c r="K3060" i="24" s="1"/>
  <c r="J3061" i="24"/>
  <c r="K3061" i="24" s="1"/>
  <c r="J3062" i="24"/>
  <c r="K3062" i="24" s="1"/>
  <c r="K3063" i="24"/>
  <c r="K3064" i="24"/>
  <c r="K3065" i="24"/>
  <c r="J3066" i="24"/>
  <c r="K3066" i="24" s="1"/>
  <c r="K3067" i="24"/>
  <c r="J3068" i="24"/>
  <c r="K3068" i="24" s="1"/>
  <c r="J3069" i="24"/>
  <c r="K3069" i="24" s="1"/>
  <c r="J3070" i="24"/>
  <c r="K3070" i="24" s="1"/>
  <c r="J3071" i="24"/>
  <c r="K3071" i="24" s="1"/>
  <c r="K3072" i="24"/>
  <c r="J3073" i="24"/>
  <c r="K3073" i="24" s="1"/>
  <c r="J3074" i="24"/>
  <c r="K3074" i="24" s="1"/>
  <c r="J3075" i="24"/>
  <c r="K3075" i="24" s="1"/>
  <c r="J3076" i="24"/>
  <c r="K3076" i="24" s="1"/>
  <c r="J3077" i="24"/>
  <c r="K3077" i="24" s="1"/>
  <c r="J3078" i="24"/>
  <c r="K3078" i="24" s="1"/>
  <c r="J3079" i="24"/>
  <c r="K3079" i="24" s="1"/>
  <c r="J3080" i="24"/>
  <c r="K3080" i="24" s="1"/>
  <c r="J3081" i="24"/>
  <c r="K3081" i="24" s="1"/>
  <c r="J3082" i="24"/>
  <c r="K3082" i="24" s="1"/>
  <c r="K3083" i="24"/>
  <c r="J3084" i="24"/>
  <c r="K3084" i="24" s="1"/>
  <c r="J3085" i="24"/>
  <c r="K3085" i="24" s="1"/>
  <c r="K3086" i="24"/>
  <c r="J3087" i="24"/>
  <c r="K3087" i="24" s="1"/>
  <c r="J3088" i="24"/>
  <c r="K3088" i="24" s="1"/>
  <c r="J3089" i="24"/>
  <c r="K3089" i="24" s="1"/>
  <c r="K3090" i="24"/>
  <c r="J3091" i="24"/>
  <c r="K3091" i="24" s="1"/>
  <c r="J3092" i="24"/>
  <c r="K3092" i="24" s="1"/>
  <c r="J3093" i="24"/>
  <c r="K3093" i="24" s="1"/>
  <c r="J3094" i="24"/>
  <c r="K3094" i="24" s="1"/>
  <c r="J3095" i="24"/>
  <c r="K3095" i="24" s="1"/>
  <c r="J3096" i="24"/>
  <c r="K3096" i="24" s="1"/>
  <c r="J3097" i="24"/>
  <c r="K3097" i="24" s="1"/>
  <c r="J3098" i="24"/>
  <c r="K3098" i="24" s="1"/>
  <c r="J3099" i="24"/>
  <c r="K3099" i="24" s="1"/>
  <c r="K3100" i="24"/>
  <c r="J3101" i="24"/>
  <c r="K3101" i="24" s="1"/>
  <c r="K3102" i="24"/>
  <c r="K3103" i="24"/>
  <c r="J3104" i="24"/>
  <c r="K3104" i="24" s="1"/>
  <c r="J3105" i="24"/>
  <c r="K3105" i="24" s="1"/>
  <c r="J3106" i="24"/>
  <c r="K3106" i="24" s="1"/>
  <c r="J3107" i="24"/>
  <c r="K3107" i="24" s="1"/>
  <c r="J3108" i="24"/>
  <c r="K3108" i="24" s="1"/>
  <c r="J3109" i="24"/>
  <c r="K3109" i="24" s="1"/>
  <c r="J3110" i="24"/>
  <c r="K3110" i="24" s="1"/>
  <c r="J3111" i="24"/>
  <c r="K3111" i="24" s="1"/>
  <c r="J3112" i="24"/>
  <c r="K3112" i="24" s="1"/>
  <c r="J3113" i="24"/>
  <c r="K3113" i="24" s="1"/>
  <c r="J3114" i="24"/>
  <c r="K3114" i="24" s="1"/>
  <c r="J3115" i="24"/>
  <c r="K3115" i="24" s="1"/>
  <c r="K3116" i="24"/>
  <c r="J3117" i="24"/>
  <c r="K3117" i="24" s="1"/>
  <c r="K3119" i="24"/>
  <c r="J3120" i="24"/>
  <c r="K3120" i="24" s="1"/>
  <c r="J3121" i="24"/>
  <c r="K3121" i="24" s="1"/>
  <c r="J3122" i="24"/>
  <c r="K3122" i="24" s="1"/>
  <c r="J3123" i="24"/>
  <c r="K3123" i="24" s="1"/>
  <c r="J3124" i="24"/>
  <c r="K3124" i="24" s="1"/>
  <c r="J3125" i="24"/>
  <c r="K3125" i="24" s="1"/>
  <c r="J3126" i="24"/>
  <c r="K3126" i="24" s="1"/>
  <c r="J3127" i="24"/>
  <c r="K3127" i="24" s="1"/>
  <c r="J3128" i="24"/>
  <c r="K3128" i="24" s="1"/>
  <c r="J3129" i="24"/>
  <c r="K3129" i="24" s="1"/>
  <c r="J3130" i="24"/>
  <c r="K3130" i="24" s="1"/>
  <c r="J3131" i="24"/>
  <c r="K3131" i="24" s="1"/>
  <c r="J3132" i="24"/>
  <c r="K3132" i="24" s="1"/>
  <c r="J3133" i="24"/>
  <c r="K3133" i="24" s="1"/>
  <c r="J3134" i="24"/>
  <c r="K3134" i="24" s="1"/>
  <c r="K3135" i="24"/>
  <c r="K3136" i="24"/>
  <c r="J3138" i="24"/>
  <c r="K3138" i="24" s="1"/>
  <c r="J3139" i="24"/>
  <c r="K3139" i="24" s="1"/>
  <c r="J3140" i="24"/>
  <c r="K3140" i="24" s="1"/>
  <c r="J3141" i="24"/>
  <c r="K3141" i="24" s="1"/>
  <c r="J3142" i="24"/>
  <c r="K3142" i="24" s="1"/>
  <c r="J3143" i="24"/>
  <c r="K3143" i="24" s="1"/>
  <c r="J3144" i="24"/>
  <c r="K3144" i="24" s="1"/>
  <c r="J3145" i="24"/>
  <c r="K3145" i="24" s="1"/>
  <c r="K3146" i="24"/>
  <c r="K3147" i="24"/>
  <c r="K3148" i="24"/>
  <c r="J3149" i="24"/>
  <c r="K3149" i="24" s="1"/>
  <c r="J3150" i="24"/>
  <c r="K3150" i="24" s="1"/>
  <c r="J3151" i="24"/>
  <c r="K3151" i="24" s="1"/>
  <c r="K3152" i="24"/>
  <c r="K3153" i="24"/>
  <c r="J3154" i="24"/>
  <c r="K3154" i="24" s="1"/>
  <c r="J3156" i="24"/>
  <c r="K3156" i="24" s="1"/>
  <c r="K3159" i="24"/>
  <c r="J3160" i="24"/>
  <c r="K3160" i="24" s="1"/>
  <c r="K3161" i="24"/>
  <c r="K3162" i="24"/>
  <c r="K3167" i="24"/>
  <c r="J3" i="23"/>
  <c r="K3" i="23" s="1"/>
  <c r="J4" i="23"/>
  <c r="K4" i="23" s="1"/>
  <c r="J5" i="23"/>
  <c r="K5" i="23" s="1"/>
  <c r="J6" i="23"/>
  <c r="K6" i="23" s="1"/>
  <c r="J7" i="23"/>
  <c r="K7" i="23" s="1"/>
  <c r="J8" i="23"/>
  <c r="K8" i="23" s="1"/>
  <c r="J9" i="23"/>
  <c r="K9" i="23" s="1"/>
  <c r="J10" i="23"/>
  <c r="K10" i="23" s="1"/>
  <c r="J11" i="23"/>
  <c r="K11" i="23" s="1"/>
  <c r="J12" i="23"/>
  <c r="K12" i="23" s="1"/>
  <c r="K13" i="23"/>
  <c r="J14" i="23"/>
  <c r="K14" i="23" s="1"/>
  <c r="J15" i="23"/>
  <c r="K15" i="23" s="1"/>
  <c r="J16" i="23"/>
  <c r="K16" i="23" s="1"/>
  <c r="K17" i="23"/>
  <c r="J18" i="23"/>
  <c r="K18" i="23" s="1"/>
  <c r="J19" i="23"/>
  <c r="K19" i="23" s="1"/>
  <c r="J20" i="23"/>
  <c r="K20" i="23" s="1"/>
  <c r="J21" i="23"/>
  <c r="K21" i="23" s="1"/>
  <c r="J22" i="23"/>
  <c r="K22" i="23" s="1"/>
  <c r="J23" i="23"/>
  <c r="K23" i="23" s="1"/>
  <c r="J24" i="23"/>
  <c r="K24" i="23" s="1"/>
  <c r="J25" i="23"/>
  <c r="K25" i="23" s="1"/>
  <c r="J26" i="23"/>
  <c r="K26" i="23" s="1"/>
  <c r="J27" i="23"/>
  <c r="K27" i="23" s="1"/>
  <c r="J28" i="23"/>
  <c r="K28" i="23" s="1"/>
  <c r="J29" i="23"/>
  <c r="K29" i="23" s="1"/>
  <c r="J30" i="23"/>
  <c r="K30" i="23" s="1"/>
  <c r="J31" i="23"/>
  <c r="K31" i="23" s="1"/>
  <c r="J32" i="23"/>
  <c r="K32" i="23" s="1"/>
  <c r="J33" i="23"/>
  <c r="K33" i="23" s="1"/>
  <c r="J34" i="23"/>
  <c r="K34" i="23" s="1"/>
  <c r="J35" i="23"/>
  <c r="K35" i="23" s="1"/>
  <c r="J36" i="23"/>
  <c r="K36" i="23" s="1"/>
  <c r="J37" i="23"/>
  <c r="K37" i="23" s="1"/>
  <c r="J38" i="23"/>
  <c r="K38" i="23" s="1"/>
  <c r="J39" i="23"/>
  <c r="K39" i="23" s="1"/>
  <c r="J40" i="23"/>
  <c r="K40" i="23" s="1"/>
  <c r="J41" i="23"/>
  <c r="K41" i="23" s="1"/>
  <c r="J42" i="23"/>
  <c r="K42" i="23" s="1"/>
  <c r="J43" i="23"/>
  <c r="K43" i="23" s="1"/>
  <c r="K44" i="23"/>
  <c r="J45" i="23"/>
  <c r="K45" i="23" s="1"/>
  <c r="J46" i="23"/>
  <c r="K46" i="23" s="1"/>
  <c r="J47" i="23"/>
  <c r="K47" i="23" s="1"/>
  <c r="J48" i="23"/>
  <c r="K48" i="23" s="1"/>
  <c r="J49" i="23"/>
  <c r="K49" i="23" s="1"/>
  <c r="J50" i="23"/>
  <c r="K50" i="23" s="1"/>
  <c r="J51" i="23"/>
  <c r="K51" i="23" s="1"/>
  <c r="J52" i="23"/>
  <c r="K52" i="23" s="1"/>
  <c r="J53" i="23"/>
  <c r="K53" i="23" s="1"/>
  <c r="J54" i="23"/>
  <c r="K54" i="23" s="1"/>
  <c r="J55" i="23"/>
  <c r="K55" i="23" s="1"/>
  <c r="J56" i="23"/>
  <c r="K56" i="23" s="1"/>
  <c r="J57" i="23"/>
  <c r="K57" i="23" s="1"/>
  <c r="J58" i="23"/>
  <c r="K58" i="23" s="1"/>
  <c r="J59" i="23"/>
  <c r="K59" i="23" s="1"/>
  <c r="J60" i="23"/>
  <c r="K60" i="23" s="1"/>
  <c r="K61" i="23"/>
  <c r="J62" i="23"/>
  <c r="K62" i="23" s="1"/>
  <c r="J63" i="23"/>
  <c r="K63" i="23" s="1"/>
  <c r="J64" i="23"/>
  <c r="K64" i="23" s="1"/>
  <c r="J65" i="23"/>
  <c r="K65" i="23" s="1"/>
  <c r="J66" i="23"/>
  <c r="K66" i="23" s="1"/>
  <c r="J67" i="23"/>
  <c r="K67" i="23" s="1"/>
  <c r="J68" i="23"/>
  <c r="K68" i="23" s="1"/>
  <c r="J69" i="23"/>
  <c r="K69" i="23" s="1"/>
  <c r="J70" i="23"/>
  <c r="K70" i="23" s="1"/>
  <c r="J71" i="23"/>
  <c r="K71" i="23" s="1"/>
  <c r="K72" i="23"/>
  <c r="J73" i="23"/>
  <c r="K73" i="23" s="1"/>
  <c r="K74" i="23"/>
  <c r="J75" i="23"/>
  <c r="K75" i="23" s="1"/>
  <c r="J76" i="23"/>
  <c r="K76" i="23" s="1"/>
  <c r="J77" i="23"/>
  <c r="K77" i="23" s="1"/>
  <c r="J78" i="23"/>
  <c r="K78" i="23" s="1"/>
  <c r="J79" i="23"/>
  <c r="K79" i="23" s="1"/>
  <c r="J80" i="23"/>
  <c r="K80" i="23" s="1"/>
  <c r="K81" i="23"/>
  <c r="J82" i="23"/>
  <c r="K82" i="23" s="1"/>
  <c r="J83" i="23"/>
  <c r="K83" i="23" s="1"/>
  <c r="J84" i="23"/>
  <c r="K84" i="23" s="1"/>
  <c r="J85" i="23"/>
  <c r="K85" i="23" s="1"/>
  <c r="J86" i="23"/>
  <c r="K86" i="23" s="1"/>
  <c r="J87" i="23"/>
  <c r="K87" i="23" s="1"/>
  <c r="J88" i="23"/>
  <c r="K88" i="23" s="1"/>
  <c r="J89" i="23"/>
  <c r="K89" i="23" s="1"/>
  <c r="J90" i="23"/>
  <c r="K90" i="23" s="1"/>
  <c r="J91" i="23"/>
  <c r="K91" i="23" s="1"/>
  <c r="J92" i="23"/>
  <c r="K92" i="23" s="1"/>
  <c r="K93" i="23"/>
  <c r="K94" i="23"/>
  <c r="J95" i="23"/>
  <c r="K95" i="23" s="1"/>
  <c r="J96" i="23"/>
  <c r="K96" i="23" s="1"/>
  <c r="J97" i="23"/>
  <c r="K97" i="23" s="1"/>
  <c r="J98" i="23"/>
  <c r="K98" i="23" s="1"/>
  <c r="J99" i="23"/>
  <c r="K99" i="23" s="1"/>
  <c r="J100" i="23"/>
  <c r="K100" i="23" s="1"/>
  <c r="J101" i="23"/>
  <c r="K101" i="23" s="1"/>
  <c r="J102" i="23"/>
  <c r="K102" i="23" s="1"/>
  <c r="J103" i="23"/>
  <c r="K103" i="23" s="1"/>
  <c r="J104" i="23"/>
  <c r="K104" i="23" s="1"/>
  <c r="K105" i="23"/>
  <c r="K106" i="23"/>
  <c r="K107" i="23"/>
  <c r="K108" i="23"/>
  <c r="J109" i="23"/>
  <c r="K109" i="23" s="1"/>
  <c r="J110" i="23"/>
  <c r="K110" i="23" s="1"/>
  <c r="J111" i="23"/>
  <c r="K111" i="23" s="1"/>
  <c r="J112" i="23"/>
  <c r="K112" i="23" s="1"/>
  <c r="J113" i="23"/>
  <c r="K113" i="23" s="1"/>
  <c r="J114" i="23"/>
  <c r="K114" i="23" s="1"/>
  <c r="J115" i="23"/>
  <c r="K115" i="23" s="1"/>
  <c r="J116" i="23"/>
  <c r="K116" i="23" s="1"/>
  <c r="J117" i="23"/>
  <c r="K117" i="23" s="1"/>
  <c r="J118" i="23"/>
  <c r="K118" i="23" s="1"/>
  <c r="J119" i="23"/>
  <c r="K119" i="23" s="1"/>
  <c r="K120" i="23"/>
  <c r="J121" i="23"/>
  <c r="K121" i="23" s="1"/>
  <c r="J122" i="23"/>
  <c r="K122" i="23" s="1"/>
  <c r="J123" i="23"/>
  <c r="K123" i="23" s="1"/>
  <c r="J124" i="23"/>
  <c r="K124" i="23" s="1"/>
  <c r="J125" i="23"/>
  <c r="K125" i="23" s="1"/>
  <c r="K126" i="23"/>
  <c r="J127" i="23"/>
  <c r="K127" i="23" s="1"/>
  <c r="J128" i="23"/>
  <c r="K128" i="23" s="1"/>
  <c r="J129" i="23"/>
  <c r="K129" i="23" s="1"/>
  <c r="J130" i="23"/>
  <c r="K130" i="23" s="1"/>
  <c r="K131" i="23"/>
  <c r="J132" i="23"/>
  <c r="K132" i="23" s="1"/>
  <c r="J133" i="23"/>
  <c r="K133" i="23" s="1"/>
  <c r="J134" i="23"/>
  <c r="K134" i="23" s="1"/>
  <c r="J135" i="23"/>
  <c r="K135" i="23" s="1"/>
  <c r="J136" i="23"/>
  <c r="K136" i="23" s="1"/>
  <c r="J137" i="23"/>
  <c r="K137" i="23" s="1"/>
  <c r="J138" i="23"/>
  <c r="K138" i="23" s="1"/>
  <c r="J139" i="23"/>
  <c r="K139" i="23" s="1"/>
  <c r="J140" i="23"/>
  <c r="K140" i="23" s="1"/>
  <c r="J141" i="23"/>
  <c r="K141" i="23" s="1"/>
  <c r="J142" i="23"/>
  <c r="K142" i="23" s="1"/>
  <c r="J143" i="23"/>
  <c r="K143" i="23" s="1"/>
  <c r="J144" i="23"/>
  <c r="K144" i="23" s="1"/>
  <c r="J145" i="23"/>
  <c r="K145" i="23" s="1"/>
  <c r="J146" i="23"/>
  <c r="K146" i="23" s="1"/>
  <c r="K147" i="23"/>
  <c r="J148" i="23"/>
  <c r="K148" i="23" s="1"/>
  <c r="J149" i="23"/>
  <c r="K149" i="23" s="1"/>
  <c r="J150" i="23"/>
  <c r="K150" i="23" s="1"/>
  <c r="J151" i="23"/>
  <c r="K151" i="23" s="1"/>
  <c r="J152" i="23"/>
  <c r="K152" i="23" s="1"/>
  <c r="K153" i="23"/>
  <c r="J154" i="23"/>
  <c r="K154" i="23" s="1"/>
  <c r="J155" i="23"/>
  <c r="K155" i="23" s="1"/>
  <c r="J156" i="23"/>
  <c r="K156" i="23" s="1"/>
  <c r="J157" i="23"/>
  <c r="K157" i="23" s="1"/>
  <c r="J158" i="23"/>
  <c r="K158" i="23" s="1"/>
  <c r="J159" i="23"/>
  <c r="K159" i="23" s="1"/>
  <c r="J160" i="23"/>
  <c r="K160" i="23" s="1"/>
  <c r="J161" i="23"/>
  <c r="K161" i="23" s="1"/>
  <c r="J162" i="23"/>
  <c r="K162" i="23" s="1"/>
  <c r="J163" i="23"/>
  <c r="K163" i="23" s="1"/>
  <c r="J164" i="23"/>
  <c r="K164" i="23" s="1"/>
  <c r="J165" i="23"/>
  <c r="K165" i="23" s="1"/>
  <c r="J166" i="23"/>
  <c r="K166" i="23" s="1"/>
  <c r="J167" i="23"/>
  <c r="K167" i="23" s="1"/>
  <c r="J168" i="23"/>
  <c r="K168" i="23" s="1"/>
  <c r="J169" i="23"/>
  <c r="K169" i="23" s="1"/>
  <c r="J170" i="23"/>
  <c r="K170" i="23" s="1"/>
  <c r="J171" i="23"/>
  <c r="K171" i="23" s="1"/>
  <c r="J172" i="23"/>
  <c r="K172" i="23" s="1"/>
  <c r="J173" i="23"/>
  <c r="K173" i="23" s="1"/>
  <c r="J174" i="23"/>
  <c r="K174" i="23" s="1"/>
  <c r="K175" i="23"/>
  <c r="J176" i="23"/>
  <c r="K176" i="23" s="1"/>
  <c r="J177" i="23"/>
  <c r="K177" i="23" s="1"/>
  <c r="K178" i="23"/>
  <c r="J179" i="23"/>
  <c r="K179" i="23" s="1"/>
  <c r="J180" i="23"/>
  <c r="K180" i="23" s="1"/>
  <c r="K181" i="23"/>
  <c r="K182" i="23"/>
  <c r="J183" i="23"/>
  <c r="K183" i="23" s="1"/>
  <c r="J184" i="23"/>
  <c r="K184" i="23" s="1"/>
  <c r="J185" i="23"/>
  <c r="K185" i="23" s="1"/>
  <c r="J186" i="23"/>
  <c r="K186" i="23" s="1"/>
  <c r="J187" i="23"/>
  <c r="K187" i="23" s="1"/>
  <c r="J188" i="23"/>
  <c r="K188" i="23" s="1"/>
  <c r="J189" i="23"/>
  <c r="K189" i="23" s="1"/>
  <c r="J190" i="23"/>
  <c r="K190" i="23" s="1"/>
  <c r="J191" i="23"/>
  <c r="K191" i="23" s="1"/>
  <c r="J192" i="23"/>
  <c r="K192" i="23" s="1"/>
  <c r="K193" i="23"/>
  <c r="K194" i="23"/>
  <c r="J195" i="23"/>
  <c r="K195" i="23" s="1"/>
  <c r="J196" i="23"/>
  <c r="K196" i="23" s="1"/>
  <c r="J197" i="23"/>
  <c r="K197" i="23" s="1"/>
  <c r="J198" i="23"/>
  <c r="K198" i="23" s="1"/>
  <c r="J199" i="23"/>
  <c r="K199" i="23" s="1"/>
  <c r="J200" i="23"/>
  <c r="K200" i="23" s="1"/>
  <c r="J201" i="23"/>
  <c r="K201" i="23" s="1"/>
  <c r="J202" i="23"/>
  <c r="K202" i="23" s="1"/>
  <c r="J203" i="23"/>
  <c r="K203" i="23" s="1"/>
  <c r="J204" i="23"/>
  <c r="K204" i="23" s="1"/>
  <c r="J205" i="23"/>
  <c r="K205" i="23" s="1"/>
  <c r="J206" i="23"/>
  <c r="K206" i="23" s="1"/>
  <c r="J207" i="23"/>
  <c r="K207" i="23" s="1"/>
  <c r="K208" i="23"/>
  <c r="J209" i="23"/>
  <c r="K209" i="23" s="1"/>
  <c r="J210" i="23"/>
  <c r="K210" i="23" s="1"/>
  <c r="J211" i="23"/>
  <c r="K211" i="23" s="1"/>
  <c r="K212" i="23"/>
  <c r="J213" i="23"/>
  <c r="K213" i="23" s="1"/>
  <c r="J214" i="23"/>
  <c r="K214" i="23" s="1"/>
  <c r="J215" i="23"/>
  <c r="K215" i="23" s="1"/>
  <c r="J216" i="23"/>
  <c r="K216" i="23" s="1"/>
  <c r="J217" i="23"/>
  <c r="K217" i="23" s="1"/>
  <c r="J218" i="23"/>
  <c r="K218" i="23" s="1"/>
  <c r="J219" i="23"/>
  <c r="K219" i="23" s="1"/>
  <c r="J220" i="23"/>
  <c r="K220" i="23" s="1"/>
  <c r="J221" i="23"/>
  <c r="K221" i="23" s="1"/>
  <c r="J222" i="23"/>
  <c r="K222" i="23" s="1"/>
  <c r="J223" i="23"/>
  <c r="K223" i="23" s="1"/>
  <c r="J224" i="23"/>
  <c r="K224" i="23" s="1"/>
  <c r="J225" i="23"/>
  <c r="K225" i="23" s="1"/>
  <c r="J226" i="23"/>
  <c r="K226" i="23" s="1"/>
  <c r="J227" i="23"/>
  <c r="K227" i="23" s="1"/>
  <c r="J228" i="23"/>
  <c r="K228" i="23" s="1"/>
  <c r="J229" i="23"/>
  <c r="K229" i="23" s="1"/>
  <c r="K230" i="23"/>
  <c r="J231" i="23"/>
  <c r="K231" i="23" s="1"/>
  <c r="J232" i="23"/>
  <c r="K232" i="23" s="1"/>
  <c r="K233" i="23"/>
  <c r="J234" i="23"/>
  <c r="K234" i="23" s="1"/>
  <c r="J235" i="23"/>
  <c r="K235" i="23" s="1"/>
  <c r="K236" i="23"/>
  <c r="K237" i="23"/>
  <c r="J238" i="23"/>
  <c r="K238" i="23" s="1"/>
  <c r="J239" i="23"/>
  <c r="K239" i="23" s="1"/>
  <c r="J240" i="23"/>
  <c r="K240" i="23" s="1"/>
  <c r="J241" i="23"/>
  <c r="K241" i="23" s="1"/>
  <c r="J242" i="23"/>
  <c r="K242" i="23" s="1"/>
  <c r="J243" i="23"/>
  <c r="K243" i="23" s="1"/>
  <c r="K244" i="23"/>
  <c r="J245" i="23"/>
  <c r="K245" i="23" s="1"/>
  <c r="J246" i="23"/>
  <c r="K246" i="23" s="1"/>
  <c r="J247" i="23"/>
  <c r="K247" i="23" s="1"/>
  <c r="K248" i="23"/>
  <c r="J249" i="23"/>
  <c r="K249" i="23" s="1"/>
  <c r="J250" i="23"/>
  <c r="K250" i="23" s="1"/>
  <c r="J251" i="23"/>
  <c r="K251" i="23" s="1"/>
  <c r="K252" i="23"/>
  <c r="J253" i="23"/>
  <c r="K253" i="23" s="1"/>
  <c r="J254" i="23"/>
  <c r="K254" i="23" s="1"/>
  <c r="J255" i="23"/>
  <c r="K255" i="23" s="1"/>
  <c r="J256" i="23"/>
  <c r="K256" i="23" s="1"/>
  <c r="J257" i="23"/>
  <c r="K257" i="23" s="1"/>
  <c r="J258" i="23"/>
  <c r="K258" i="23" s="1"/>
  <c r="J259" i="23"/>
  <c r="K259" i="23" s="1"/>
  <c r="J260" i="23"/>
  <c r="K260" i="23" s="1"/>
  <c r="J261" i="23"/>
  <c r="K261" i="23" s="1"/>
  <c r="J262" i="23"/>
  <c r="K262" i="23" s="1"/>
  <c r="J263" i="23"/>
  <c r="K263" i="23" s="1"/>
  <c r="J264" i="23"/>
  <c r="K264" i="23" s="1"/>
  <c r="J265" i="23"/>
  <c r="K265" i="23" s="1"/>
  <c r="K266" i="23"/>
  <c r="K267" i="23"/>
  <c r="J268" i="23"/>
  <c r="K268" i="23" s="1"/>
  <c r="J269" i="23"/>
  <c r="K269" i="23" s="1"/>
  <c r="J270" i="23"/>
  <c r="K270" i="23" s="1"/>
  <c r="J271" i="23"/>
  <c r="K271" i="23" s="1"/>
  <c r="J272" i="23"/>
  <c r="K272" i="23" s="1"/>
  <c r="J273" i="23"/>
  <c r="K273" i="23" s="1"/>
  <c r="J274" i="23"/>
  <c r="K274" i="23" s="1"/>
  <c r="J275" i="23"/>
  <c r="K275" i="23" s="1"/>
  <c r="J276" i="23"/>
  <c r="K276" i="23" s="1"/>
  <c r="J277" i="23"/>
  <c r="K277" i="23" s="1"/>
  <c r="J278" i="23"/>
  <c r="K278" i="23" s="1"/>
  <c r="J279" i="23"/>
  <c r="K279" i="23" s="1"/>
  <c r="J280" i="23"/>
  <c r="K280" i="23" s="1"/>
  <c r="J281" i="23"/>
  <c r="K281" i="23" s="1"/>
  <c r="K282" i="23"/>
  <c r="J283" i="23"/>
  <c r="K283" i="23" s="1"/>
  <c r="J284" i="23"/>
  <c r="K284" i="23" s="1"/>
  <c r="J285" i="23"/>
  <c r="K285" i="23" s="1"/>
  <c r="J286" i="23"/>
  <c r="K286" i="23" s="1"/>
  <c r="J287" i="23"/>
  <c r="K287" i="23" s="1"/>
  <c r="J288" i="23"/>
  <c r="K288" i="23" s="1"/>
  <c r="J289" i="23"/>
  <c r="K289" i="23" s="1"/>
  <c r="J290" i="23"/>
  <c r="K290" i="23" s="1"/>
  <c r="J291" i="23"/>
  <c r="K291" i="23" s="1"/>
  <c r="J292" i="23"/>
  <c r="K292" i="23" s="1"/>
  <c r="J293" i="23"/>
  <c r="K293" i="23" s="1"/>
  <c r="J294" i="23"/>
  <c r="K294" i="23" s="1"/>
  <c r="J295" i="23"/>
  <c r="K295" i="23" s="1"/>
  <c r="J296" i="23"/>
  <c r="K296" i="23" s="1"/>
  <c r="K297" i="23"/>
  <c r="J298" i="23"/>
  <c r="K298" i="23" s="1"/>
  <c r="J299" i="23"/>
  <c r="K299" i="23" s="1"/>
  <c r="J300" i="23"/>
  <c r="K300" i="23" s="1"/>
  <c r="J301" i="23"/>
  <c r="K301" i="23" s="1"/>
  <c r="J302" i="23"/>
  <c r="K302" i="23" s="1"/>
  <c r="J303" i="23"/>
  <c r="K303" i="23" s="1"/>
  <c r="K304" i="23"/>
  <c r="J305" i="23"/>
  <c r="K305" i="23" s="1"/>
  <c r="J306" i="23"/>
  <c r="K306" i="23" s="1"/>
  <c r="J307" i="23"/>
  <c r="K307" i="23" s="1"/>
  <c r="J308" i="23"/>
  <c r="K308" i="23" s="1"/>
  <c r="J309" i="23"/>
  <c r="K309" i="23" s="1"/>
  <c r="K310" i="23"/>
  <c r="J311" i="23"/>
  <c r="K311" i="23" s="1"/>
  <c r="J312" i="23"/>
  <c r="K312" i="23" s="1"/>
  <c r="J313" i="23"/>
  <c r="K313" i="23" s="1"/>
  <c r="J314" i="23"/>
  <c r="K314" i="23" s="1"/>
  <c r="J315" i="23"/>
  <c r="K315" i="23" s="1"/>
  <c r="J316" i="23"/>
  <c r="K316" i="23" s="1"/>
  <c r="J317" i="23"/>
  <c r="K317" i="23" s="1"/>
  <c r="J318" i="23"/>
  <c r="K318" i="23" s="1"/>
  <c r="J319" i="23"/>
  <c r="K319" i="23" s="1"/>
  <c r="J320" i="23"/>
  <c r="K320" i="23" s="1"/>
  <c r="J321" i="23"/>
  <c r="K321" i="23" s="1"/>
  <c r="J322" i="23"/>
  <c r="K322" i="23" s="1"/>
  <c r="K323" i="23"/>
  <c r="J324" i="23"/>
  <c r="K324" i="23" s="1"/>
  <c r="K325" i="23"/>
  <c r="J326" i="23"/>
  <c r="K326" i="23" s="1"/>
  <c r="J327" i="23"/>
  <c r="K327" i="23" s="1"/>
  <c r="J328" i="23"/>
  <c r="K328" i="23" s="1"/>
  <c r="J329" i="23"/>
  <c r="K329" i="23" s="1"/>
  <c r="J330" i="23"/>
  <c r="K330" i="23" s="1"/>
  <c r="J331" i="23"/>
  <c r="K331" i="23" s="1"/>
  <c r="J332" i="23"/>
  <c r="K332" i="23" s="1"/>
  <c r="J333" i="23"/>
  <c r="K333" i="23" s="1"/>
  <c r="J334" i="23"/>
  <c r="K334" i="23" s="1"/>
  <c r="K335" i="23"/>
  <c r="K336" i="23"/>
  <c r="J337" i="23"/>
  <c r="K337" i="23" s="1"/>
  <c r="J338" i="23"/>
  <c r="K338" i="23" s="1"/>
  <c r="J339" i="23"/>
  <c r="K339" i="23" s="1"/>
  <c r="J340" i="23"/>
  <c r="K340" i="23" s="1"/>
  <c r="K341" i="23"/>
  <c r="J342" i="23"/>
  <c r="K342" i="23" s="1"/>
  <c r="J343" i="23"/>
  <c r="K343" i="23" s="1"/>
  <c r="J344" i="23"/>
  <c r="K344" i="23" s="1"/>
  <c r="J345" i="23"/>
  <c r="K345" i="23" s="1"/>
  <c r="J346" i="23"/>
  <c r="K346" i="23" s="1"/>
  <c r="K347" i="23"/>
  <c r="J348" i="23"/>
  <c r="K348" i="23" s="1"/>
  <c r="K349" i="23"/>
  <c r="J350" i="23"/>
  <c r="K350" i="23" s="1"/>
  <c r="J351" i="23"/>
  <c r="K351" i="23" s="1"/>
  <c r="J352" i="23"/>
  <c r="K352" i="23" s="1"/>
  <c r="J353" i="23"/>
  <c r="K353" i="23" s="1"/>
  <c r="J354" i="23"/>
  <c r="K354" i="23" s="1"/>
  <c r="J355" i="23"/>
  <c r="K355" i="23" s="1"/>
  <c r="J356" i="23"/>
  <c r="K356" i="23" s="1"/>
  <c r="J357" i="23"/>
  <c r="K357" i="23" s="1"/>
  <c r="J358" i="23"/>
  <c r="K358" i="23" s="1"/>
  <c r="J359" i="23"/>
  <c r="K359" i="23" s="1"/>
  <c r="J360" i="23"/>
  <c r="K360" i="23" s="1"/>
  <c r="K361" i="23"/>
  <c r="J362" i="23"/>
  <c r="K362" i="23" s="1"/>
  <c r="J363" i="23"/>
  <c r="K363" i="23" s="1"/>
  <c r="J364" i="23"/>
  <c r="K364" i="23" s="1"/>
  <c r="J365" i="23"/>
  <c r="K365" i="23" s="1"/>
  <c r="J366" i="23"/>
  <c r="K366" i="23" s="1"/>
  <c r="J367" i="23"/>
  <c r="K367" i="23" s="1"/>
  <c r="J368" i="23"/>
  <c r="K368" i="23" s="1"/>
  <c r="J369" i="23"/>
  <c r="K369" i="23" s="1"/>
  <c r="J370" i="23"/>
  <c r="K370" i="23" s="1"/>
  <c r="J371" i="23"/>
  <c r="K371" i="23" s="1"/>
  <c r="J372" i="23"/>
  <c r="K372" i="23" s="1"/>
  <c r="J373" i="23"/>
  <c r="K373" i="23" s="1"/>
  <c r="J374" i="23"/>
  <c r="K374" i="23" s="1"/>
  <c r="J375" i="23"/>
  <c r="K375" i="23" s="1"/>
  <c r="J376" i="23"/>
  <c r="K376" i="23" s="1"/>
  <c r="J377" i="23"/>
  <c r="K377" i="23" s="1"/>
  <c r="J378" i="23"/>
  <c r="K378" i="23" s="1"/>
  <c r="K379" i="23"/>
  <c r="J380" i="23"/>
  <c r="K380" i="23" s="1"/>
  <c r="J381" i="23"/>
  <c r="K381" i="23" s="1"/>
  <c r="K382" i="23"/>
  <c r="J383" i="23"/>
  <c r="K383" i="23" s="1"/>
  <c r="J384" i="23"/>
  <c r="K384" i="23" s="1"/>
  <c r="J385" i="23"/>
  <c r="K385" i="23" s="1"/>
  <c r="J386" i="23"/>
  <c r="K386" i="23" s="1"/>
  <c r="J387" i="23"/>
  <c r="K387" i="23" s="1"/>
  <c r="J388" i="23"/>
  <c r="K388" i="23" s="1"/>
  <c r="J389" i="23"/>
  <c r="K389" i="23" s="1"/>
  <c r="K390" i="23"/>
  <c r="J391" i="23"/>
  <c r="K391" i="23" s="1"/>
  <c r="J392" i="23"/>
  <c r="K392" i="23" s="1"/>
  <c r="J393" i="23"/>
  <c r="K393" i="23" s="1"/>
  <c r="J394" i="23"/>
  <c r="K394" i="23" s="1"/>
  <c r="J395" i="23"/>
  <c r="K395" i="23" s="1"/>
  <c r="J396" i="23"/>
  <c r="K396" i="23" s="1"/>
  <c r="J397" i="23"/>
  <c r="K397" i="23" s="1"/>
  <c r="J398" i="23"/>
  <c r="K398" i="23" s="1"/>
  <c r="J399" i="23"/>
  <c r="K399" i="23" s="1"/>
  <c r="J400" i="23"/>
  <c r="K400" i="23" s="1"/>
  <c r="J401" i="23"/>
  <c r="K401" i="23" s="1"/>
  <c r="J402" i="23"/>
  <c r="K402" i="23" s="1"/>
  <c r="J403" i="23"/>
  <c r="K403" i="23" s="1"/>
  <c r="J404" i="23"/>
  <c r="K404" i="23" s="1"/>
  <c r="J405" i="23"/>
  <c r="K405" i="23" s="1"/>
  <c r="J406" i="23"/>
  <c r="K406" i="23" s="1"/>
  <c r="J407" i="23"/>
  <c r="K407" i="23" s="1"/>
  <c r="J408" i="23"/>
  <c r="K408" i="23" s="1"/>
  <c r="J409" i="23"/>
  <c r="K409" i="23" s="1"/>
  <c r="J410" i="23"/>
  <c r="K410" i="23" s="1"/>
  <c r="J411" i="23"/>
  <c r="K411" i="23" s="1"/>
  <c r="J412" i="23"/>
  <c r="K412" i="23" s="1"/>
  <c r="J413" i="23"/>
  <c r="K413" i="23" s="1"/>
  <c r="J414" i="23"/>
  <c r="K414" i="23" s="1"/>
  <c r="J415" i="23"/>
  <c r="K415" i="23" s="1"/>
  <c r="J416" i="23"/>
  <c r="K416" i="23" s="1"/>
  <c r="J417" i="23"/>
  <c r="K417" i="23" s="1"/>
  <c r="J418" i="23"/>
  <c r="K418" i="23" s="1"/>
  <c r="J419" i="23"/>
  <c r="K419" i="23" s="1"/>
  <c r="J420" i="23"/>
  <c r="K420" i="23" s="1"/>
  <c r="J421" i="23"/>
  <c r="K421" i="23" s="1"/>
  <c r="J422" i="23"/>
  <c r="K422" i="23" s="1"/>
  <c r="J423" i="23"/>
  <c r="K423" i="23" s="1"/>
  <c r="J424" i="23"/>
  <c r="K424" i="23" s="1"/>
  <c r="J425" i="23"/>
  <c r="K425" i="23" s="1"/>
  <c r="J426" i="23"/>
  <c r="K426" i="23" s="1"/>
  <c r="J427" i="23"/>
  <c r="K427" i="23" s="1"/>
  <c r="J428" i="23"/>
  <c r="K428" i="23" s="1"/>
  <c r="J429" i="23"/>
  <c r="K429" i="23" s="1"/>
  <c r="J430" i="23"/>
  <c r="K430" i="23" s="1"/>
  <c r="J431" i="23"/>
  <c r="K431" i="23" s="1"/>
  <c r="J432" i="23"/>
  <c r="K432" i="23" s="1"/>
  <c r="J433" i="23"/>
  <c r="K433" i="23" s="1"/>
  <c r="J434" i="23"/>
  <c r="K434" i="23" s="1"/>
  <c r="J435" i="23"/>
  <c r="K435" i="23" s="1"/>
  <c r="J436" i="23"/>
  <c r="K436" i="23" s="1"/>
  <c r="J437" i="23"/>
  <c r="K437" i="23" s="1"/>
  <c r="J438" i="23"/>
  <c r="K438" i="23" s="1"/>
  <c r="J439" i="23"/>
  <c r="K439" i="23" s="1"/>
  <c r="J440" i="23"/>
  <c r="K440" i="23" s="1"/>
  <c r="J441" i="23"/>
  <c r="K441" i="23" s="1"/>
  <c r="J442" i="23"/>
  <c r="K442" i="23" s="1"/>
  <c r="J443" i="23"/>
  <c r="K443" i="23" s="1"/>
  <c r="J444" i="23"/>
  <c r="K444" i="23" s="1"/>
  <c r="J445" i="23"/>
  <c r="K445" i="23" s="1"/>
  <c r="J446" i="23"/>
  <c r="K446" i="23" s="1"/>
  <c r="J447" i="23"/>
  <c r="K447" i="23" s="1"/>
  <c r="K448" i="23"/>
  <c r="J449" i="23"/>
  <c r="K449" i="23" s="1"/>
  <c r="K450" i="23"/>
  <c r="J451" i="23"/>
  <c r="K451" i="23" s="1"/>
  <c r="J452" i="23"/>
  <c r="K452" i="23" s="1"/>
  <c r="J453" i="23"/>
  <c r="K453" i="23" s="1"/>
  <c r="J454" i="23"/>
  <c r="K454" i="23" s="1"/>
  <c r="J455" i="23"/>
  <c r="K455" i="23" s="1"/>
  <c r="J456" i="23"/>
  <c r="K456" i="23" s="1"/>
  <c r="J457" i="23"/>
  <c r="K457" i="23" s="1"/>
  <c r="J458" i="23"/>
  <c r="K458" i="23" s="1"/>
  <c r="J459" i="23"/>
  <c r="K459" i="23" s="1"/>
  <c r="K460" i="23"/>
  <c r="K461" i="23"/>
  <c r="J462" i="23"/>
  <c r="K462" i="23" s="1"/>
  <c r="J463" i="23"/>
  <c r="K463" i="23" s="1"/>
  <c r="J464" i="23"/>
  <c r="K464" i="23" s="1"/>
  <c r="J465" i="23"/>
  <c r="K465" i="23" s="1"/>
  <c r="J466" i="23"/>
  <c r="K466" i="23" s="1"/>
  <c r="J467" i="23"/>
  <c r="K467" i="23" s="1"/>
  <c r="K468" i="23"/>
  <c r="J469" i="23"/>
  <c r="K469" i="23" s="1"/>
  <c r="J470" i="23"/>
  <c r="K470" i="23" s="1"/>
  <c r="J471" i="23"/>
  <c r="K471" i="23" s="1"/>
  <c r="J472" i="23"/>
  <c r="K472" i="23" s="1"/>
  <c r="J473" i="23"/>
  <c r="K473" i="23" s="1"/>
  <c r="J474" i="23"/>
  <c r="K474" i="23" s="1"/>
  <c r="K475" i="23"/>
  <c r="J476" i="23"/>
  <c r="K476" i="23" s="1"/>
  <c r="J477" i="23"/>
  <c r="K477" i="23" s="1"/>
  <c r="J478" i="23"/>
  <c r="K478" i="23" s="1"/>
  <c r="J479" i="23"/>
  <c r="K479" i="23" s="1"/>
  <c r="J480" i="23"/>
  <c r="K480" i="23" s="1"/>
  <c r="J481" i="23"/>
  <c r="K481" i="23" s="1"/>
  <c r="J482" i="23"/>
  <c r="K482" i="23" s="1"/>
  <c r="K483" i="23"/>
  <c r="J484" i="23"/>
  <c r="K484" i="23" s="1"/>
  <c r="K485" i="23"/>
  <c r="J486" i="23"/>
  <c r="K486" i="23" s="1"/>
  <c r="J487" i="23"/>
  <c r="K487" i="23" s="1"/>
  <c r="J488" i="23"/>
  <c r="K488" i="23" s="1"/>
  <c r="K489" i="23"/>
  <c r="J490" i="23"/>
  <c r="K490" i="23" s="1"/>
  <c r="J491" i="23"/>
  <c r="K491" i="23" s="1"/>
  <c r="J492" i="23"/>
  <c r="K492" i="23" s="1"/>
  <c r="K493" i="23"/>
  <c r="J494" i="23"/>
  <c r="K494" i="23" s="1"/>
  <c r="J495" i="23"/>
  <c r="K495" i="23" s="1"/>
  <c r="J496" i="23"/>
  <c r="K496" i="23" s="1"/>
  <c r="J497" i="23"/>
  <c r="K497" i="23" s="1"/>
  <c r="J498" i="23"/>
  <c r="K498" i="23" s="1"/>
  <c r="J499" i="23"/>
  <c r="K499" i="23" s="1"/>
  <c r="J500" i="23"/>
  <c r="K500" i="23" s="1"/>
  <c r="J501" i="23"/>
  <c r="K501" i="23" s="1"/>
  <c r="K502" i="23"/>
  <c r="J503" i="23"/>
  <c r="K503" i="23" s="1"/>
  <c r="J504" i="23"/>
  <c r="K504" i="23" s="1"/>
  <c r="J505" i="23"/>
  <c r="K505" i="23" s="1"/>
  <c r="J506" i="23"/>
  <c r="K506" i="23" s="1"/>
  <c r="J507" i="23"/>
  <c r="K507" i="23" s="1"/>
  <c r="J508" i="23"/>
  <c r="K508" i="23" s="1"/>
  <c r="J509" i="23"/>
  <c r="K509" i="23" s="1"/>
  <c r="J510" i="23"/>
  <c r="K510" i="23" s="1"/>
  <c r="J511" i="23"/>
  <c r="K511" i="23" s="1"/>
  <c r="K512" i="23"/>
  <c r="J513" i="23"/>
  <c r="K513" i="23" s="1"/>
  <c r="J514" i="23"/>
  <c r="K514" i="23" s="1"/>
  <c r="J515" i="23"/>
  <c r="K515" i="23" s="1"/>
  <c r="J516" i="23"/>
  <c r="K516" i="23" s="1"/>
  <c r="J517" i="23"/>
  <c r="K517" i="23" s="1"/>
  <c r="J518" i="23"/>
  <c r="K518" i="23" s="1"/>
  <c r="K519" i="23"/>
  <c r="J520" i="23"/>
  <c r="K520" i="23" s="1"/>
  <c r="J521" i="23"/>
  <c r="K521" i="23" s="1"/>
  <c r="J522" i="23"/>
  <c r="K522" i="23" s="1"/>
  <c r="J523" i="23"/>
  <c r="K523" i="23" s="1"/>
  <c r="J524" i="23"/>
  <c r="K524" i="23" s="1"/>
  <c r="J525" i="23"/>
  <c r="K525" i="23" s="1"/>
  <c r="J526" i="23"/>
  <c r="K526" i="23" s="1"/>
  <c r="J527" i="23"/>
  <c r="K527" i="23" s="1"/>
  <c r="K528" i="23"/>
  <c r="J529" i="23"/>
  <c r="K529" i="23" s="1"/>
  <c r="K530" i="23"/>
  <c r="J531" i="23"/>
  <c r="K531" i="23" s="1"/>
  <c r="K532" i="23"/>
  <c r="K533" i="23"/>
  <c r="J534" i="23"/>
  <c r="K534" i="23" s="1"/>
  <c r="K535" i="23"/>
  <c r="K536" i="23"/>
  <c r="K537" i="23"/>
  <c r="J538" i="23"/>
  <c r="K538" i="23" s="1"/>
  <c r="J539" i="23"/>
  <c r="K539" i="23" s="1"/>
  <c r="J540" i="23"/>
  <c r="K540" i="23" s="1"/>
  <c r="J541" i="23"/>
  <c r="K541" i="23" s="1"/>
  <c r="J542" i="23"/>
  <c r="K542" i="23" s="1"/>
  <c r="J543" i="23"/>
  <c r="K543" i="23" s="1"/>
  <c r="J544" i="23"/>
  <c r="K544" i="23" s="1"/>
  <c r="K545" i="23"/>
  <c r="J546" i="23"/>
  <c r="K546" i="23" s="1"/>
  <c r="J547" i="23"/>
  <c r="K547" i="23" s="1"/>
  <c r="J548" i="23"/>
  <c r="K548" i="23" s="1"/>
  <c r="J549" i="23"/>
  <c r="K549" i="23" s="1"/>
  <c r="K550" i="23"/>
  <c r="K551" i="23"/>
  <c r="K552" i="23"/>
  <c r="K553" i="23"/>
  <c r="K554" i="23"/>
  <c r="K555" i="23"/>
  <c r="K556" i="23"/>
  <c r="J557" i="23"/>
  <c r="K557" i="23" s="1"/>
  <c r="J558" i="23"/>
  <c r="K558" i="23" s="1"/>
  <c r="J559" i="23"/>
  <c r="K559" i="23" s="1"/>
  <c r="J560" i="23"/>
  <c r="K560" i="23" s="1"/>
  <c r="J561" i="23"/>
  <c r="K561" i="23" s="1"/>
  <c r="K562" i="23"/>
  <c r="J563" i="23"/>
  <c r="K563" i="23" s="1"/>
  <c r="K564" i="23"/>
  <c r="J565" i="23"/>
  <c r="K565" i="23" s="1"/>
  <c r="J566" i="23"/>
  <c r="K566" i="23" s="1"/>
  <c r="K567" i="23"/>
  <c r="J568" i="23"/>
  <c r="K568" i="23" s="1"/>
  <c r="J569" i="23"/>
  <c r="K569" i="23" s="1"/>
  <c r="J570" i="23"/>
  <c r="K570" i="23" s="1"/>
  <c r="J571" i="23"/>
  <c r="K571" i="23" s="1"/>
  <c r="J572" i="23"/>
  <c r="K572" i="23" s="1"/>
  <c r="J573" i="23"/>
  <c r="K573" i="23" s="1"/>
  <c r="J574" i="23"/>
  <c r="K574" i="23" s="1"/>
  <c r="J575" i="23"/>
  <c r="K575" i="23" s="1"/>
  <c r="J576" i="23"/>
  <c r="K576" i="23" s="1"/>
  <c r="J577" i="23"/>
  <c r="K577" i="23" s="1"/>
  <c r="J578" i="23"/>
  <c r="K578" i="23" s="1"/>
  <c r="K579" i="23"/>
  <c r="K580" i="23"/>
  <c r="J581" i="23"/>
  <c r="K581" i="23" s="1"/>
  <c r="J582" i="23"/>
  <c r="K582" i="23" s="1"/>
  <c r="J583" i="23"/>
  <c r="K583" i="23" s="1"/>
  <c r="J584" i="23"/>
  <c r="K584" i="23" s="1"/>
  <c r="J585" i="23"/>
  <c r="K585" i="23" s="1"/>
  <c r="J586" i="23"/>
  <c r="K586" i="23" s="1"/>
  <c r="J587" i="23"/>
  <c r="K587" i="23" s="1"/>
  <c r="J588" i="23"/>
  <c r="K588" i="23" s="1"/>
  <c r="J589" i="23"/>
  <c r="K589" i="23" s="1"/>
  <c r="J590" i="23"/>
  <c r="K590" i="23" s="1"/>
  <c r="K591" i="23"/>
  <c r="J592" i="23"/>
  <c r="K592" i="23" s="1"/>
  <c r="J593" i="23"/>
  <c r="K593" i="23" s="1"/>
  <c r="K594" i="23"/>
  <c r="J595" i="23"/>
  <c r="K595" i="23" s="1"/>
  <c r="J596" i="23"/>
  <c r="K596" i="23" s="1"/>
  <c r="J597" i="23"/>
  <c r="K597" i="23" s="1"/>
  <c r="J598" i="23"/>
  <c r="K598" i="23" s="1"/>
  <c r="K599" i="23"/>
  <c r="J600" i="23"/>
  <c r="K600" i="23" s="1"/>
  <c r="J601" i="23"/>
  <c r="K601" i="23" s="1"/>
  <c r="J602" i="23"/>
  <c r="K602" i="23" s="1"/>
  <c r="J603" i="23"/>
  <c r="K603" i="23" s="1"/>
  <c r="J604" i="23"/>
  <c r="K604" i="23" s="1"/>
  <c r="K605" i="23"/>
  <c r="J606" i="23"/>
  <c r="K606" i="23" s="1"/>
  <c r="K607" i="23"/>
  <c r="J608" i="23"/>
  <c r="K608" i="23" s="1"/>
  <c r="J609" i="23"/>
  <c r="K609" i="23" s="1"/>
  <c r="J610" i="23"/>
  <c r="K610" i="23" s="1"/>
  <c r="K611" i="23"/>
  <c r="J612" i="23"/>
  <c r="K612" i="23" s="1"/>
  <c r="J613" i="23"/>
  <c r="K613" i="23" s="1"/>
  <c r="J614" i="23"/>
  <c r="K614" i="23" s="1"/>
  <c r="J615" i="23"/>
  <c r="K615" i="23" s="1"/>
  <c r="J616" i="23"/>
  <c r="K616" i="23" s="1"/>
  <c r="J617" i="23"/>
  <c r="K617" i="23" s="1"/>
  <c r="J618" i="23"/>
  <c r="K618" i="23" s="1"/>
  <c r="J619" i="23"/>
  <c r="K619" i="23" s="1"/>
  <c r="J620" i="23"/>
  <c r="K620" i="23" s="1"/>
  <c r="J621" i="23"/>
  <c r="K621" i="23" s="1"/>
  <c r="J622" i="23"/>
  <c r="K622" i="23" s="1"/>
  <c r="J623" i="23"/>
  <c r="K623" i="23" s="1"/>
  <c r="J624" i="23"/>
  <c r="K624" i="23" s="1"/>
  <c r="K625" i="23"/>
  <c r="J626" i="23"/>
  <c r="K626" i="23" s="1"/>
  <c r="J627" i="23"/>
  <c r="K627" i="23" s="1"/>
  <c r="J628" i="23"/>
  <c r="K628" i="23" s="1"/>
  <c r="J629" i="23"/>
  <c r="K629" i="23" s="1"/>
  <c r="K630" i="23"/>
  <c r="J631" i="23"/>
  <c r="K631" i="23" s="1"/>
  <c r="J632" i="23"/>
  <c r="K632" i="23" s="1"/>
  <c r="J633" i="23"/>
  <c r="K633" i="23" s="1"/>
  <c r="J634" i="23"/>
  <c r="K634" i="23" s="1"/>
  <c r="K635" i="23"/>
  <c r="J636" i="23"/>
  <c r="K636" i="23" s="1"/>
  <c r="K637" i="23"/>
  <c r="K638" i="23"/>
  <c r="J639" i="23"/>
  <c r="K639" i="23" s="1"/>
  <c r="J640" i="23"/>
  <c r="K640" i="23" s="1"/>
  <c r="J641" i="23"/>
  <c r="K641" i="23" s="1"/>
  <c r="J642" i="23"/>
  <c r="K642" i="23" s="1"/>
  <c r="K643" i="23"/>
  <c r="K644" i="23"/>
  <c r="K645" i="23"/>
  <c r="J646" i="23"/>
  <c r="K646" i="23" s="1"/>
  <c r="J647" i="23"/>
  <c r="K647" i="23" s="1"/>
  <c r="J648" i="23"/>
  <c r="K648" i="23" s="1"/>
  <c r="K649" i="23"/>
  <c r="J650" i="23"/>
  <c r="K650" i="23" s="1"/>
  <c r="K651" i="23"/>
  <c r="K652" i="23"/>
  <c r="K653" i="23"/>
  <c r="J654" i="23"/>
  <c r="K654" i="23" s="1"/>
  <c r="J655" i="23"/>
  <c r="K655" i="23" s="1"/>
  <c r="K656" i="23"/>
  <c r="J657" i="23"/>
  <c r="K657" i="23" s="1"/>
  <c r="J658" i="23"/>
  <c r="K658" i="23" s="1"/>
  <c r="J659" i="23"/>
  <c r="K659" i="23" s="1"/>
  <c r="J660" i="23"/>
  <c r="K660" i="23" s="1"/>
  <c r="J661" i="23"/>
  <c r="K661" i="23" s="1"/>
  <c r="J662" i="23"/>
  <c r="K662" i="23" s="1"/>
  <c r="K663" i="23"/>
  <c r="K664" i="23"/>
  <c r="K665" i="23"/>
  <c r="J666" i="23"/>
  <c r="K666" i="23" s="1"/>
  <c r="J667" i="23"/>
  <c r="K667" i="23" s="1"/>
  <c r="J668" i="23"/>
  <c r="K668" i="23" s="1"/>
  <c r="K669" i="23"/>
  <c r="J670" i="23"/>
  <c r="K670" i="23" s="1"/>
  <c r="J671" i="23"/>
  <c r="K671" i="23" s="1"/>
  <c r="J672" i="23"/>
  <c r="K672" i="23" s="1"/>
  <c r="K673" i="23"/>
  <c r="J674" i="23"/>
  <c r="K674" i="23" s="1"/>
  <c r="J675" i="23"/>
  <c r="K675" i="23" s="1"/>
  <c r="K676" i="23"/>
  <c r="J677" i="23"/>
  <c r="K677" i="23" s="1"/>
  <c r="J678" i="23"/>
  <c r="K678" i="23" s="1"/>
  <c r="K679" i="23"/>
  <c r="J680" i="23"/>
  <c r="K680" i="23" s="1"/>
  <c r="J681" i="23"/>
  <c r="K681" i="23" s="1"/>
  <c r="J682" i="23"/>
  <c r="K682" i="23" s="1"/>
  <c r="J683" i="23"/>
  <c r="K683" i="23" s="1"/>
  <c r="K684" i="23"/>
  <c r="J685" i="23"/>
  <c r="K685" i="23" s="1"/>
  <c r="J686" i="23"/>
  <c r="K686" i="23" s="1"/>
  <c r="J687" i="23"/>
  <c r="K687" i="23" s="1"/>
  <c r="J688" i="23"/>
  <c r="K688" i="23" s="1"/>
  <c r="K689" i="23"/>
  <c r="K690" i="23"/>
  <c r="J691" i="23"/>
  <c r="K691" i="23" s="1"/>
  <c r="J692" i="23"/>
  <c r="K692" i="23" s="1"/>
  <c r="J693" i="23"/>
  <c r="K693" i="23" s="1"/>
  <c r="J694" i="23"/>
  <c r="K694" i="23" s="1"/>
  <c r="K695" i="23"/>
  <c r="J696" i="23"/>
  <c r="K696" i="23" s="1"/>
  <c r="J697" i="23"/>
  <c r="K697" i="23" s="1"/>
  <c r="J698" i="23"/>
  <c r="K698" i="23" s="1"/>
  <c r="J699" i="23"/>
  <c r="K699" i="23" s="1"/>
  <c r="J700" i="23"/>
  <c r="K700" i="23" s="1"/>
  <c r="J701" i="23"/>
  <c r="K701" i="23" s="1"/>
  <c r="J702" i="23"/>
  <c r="K702" i="23" s="1"/>
  <c r="K703" i="23"/>
  <c r="J704" i="23"/>
  <c r="K704" i="23" s="1"/>
  <c r="J705" i="23"/>
  <c r="K705" i="23" s="1"/>
  <c r="J706" i="23"/>
  <c r="K706" i="23" s="1"/>
  <c r="J707" i="23"/>
  <c r="K707" i="23" s="1"/>
  <c r="J708" i="23"/>
  <c r="K708" i="23" s="1"/>
  <c r="K709" i="23"/>
  <c r="J710" i="23"/>
  <c r="K710" i="23" s="1"/>
  <c r="J711" i="23"/>
  <c r="K711" i="23" s="1"/>
  <c r="K712" i="23"/>
  <c r="K713" i="23"/>
  <c r="J714" i="23"/>
  <c r="K714" i="23" s="1"/>
  <c r="J715" i="23"/>
  <c r="K715" i="23" s="1"/>
  <c r="J716" i="23"/>
  <c r="K716" i="23" s="1"/>
  <c r="K717" i="23"/>
  <c r="J718" i="23"/>
  <c r="K718" i="23" s="1"/>
  <c r="J719" i="23"/>
  <c r="K719" i="23" s="1"/>
  <c r="J720" i="23"/>
  <c r="K720" i="23" s="1"/>
  <c r="J721" i="23"/>
  <c r="K721" i="23" s="1"/>
  <c r="J722" i="23"/>
  <c r="K722" i="23" s="1"/>
  <c r="K723" i="23"/>
  <c r="J724" i="23"/>
  <c r="K724" i="23" s="1"/>
  <c r="J725" i="23"/>
  <c r="K725" i="23" s="1"/>
  <c r="J726" i="23"/>
  <c r="K726" i="23" s="1"/>
  <c r="J727" i="23"/>
  <c r="K727" i="23" s="1"/>
  <c r="J728" i="23"/>
  <c r="K728" i="23" s="1"/>
  <c r="J729" i="23"/>
  <c r="K729" i="23" s="1"/>
  <c r="J730" i="23"/>
  <c r="K730" i="23" s="1"/>
  <c r="J731" i="23"/>
  <c r="K731" i="23" s="1"/>
  <c r="J732" i="23"/>
  <c r="K732" i="23" s="1"/>
  <c r="J733" i="23"/>
  <c r="K733" i="23" s="1"/>
  <c r="J734" i="23"/>
  <c r="K734" i="23" s="1"/>
  <c r="J735" i="23"/>
  <c r="K735" i="23" s="1"/>
  <c r="K736" i="23"/>
  <c r="J737" i="23"/>
  <c r="K737" i="23" s="1"/>
  <c r="J738" i="23"/>
  <c r="K738" i="23" s="1"/>
  <c r="J739" i="23"/>
  <c r="K739" i="23" s="1"/>
  <c r="J740" i="23"/>
  <c r="K740" i="23" s="1"/>
  <c r="J741" i="23"/>
  <c r="K741" i="23" s="1"/>
  <c r="J742" i="23"/>
  <c r="K742" i="23" s="1"/>
  <c r="J743" i="23"/>
  <c r="K743" i="23" s="1"/>
  <c r="J744" i="23"/>
  <c r="K744" i="23" s="1"/>
  <c r="K745" i="23"/>
  <c r="J746" i="23"/>
  <c r="K746" i="23" s="1"/>
  <c r="J747" i="23"/>
  <c r="K747" i="23" s="1"/>
  <c r="J748" i="23"/>
  <c r="K748" i="23" s="1"/>
  <c r="J749" i="23"/>
  <c r="K749" i="23" s="1"/>
  <c r="J750" i="23"/>
  <c r="K750" i="23" s="1"/>
  <c r="J751" i="23"/>
  <c r="K751" i="23" s="1"/>
  <c r="J752" i="23"/>
  <c r="K752" i="23" s="1"/>
  <c r="J753" i="23"/>
  <c r="K753" i="23" s="1"/>
  <c r="J754" i="23"/>
  <c r="K754" i="23" s="1"/>
  <c r="J755" i="23"/>
  <c r="K755" i="23" s="1"/>
  <c r="J756" i="23"/>
  <c r="K756" i="23" s="1"/>
  <c r="J757" i="23"/>
  <c r="K757" i="23" s="1"/>
  <c r="J758" i="23"/>
  <c r="K758" i="23" s="1"/>
  <c r="J759" i="23"/>
  <c r="K759" i="23" s="1"/>
  <c r="J760" i="23"/>
  <c r="K760" i="23" s="1"/>
  <c r="K761" i="23"/>
  <c r="K762" i="23"/>
  <c r="J763" i="23"/>
  <c r="K763" i="23" s="1"/>
  <c r="K764" i="23"/>
  <c r="J765" i="23"/>
  <c r="K765" i="23" s="1"/>
  <c r="J766" i="23"/>
  <c r="K766" i="23" s="1"/>
  <c r="J767" i="23"/>
  <c r="K767" i="23" s="1"/>
  <c r="J768" i="23"/>
  <c r="K768" i="23" s="1"/>
  <c r="J769" i="23"/>
  <c r="K769" i="23" s="1"/>
  <c r="J770" i="23"/>
  <c r="K770" i="23" s="1"/>
  <c r="J771" i="23"/>
  <c r="K771" i="23" s="1"/>
  <c r="J772" i="23"/>
  <c r="K772" i="23" s="1"/>
  <c r="J773" i="23"/>
  <c r="K773" i="23" s="1"/>
  <c r="K774" i="23"/>
  <c r="K775" i="23"/>
  <c r="J776" i="23"/>
  <c r="K776" i="23" s="1"/>
  <c r="J777" i="23"/>
  <c r="K777" i="23" s="1"/>
  <c r="K778" i="23"/>
  <c r="J779" i="23"/>
  <c r="K779" i="23" s="1"/>
  <c r="K780" i="23"/>
  <c r="J781" i="23"/>
  <c r="K781" i="23" s="1"/>
  <c r="J782" i="23"/>
  <c r="K782" i="23" s="1"/>
  <c r="K783" i="23"/>
  <c r="J784" i="23"/>
  <c r="K784" i="23" s="1"/>
  <c r="J785" i="23"/>
  <c r="K785" i="23" s="1"/>
  <c r="J786" i="23"/>
  <c r="K786" i="23" s="1"/>
  <c r="J787" i="23"/>
  <c r="K787" i="23" s="1"/>
  <c r="J788" i="23"/>
  <c r="K788" i="23" s="1"/>
  <c r="K789" i="23"/>
  <c r="K790" i="23"/>
  <c r="J791" i="23"/>
  <c r="K791" i="23" s="1"/>
  <c r="J792" i="23"/>
  <c r="K792" i="23" s="1"/>
  <c r="J793" i="23"/>
  <c r="K793" i="23" s="1"/>
  <c r="J794" i="23"/>
  <c r="K794" i="23" s="1"/>
  <c r="J795" i="23"/>
  <c r="K795" i="23" s="1"/>
  <c r="J796" i="23"/>
  <c r="K796" i="23" s="1"/>
  <c r="J797" i="23"/>
  <c r="K797" i="23" s="1"/>
  <c r="J798" i="23"/>
  <c r="K798" i="23" s="1"/>
  <c r="J799" i="23"/>
  <c r="K799" i="23" s="1"/>
  <c r="J800" i="23"/>
  <c r="K800" i="23" s="1"/>
  <c r="J801" i="23"/>
  <c r="K801" i="23" s="1"/>
  <c r="K802" i="23"/>
  <c r="K803" i="23"/>
  <c r="J804" i="23"/>
  <c r="K804" i="23" s="1"/>
  <c r="J805" i="23"/>
  <c r="K805" i="23" s="1"/>
  <c r="K806" i="23"/>
  <c r="K807" i="23"/>
  <c r="K808" i="23"/>
  <c r="J809" i="23"/>
  <c r="K809" i="23" s="1"/>
  <c r="J810" i="23"/>
  <c r="K810" i="23" s="1"/>
  <c r="J811" i="23"/>
  <c r="K811" i="23" s="1"/>
  <c r="J812" i="23"/>
  <c r="K812" i="23" s="1"/>
  <c r="K813" i="23"/>
  <c r="J814" i="23"/>
  <c r="K814" i="23" s="1"/>
  <c r="K815" i="23"/>
  <c r="J816" i="23"/>
  <c r="K816" i="23" s="1"/>
  <c r="J817" i="23"/>
  <c r="K817" i="23" s="1"/>
  <c r="J818" i="23"/>
  <c r="K818" i="23" s="1"/>
  <c r="K819" i="23"/>
  <c r="J820" i="23"/>
  <c r="K820" i="23" s="1"/>
  <c r="J821" i="23"/>
  <c r="K821" i="23" s="1"/>
  <c r="J822" i="23"/>
  <c r="K822" i="23" s="1"/>
  <c r="J823" i="23"/>
  <c r="K823" i="23" s="1"/>
  <c r="J824" i="23"/>
  <c r="K824" i="23" s="1"/>
  <c r="J825" i="23"/>
  <c r="K825" i="23" s="1"/>
  <c r="J826" i="23"/>
  <c r="K826" i="23" s="1"/>
  <c r="J827" i="23"/>
  <c r="K827" i="23" s="1"/>
  <c r="J828" i="23"/>
  <c r="K828" i="23" s="1"/>
  <c r="K829" i="23"/>
  <c r="J830" i="23"/>
  <c r="K830" i="23" s="1"/>
  <c r="J831" i="23"/>
  <c r="K831" i="23" s="1"/>
  <c r="K832" i="23"/>
  <c r="J833" i="23"/>
  <c r="K833" i="23" s="1"/>
  <c r="J834" i="23"/>
  <c r="K834" i="23" s="1"/>
  <c r="J835" i="23"/>
  <c r="K835" i="23" s="1"/>
  <c r="J836" i="23"/>
  <c r="K836" i="23" s="1"/>
  <c r="J837" i="23"/>
  <c r="K837" i="23" s="1"/>
  <c r="J838" i="23"/>
  <c r="K838" i="23" s="1"/>
  <c r="J839" i="23"/>
  <c r="K839" i="23" s="1"/>
  <c r="J840" i="23"/>
  <c r="K840" i="23" s="1"/>
  <c r="J841" i="23"/>
  <c r="K841" i="23" s="1"/>
  <c r="J842" i="23"/>
  <c r="K842" i="23" s="1"/>
  <c r="J843" i="23"/>
  <c r="K843" i="23" s="1"/>
  <c r="J844" i="23"/>
  <c r="K844" i="23" s="1"/>
  <c r="J845" i="23"/>
  <c r="K845" i="23" s="1"/>
  <c r="K846" i="23"/>
  <c r="J847" i="23"/>
  <c r="K847" i="23" s="1"/>
  <c r="K848" i="23"/>
  <c r="J849" i="23"/>
  <c r="K849" i="23" s="1"/>
  <c r="J850" i="23"/>
  <c r="K850" i="23" s="1"/>
  <c r="J851" i="23"/>
  <c r="K851" i="23" s="1"/>
  <c r="K852" i="23"/>
  <c r="J853" i="23"/>
  <c r="K853" i="23" s="1"/>
  <c r="J854" i="23"/>
  <c r="K854" i="23" s="1"/>
  <c r="K855" i="23"/>
  <c r="J856" i="23"/>
  <c r="K856" i="23" s="1"/>
  <c r="J857" i="23"/>
  <c r="K857" i="23" s="1"/>
  <c r="J858" i="23"/>
  <c r="K858" i="23" s="1"/>
  <c r="J859" i="23"/>
  <c r="K859" i="23" s="1"/>
  <c r="K860" i="23"/>
  <c r="J861" i="23"/>
  <c r="K861" i="23" s="1"/>
  <c r="J862" i="23"/>
  <c r="K862" i="23" s="1"/>
  <c r="J863" i="23"/>
  <c r="K863" i="23" s="1"/>
  <c r="J864" i="23"/>
  <c r="K864" i="23" s="1"/>
  <c r="K865" i="23"/>
  <c r="J866" i="23"/>
  <c r="K866" i="23" s="1"/>
  <c r="K867" i="23"/>
  <c r="J868" i="23"/>
  <c r="K868" i="23" s="1"/>
  <c r="J869" i="23"/>
  <c r="K869" i="23" s="1"/>
  <c r="J870" i="23"/>
  <c r="K870" i="23" s="1"/>
  <c r="J871" i="23"/>
  <c r="K871" i="23" s="1"/>
  <c r="K872" i="23"/>
  <c r="J873" i="23"/>
  <c r="K873" i="23" s="1"/>
  <c r="J874" i="23"/>
  <c r="K874" i="23" s="1"/>
  <c r="J875" i="23"/>
  <c r="K875" i="23" s="1"/>
  <c r="J876" i="23"/>
  <c r="K876" i="23" s="1"/>
  <c r="J877" i="23"/>
  <c r="K877" i="23" s="1"/>
  <c r="J878" i="23"/>
  <c r="K878" i="23" s="1"/>
  <c r="J879" i="23"/>
  <c r="K879" i="23" s="1"/>
  <c r="J880" i="23"/>
  <c r="K880" i="23" s="1"/>
  <c r="J881" i="23"/>
  <c r="K881" i="23" s="1"/>
  <c r="J882" i="23"/>
  <c r="K882" i="23" s="1"/>
  <c r="J883" i="23"/>
  <c r="K883" i="23" s="1"/>
  <c r="J884" i="23"/>
  <c r="K884" i="23" s="1"/>
  <c r="K885" i="23"/>
  <c r="K886" i="23"/>
  <c r="J887" i="23"/>
  <c r="K887" i="23" s="1"/>
  <c r="J888" i="23"/>
  <c r="K888" i="23" s="1"/>
  <c r="J889" i="23"/>
  <c r="K889" i="23" s="1"/>
  <c r="J890" i="23"/>
  <c r="K890" i="23" s="1"/>
  <c r="J891" i="23"/>
  <c r="K891" i="23" s="1"/>
  <c r="J892" i="23"/>
  <c r="K892" i="23" s="1"/>
  <c r="K893" i="23"/>
  <c r="K894" i="23"/>
  <c r="K895" i="23"/>
  <c r="J896" i="23"/>
  <c r="K896" i="23" s="1"/>
  <c r="J897" i="23"/>
  <c r="K897" i="23" s="1"/>
  <c r="J898" i="23"/>
  <c r="K898" i="23" s="1"/>
  <c r="J899" i="23"/>
  <c r="K899" i="23" s="1"/>
  <c r="K900" i="23"/>
  <c r="J901" i="23"/>
  <c r="K901" i="23" s="1"/>
  <c r="J902" i="23"/>
  <c r="K902" i="23" s="1"/>
  <c r="J903" i="23"/>
  <c r="K903" i="23" s="1"/>
  <c r="J904" i="23"/>
  <c r="K904" i="23" s="1"/>
  <c r="K905" i="23"/>
  <c r="J906" i="23"/>
  <c r="K906" i="23" s="1"/>
  <c r="K907" i="23"/>
  <c r="J908" i="23"/>
  <c r="K908" i="23" s="1"/>
  <c r="J909" i="23"/>
  <c r="K909" i="23" s="1"/>
  <c r="J910" i="23"/>
  <c r="K910" i="23" s="1"/>
  <c r="J911" i="23"/>
  <c r="K911" i="23" s="1"/>
  <c r="J912" i="23"/>
  <c r="K912" i="23" s="1"/>
  <c r="K913" i="23"/>
  <c r="J914" i="23"/>
  <c r="K914" i="23" s="1"/>
  <c r="J915" i="23"/>
  <c r="K915" i="23" s="1"/>
  <c r="J916" i="23"/>
  <c r="K916" i="23" s="1"/>
  <c r="J917" i="23"/>
  <c r="K917" i="23" s="1"/>
  <c r="J918" i="23"/>
  <c r="K918" i="23" s="1"/>
  <c r="J919" i="23"/>
  <c r="K919" i="23" s="1"/>
  <c r="J920" i="23"/>
  <c r="K920" i="23" s="1"/>
  <c r="J921" i="23"/>
  <c r="K921" i="23" s="1"/>
  <c r="J922" i="23"/>
  <c r="K922" i="23" s="1"/>
  <c r="J923" i="23"/>
  <c r="K923" i="23" s="1"/>
  <c r="K924" i="23"/>
  <c r="J925" i="23"/>
  <c r="K925" i="23" s="1"/>
  <c r="J926" i="23"/>
  <c r="K926" i="23" s="1"/>
  <c r="J927" i="23"/>
  <c r="K927" i="23" s="1"/>
  <c r="J928" i="23"/>
  <c r="K928" i="23" s="1"/>
  <c r="J929" i="23"/>
  <c r="K929" i="23" s="1"/>
  <c r="J930" i="23"/>
  <c r="K930" i="23" s="1"/>
  <c r="J931" i="23"/>
  <c r="K931" i="23" s="1"/>
  <c r="J932" i="23"/>
  <c r="K932" i="23" s="1"/>
  <c r="J933" i="23"/>
  <c r="K933" i="23" s="1"/>
  <c r="J934" i="23"/>
  <c r="K934" i="23" s="1"/>
  <c r="J935" i="23"/>
  <c r="K935" i="23" s="1"/>
  <c r="J936" i="23"/>
  <c r="K936" i="23" s="1"/>
  <c r="J937" i="23"/>
  <c r="K937" i="23" s="1"/>
  <c r="J938" i="23"/>
  <c r="K938" i="23" s="1"/>
  <c r="J939" i="23"/>
  <c r="K939" i="23" s="1"/>
  <c r="J940" i="23"/>
  <c r="K940" i="23" s="1"/>
  <c r="J941" i="23"/>
  <c r="K941" i="23" s="1"/>
  <c r="K942" i="23"/>
  <c r="J943" i="23"/>
  <c r="K943" i="23" s="1"/>
  <c r="J944" i="23"/>
  <c r="K944" i="23" s="1"/>
  <c r="J945" i="23"/>
  <c r="K945" i="23" s="1"/>
  <c r="J946" i="23"/>
  <c r="K946" i="23" s="1"/>
  <c r="J947" i="23"/>
  <c r="K947" i="23" s="1"/>
  <c r="K948" i="23"/>
  <c r="J949" i="23"/>
  <c r="K949" i="23" s="1"/>
  <c r="J950" i="23"/>
  <c r="K950" i="23" s="1"/>
  <c r="J951" i="23"/>
  <c r="K951" i="23" s="1"/>
  <c r="J952" i="23"/>
  <c r="K952" i="23" s="1"/>
  <c r="J953" i="23"/>
  <c r="K953" i="23" s="1"/>
  <c r="K954" i="23"/>
  <c r="J955" i="23"/>
  <c r="K955" i="23" s="1"/>
  <c r="J956" i="23"/>
  <c r="K956" i="23" s="1"/>
  <c r="J957" i="23"/>
  <c r="K957" i="23" s="1"/>
  <c r="K958" i="23"/>
  <c r="K959" i="23"/>
  <c r="J960" i="23"/>
  <c r="K960" i="23" s="1"/>
  <c r="K961" i="23"/>
  <c r="J962" i="23"/>
  <c r="K962" i="23" s="1"/>
  <c r="J963" i="23"/>
  <c r="K963" i="23" s="1"/>
  <c r="K964" i="23"/>
  <c r="J965" i="23"/>
  <c r="K965" i="23" s="1"/>
  <c r="J966" i="23"/>
  <c r="K966" i="23" s="1"/>
  <c r="J967" i="23"/>
  <c r="K967" i="23" s="1"/>
  <c r="J968" i="23"/>
  <c r="K968" i="23" s="1"/>
  <c r="J969" i="23"/>
  <c r="K969" i="23" s="1"/>
  <c r="J970" i="23"/>
  <c r="K970" i="23" s="1"/>
  <c r="J971" i="23"/>
  <c r="K971" i="23" s="1"/>
  <c r="J972" i="23"/>
  <c r="K972" i="23" s="1"/>
  <c r="J973" i="23"/>
  <c r="K973" i="23" s="1"/>
  <c r="J974" i="23"/>
  <c r="K974" i="23" s="1"/>
  <c r="J975" i="23"/>
  <c r="K975" i="23" s="1"/>
  <c r="J976" i="23"/>
  <c r="K976" i="23" s="1"/>
  <c r="J977" i="23"/>
  <c r="K977" i="23" s="1"/>
  <c r="J978" i="23"/>
  <c r="K978" i="23" s="1"/>
  <c r="J979" i="23"/>
  <c r="K979" i="23" s="1"/>
  <c r="J980" i="23"/>
  <c r="K980" i="23" s="1"/>
  <c r="J981" i="23"/>
  <c r="K981" i="23" s="1"/>
  <c r="J982" i="23"/>
  <c r="K982" i="23" s="1"/>
  <c r="J983" i="23"/>
  <c r="K983" i="23" s="1"/>
  <c r="J984" i="23"/>
  <c r="K984" i="23" s="1"/>
  <c r="J985" i="23"/>
  <c r="K985" i="23" s="1"/>
  <c r="J986" i="23"/>
  <c r="K986" i="23" s="1"/>
  <c r="J987" i="23"/>
  <c r="K987" i="23" s="1"/>
  <c r="J988" i="23"/>
  <c r="K988" i="23" s="1"/>
  <c r="J989" i="23"/>
  <c r="K989" i="23" s="1"/>
  <c r="K990" i="23"/>
  <c r="J991" i="23"/>
  <c r="K991" i="23" s="1"/>
  <c r="K992" i="23"/>
  <c r="J993" i="23"/>
  <c r="K993" i="23" s="1"/>
  <c r="J994" i="23"/>
  <c r="K994" i="23" s="1"/>
  <c r="J995" i="23"/>
  <c r="K995" i="23" s="1"/>
  <c r="J996" i="23"/>
  <c r="K996" i="23" s="1"/>
  <c r="K997" i="23"/>
  <c r="J998" i="23"/>
  <c r="K998" i="23" s="1"/>
  <c r="J999" i="23"/>
  <c r="K999" i="23" s="1"/>
  <c r="J1000" i="23"/>
  <c r="K1000" i="23" s="1"/>
  <c r="K1001" i="23"/>
  <c r="K1002" i="23"/>
  <c r="J1003" i="23"/>
  <c r="K1003" i="23" s="1"/>
  <c r="J1004" i="23"/>
  <c r="K1004" i="23" s="1"/>
  <c r="J1005" i="23"/>
  <c r="K1005" i="23" s="1"/>
  <c r="J1006" i="23"/>
  <c r="K1006" i="23" s="1"/>
  <c r="J1007" i="23"/>
  <c r="K1007" i="23" s="1"/>
  <c r="J1008" i="23"/>
  <c r="K1008" i="23" s="1"/>
  <c r="J1009" i="23"/>
  <c r="K1009" i="23" s="1"/>
  <c r="J1010" i="23"/>
  <c r="K1010" i="23" s="1"/>
  <c r="J1011" i="23"/>
  <c r="K1011" i="23" s="1"/>
  <c r="J1012" i="23"/>
  <c r="K1012" i="23" s="1"/>
  <c r="J1013" i="23"/>
  <c r="K1013" i="23" s="1"/>
  <c r="J1014" i="23"/>
  <c r="K1014" i="23" s="1"/>
  <c r="J1015" i="23"/>
  <c r="K1015" i="23" s="1"/>
  <c r="J1016" i="23"/>
  <c r="K1016" i="23" s="1"/>
  <c r="J1017" i="23"/>
  <c r="K1017" i="23" s="1"/>
  <c r="J1018" i="23"/>
  <c r="K1018" i="23" s="1"/>
  <c r="J1019" i="23"/>
  <c r="K1019" i="23" s="1"/>
  <c r="J1020" i="23"/>
  <c r="K1020" i="23" s="1"/>
  <c r="J1021" i="23"/>
  <c r="K1021" i="23" s="1"/>
  <c r="J1022" i="23"/>
  <c r="K1022" i="23" s="1"/>
  <c r="J1023" i="23"/>
  <c r="K1023" i="23" s="1"/>
  <c r="J1024" i="23"/>
  <c r="K1024" i="23" s="1"/>
  <c r="J1025" i="23"/>
  <c r="K1025" i="23" s="1"/>
  <c r="J1026" i="23"/>
  <c r="K1026" i="23" s="1"/>
  <c r="J1027" i="23"/>
  <c r="K1027" i="23" s="1"/>
  <c r="K1028" i="23"/>
  <c r="K1029" i="23"/>
  <c r="K1030" i="23"/>
  <c r="J1031" i="23"/>
  <c r="K1031" i="23" s="1"/>
  <c r="J1032" i="23"/>
  <c r="K1032" i="23" s="1"/>
  <c r="J1033" i="23"/>
  <c r="K1033" i="23" s="1"/>
  <c r="J1034" i="23"/>
  <c r="K1034" i="23" s="1"/>
  <c r="J1035" i="23"/>
  <c r="K1035" i="23" s="1"/>
  <c r="J1036" i="23"/>
  <c r="K1036" i="23" s="1"/>
  <c r="J1037" i="23"/>
  <c r="K1037" i="23" s="1"/>
  <c r="J1038" i="23"/>
  <c r="K1038" i="23" s="1"/>
  <c r="J1039" i="23"/>
  <c r="K1039" i="23" s="1"/>
  <c r="J1040" i="23"/>
  <c r="K1040" i="23" s="1"/>
  <c r="J1041" i="23"/>
  <c r="K1041" i="23" s="1"/>
  <c r="K1042" i="23"/>
  <c r="J1043" i="23"/>
  <c r="K1043" i="23" s="1"/>
  <c r="J1044" i="23"/>
  <c r="K1044" i="23" s="1"/>
  <c r="J1045" i="23"/>
  <c r="K1045" i="23" s="1"/>
  <c r="K1046" i="23"/>
  <c r="J1047" i="23"/>
  <c r="K1047" i="23" s="1"/>
  <c r="J1048" i="23"/>
  <c r="K1048" i="23" s="1"/>
  <c r="J1049" i="23"/>
  <c r="K1049" i="23" s="1"/>
  <c r="J1050" i="23"/>
  <c r="K1050" i="23" s="1"/>
  <c r="J1051" i="23"/>
  <c r="K1051" i="23" s="1"/>
  <c r="J1052" i="23"/>
  <c r="K1052" i="23" s="1"/>
  <c r="J1053" i="23"/>
  <c r="K1053" i="23" s="1"/>
  <c r="K1054" i="23"/>
  <c r="J1055" i="23"/>
  <c r="K1055" i="23" s="1"/>
  <c r="J1056" i="23"/>
  <c r="K1056" i="23" s="1"/>
  <c r="J1057" i="23"/>
  <c r="K1057" i="23" s="1"/>
  <c r="K1058" i="23"/>
  <c r="K1059" i="23"/>
  <c r="J1060" i="23"/>
  <c r="K1060" i="23" s="1"/>
  <c r="J1061" i="23"/>
  <c r="K1061" i="23" s="1"/>
  <c r="J1062" i="23"/>
  <c r="K1062" i="23" s="1"/>
  <c r="J1063" i="23"/>
  <c r="K1063" i="23" s="1"/>
  <c r="K1064" i="23"/>
  <c r="J1065" i="23"/>
  <c r="K1065" i="23" s="1"/>
  <c r="J1066" i="23"/>
  <c r="K1066" i="23" s="1"/>
  <c r="J1067" i="23"/>
  <c r="K1067" i="23" s="1"/>
  <c r="J1068" i="23"/>
  <c r="K1068" i="23" s="1"/>
  <c r="J1069" i="23"/>
  <c r="K1069" i="23" s="1"/>
  <c r="J1070" i="23"/>
  <c r="K1070" i="23" s="1"/>
  <c r="J1071" i="23"/>
  <c r="K1071" i="23" s="1"/>
  <c r="K1072" i="23"/>
  <c r="J1073" i="23"/>
  <c r="K1073" i="23" s="1"/>
  <c r="J1074" i="23"/>
  <c r="K1074" i="23" s="1"/>
  <c r="J1075" i="23"/>
  <c r="K1075" i="23" s="1"/>
  <c r="J1076" i="23"/>
  <c r="K1076" i="23" s="1"/>
  <c r="J1077" i="23"/>
  <c r="K1077" i="23" s="1"/>
  <c r="J1078" i="23"/>
  <c r="K1078" i="23" s="1"/>
  <c r="J1079" i="23"/>
  <c r="K1079" i="23" s="1"/>
  <c r="J1080" i="23"/>
  <c r="K1080" i="23" s="1"/>
  <c r="J1081" i="23"/>
  <c r="K1081" i="23" s="1"/>
  <c r="J1082" i="23"/>
  <c r="K1082" i="23" s="1"/>
  <c r="J1083" i="23"/>
  <c r="K1083" i="23" s="1"/>
  <c r="J1084" i="23"/>
  <c r="K1084" i="23" s="1"/>
  <c r="J1085" i="23"/>
  <c r="K1085" i="23" s="1"/>
  <c r="J1086" i="23"/>
  <c r="K1086" i="23" s="1"/>
  <c r="J1087" i="23"/>
  <c r="K1087" i="23" s="1"/>
  <c r="K1088" i="23"/>
  <c r="J1089" i="23"/>
  <c r="K1089" i="23" s="1"/>
  <c r="J1090" i="23"/>
  <c r="K1090" i="23" s="1"/>
  <c r="K1091" i="23"/>
  <c r="J1092" i="23"/>
  <c r="K1092" i="23" s="1"/>
  <c r="J1093" i="23"/>
  <c r="K1093" i="23" s="1"/>
  <c r="J1094" i="23"/>
  <c r="K1094" i="23" s="1"/>
  <c r="J1095" i="23"/>
  <c r="K1095" i="23" s="1"/>
  <c r="J1096" i="23"/>
  <c r="K1096" i="23" s="1"/>
  <c r="J1097" i="23"/>
  <c r="K1097" i="23" s="1"/>
  <c r="J1098" i="23"/>
  <c r="K1098" i="23" s="1"/>
  <c r="J1099" i="23"/>
  <c r="K1099" i="23" s="1"/>
  <c r="J1100" i="23"/>
  <c r="K1100" i="23" s="1"/>
  <c r="J1101" i="23"/>
  <c r="K1101" i="23" s="1"/>
  <c r="J1102" i="23"/>
  <c r="K1102" i="23" s="1"/>
  <c r="J1103" i="23"/>
  <c r="K1103" i="23" s="1"/>
  <c r="J1104" i="23"/>
  <c r="K1104" i="23" s="1"/>
  <c r="J1105" i="23"/>
  <c r="K1105" i="23" s="1"/>
  <c r="J1106" i="23"/>
  <c r="K1106" i="23" s="1"/>
  <c r="K1107" i="23"/>
  <c r="J1108" i="23"/>
  <c r="K1108" i="23" s="1"/>
  <c r="J1109" i="23"/>
  <c r="K1109" i="23" s="1"/>
  <c r="K1110" i="23"/>
  <c r="J1111" i="23"/>
  <c r="K1111" i="23" s="1"/>
  <c r="J1112" i="23"/>
  <c r="K1112" i="23" s="1"/>
  <c r="J1113" i="23"/>
  <c r="K1113" i="23" s="1"/>
  <c r="J1114" i="23"/>
  <c r="K1114" i="23" s="1"/>
  <c r="J1115" i="23"/>
  <c r="K1115" i="23" s="1"/>
  <c r="J1116" i="23"/>
  <c r="K1116" i="23" s="1"/>
  <c r="J1117" i="23"/>
  <c r="K1117" i="23" s="1"/>
  <c r="K1118" i="23"/>
  <c r="J1119" i="23"/>
  <c r="K1119" i="23" s="1"/>
  <c r="J1120" i="23"/>
  <c r="K1120" i="23" s="1"/>
  <c r="K1121" i="23"/>
  <c r="J1122" i="23"/>
  <c r="K1122" i="23" s="1"/>
  <c r="J1123" i="23"/>
  <c r="K1123" i="23" s="1"/>
  <c r="K1124" i="23"/>
  <c r="J1125" i="23"/>
  <c r="K1125" i="23" s="1"/>
  <c r="J1126" i="23"/>
  <c r="K1126" i="23" s="1"/>
  <c r="J1127" i="23"/>
  <c r="K1127" i="23" s="1"/>
  <c r="J1128" i="23"/>
  <c r="K1128" i="23" s="1"/>
  <c r="J1129" i="23"/>
  <c r="K1129" i="23" s="1"/>
  <c r="J1130" i="23"/>
  <c r="K1130" i="23" s="1"/>
  <c r="J1131" i="23"/>
  <c r="K1131" i="23" s="1"/>
  <c r="J1132" i="23"/>
  <c r="K1132" i="23" s="1"/>
  <c r="J1133" i="23"/>
  <c r="K1133" i="23" s="1"/>
  <c r="J1134" i="23"/>
  <c r="K1134" i="23" s="1"/>
  <c r="J1135" i="23"/>
  <c r="K1135" i="23" s="1"/>
  <c r="J1136" i="23"/>
  <c r="K1136" i="23" s="1"/>
  <c r="J1137" i="23"/>
  <c r="K1137" i="23" s="1"/>
  <c r="K1138" i="23"/>
  <c r="J1139" i="23"/>
  <c r="K1139" i="23" s="1"/>
  <c r="J1140" i="23"/>
  <c r="K1140" i="23" s="1"/>
  <c r="J1141" i="23"/>
  <c r="K1141" i="23" s="1"/>
  <c r="J1142" i="23"/>
  <c r="K1142" i="23" s="1"/>
  <c r="K1143" i="23"/>
  <c r="J1144" i="23"/>
  <c r="K1144" i="23" s="1"/>
  <c r="K1145" i="23"/>
  <c r="J1146" i="23"/>
  <c r="K1146" i="23" s="1"/>
  <c r="J1147" i="23"/>
  <c r="K1147" i="23" s="1"/>
  <c r="J1148" i="23"/>
  <c r="K1148" i="23" s="1"/>
  <c r="J1149" i="23"/>
  <c r="K1149" i="23" s="1"/>
  <c r="J1150" i="23"/>
  <c r="K1150" i="23" s="1"/>
  <c r="J1151" i="23"/>
  <c r="K1151" i="23" s="1"/>
  <c r="J1152" i="23"/>
  <c r="K1152" i="23" s="1"/>
  <c r="J1153" i="23"/>
  <c r="K1153" i="23" s="1"/>
  <c r="J1154" i="23"/>
  <c r="K1154" i="23" s="1"/>
  <c r="J1155" i="23"/>
  <c r="K1155" i="23" s="1"/>
  <c r="J1156" i="23"/>
  <c r="K1156" i="23" s="1"/>
  <c r="J1157" i="23"/>
  <c r="K1157" i="23" s="1"/>
  <c r="J1158" i="23"/>
  <c r="K1158" i="23" s="1"/>
  <c r="J1159" i="23"/>
  <c r="K1159" i="23" s="1"/>
  <c r="J1160" i="23"/>
  <c r="K1160" i="23" s="1"/>
  <c r="J1161" i="23"/>
  <c r="K1161" i="23" s="1"/>
  <c r="J1162" i="23"/>
  <c r="K1162" i="23" s="1"/>
  <c r="K1163" i="23"/>
  <c r="J1164" i="23"/>
  <c r="K1164" i="23" s="1"/>
  <c r="K1165" i="23"/>
  <c r="J1166" i="23"/>
  <c r="K1166" i="23" s="1"/>
  <c r="K1167" i="23"/>
  <c r="J1168" i="23"/>
  <c r="K1168" i="23" s="1"/>
  <c r="J1169" i="23"/>
  <c r="K1169" i="23" s="1"/>
  <c r="J1170" i="23"/>
  <c r="K1170" i="23" s="1"/>
  <c r="J1171" i="23"/>
  <c r="K1171" i="23" s="1"/>
  <c r="K1172" i="23"/>
  <c r="K1173" i="23"/>
  <c r="K1174" i="23"/>
  <c r="K1175" i="23"/>
  <c r="J1176" i="23"/>
  <c r="K1176" i="23" s="1"/>
  <c r="J1177" i="23"/>
  <c r="K1177" i="23" s="1"/>
  <c r="J1178" i="23"/>
  <c r="K1178" i="23" s="1"/>
  <c r="J1179" i="23"/>
  <c r="K1179" i="23" s="1"/>
  <c r="J1180" i="23"/>
  <c r="K1180" i="23" s="1"/>
  <c r="J1181" i="23"/>
  <c r="K1181" i="23" s="1"/>
  <c r="J1182" i="23"/>
  <c r="K1182" i="23" s="1"/>
  <c r="J1183" i="23"/>
  <c r="K1183" i="23" s="1"/>
  <c r="J1184" i="23"/>
  <c r="K1184" i="23" s="1"/>
  <c r="J1185" i="23"/>
  <c r="K1185" i="23" s="1"/>
  <c r="J1186" i="23"/>
  <c r="K1186" i="23" s="1"/>
  <c r="J1187" i="23"/>
  <c r="K1187" i="23" s="1"/>
  <c r="J1188" i="23"/>
  <c r="K1188" i="23" s="1"/>
  <c r="J1189" i="23"/>
  <c r="K1189" i="23" s="1"/>
  <c r="J1190" i="23"/>
  <c r="K1190" i="23" s="1"/>
  <c r="J1191" i="23"/>
  <c r="K1191" i="23" s="1"/>
  <c r="J1192" i="23"/>
  <c r="K1192" i="23" s="1"/>
  <c r="J1193" i="23"/>
  <c r="K1193" i="23" s="1"/>
  <c r="J1194" i="23"/>
  <c r="K1194" i="23" s="1"/>
  <c r="J1195" i="23"/>
  <c r="K1195" i="23" s="1"/>
  <c r="J1196" i="23"/>
  <c r="K1196" i="23" s="1"/>
  <c r="K1197" i="23"/>
  <c r="J1198" i="23"/>
  <c r="K1198" i="23" s="1"/>
  <c r="J1199" i="23"/>
  <c r="K1199" i="23" s="1"/>
  <c r="J1200" i="23"/>
  <c r="K1200" i="23" s="1"/>
  <c r="J1201" i="23"/>
  <c r="K1201" i="23" s="1"/>
  <c r="J1202" i="23"/>
  <c r="K1202" i="23" s="1"/>
  <c r="J1203" i="23"/>
  <c r="K1203" i="23" s="1"/>
  <c r="J1204" i="23"/>
  <c r="K1204" i="23" s="1"/>
  <c r="K1205" i="23"/>
  <c r="J1206" i="23"/>
  <c r="K1206" i="23" s="1"/>
  <c r="J1207" i="23"/>
  <c r="K1207" i="23" s="1"/>
  <c r="K1208" i="23"/>
  <c r="K1209" i="23"/>
  <c r="J1210" i="23"/>
  <c r="K1210" i="23" s="1"/>
  <c r="J1211" i="23"/>
  <c r="K1211" i="23" s="1"/>
  <c r="J1212" i="23"/>
  <c r="K1212" i="23" s="1"/>
  <c r="J1213" i="23"/>
  <c r="K1213" i="23" s="1"/>
  <c r="J1214" i="23"/>
  <c r="K1214" i="23" s="1"/>
  <c r="J1215" i="23"/>
  <c r="K1215" i="23" s="1"/>
  <c r="J1216" i="23"/>
  <c r="K1216" i="23" s="1"/>
  <c r="J1217" i="23"/>
  <c r="K1217" i="23" s="1"/>
  <c r="J1218" i="23"/>
  <c r="K1218" i="23" s="1"/>
  <c r="J1219" i="23"/>
  <c r="K1219" i="23" s="1"/>
  <c r="J1220" i="23"/>
  <c r="K1220" i="23" s="1"/>
  <c r="K1221" i="23"/>
  <c r="J1222" i="23"/>
  <c r="K1222" i="23" s="1"/>
  <c r="J1223" i="23"/>
  <c r="K1223" i="23" s="1"/>
  <c r="J1224" i="23"/>
  <c r="K1224" i="23" s="1"/>
  <c r="J1225" i="23"/>
  <c r="K1225" i="23" s="1"/>
  <c r="J1226" i="23"/>
  <c r="K1226" i="23" s="1"/>
  <c r="J1227" i="23"/>
  <c r="K1227" i="23" s="1"/>
  <c r="J1228" i="23"/>
  <c r="K1228" i="23" s="1"/>
  <c r="J1229" i="23"/>
  <c r="K1229" i="23" s="1"/>
  <c r="J1230" i="23"/>
  <c r="K1230" i="23" s="1"/>
  <c r="J1231" i="23"/>
  <c r="K1231" i="23" s="1"/>
  <c r="J1232" i="23"/>
  <c r="K1232" i="23" s="1"/>
  <c r="K1233" i="23"/>
  <c r="J1234" i="23"/>
  <c r="K1234" i="23" s="1"/>
  <c r="J1235" i="23"/>
  <c r="K1235" i="23" s="1"/>
  <c r="J1236" i="23"/>
  <c r="K1236" i="23" s="1"/>
  <c r="K1237" i="23"/>
  <c r="J1238" i="23"/>
  <c r="K1238" i="23" s="1"/>
  <c r="K1239" i="23"/>
  <c r="J1240" i="23"/>
  <c r="K1240" i="23" s="1"/>
  <c r="J1241" i="23"/>
  <c r="K1241" i="23" s="1"/>
  <c r="K1242" i="23"/>
  <c r="J1243" i="23"/>
  <c r="K1243" i="23" s="1"/>
  <c r="K1244" i="23"/>
  <c r="J1245" i="23"/>
  <c r="K1245" i="23" s="1"/>
  <c r="K1246" i="23"/>
  <c r="J1247" i="23"/>
  <c r="K1247" i="23" s="1"/>
  <c r="K1248" i="23"/>
  <c r="J1249" i="23"/>
  <c r="K1249" i="23" s="1"/>
  <c r="J1250" i="23"/>
  <c r="K1250" i="23" s="1"/>
  <c r="J1251" i="23"/>
  <c r="K1251" i="23" s="1"/>
  <c r="K1252" i="23"/>
  <c r="K1253" i="23"/>
  <c r="J1254" i="23"/>
  <c r="K1254" i="23" s="1"/>
  <c r="J1255" i="23"/>
  <c r="K1255" i="23" s="1"/>
  <c r="J1256" i="23"/>
  <c r="K1256" i="23" s="1"/>
  <c r="J1257" i="23"/>
  <c r="K1257" i="23" s="1"/>
  <c r="J1258" i="23"/>
  <c r="K1258" i="23" s="1"/>
  <c r="J1259" i="23"/>
  <c r="K1259" i="23" s="1"/>
  <c r="J1260" i="23"/>
  <c r="K1260" i="23" s="1"/>
  <c r="J1261" i="23"/>
  <c r="K1261" i="23" s="1"/>
  <c r="J1262" i="23"/>
  <c r="K1262" i="23" s="1"/>
  <c r="J1263" i="23"/>
  <c r="K1263" i="23" s="1"/>
  <c r="J1264" i="23"/>
  <c r="K1264" i="23" s="1"/>
  <c r="K1265" i="23"/>
  <c r="K1266" i="23"/>
  <c r="J1267" i="23"/>
  <c r="K1267" i="23" s="1"/>
  <c r="J1268" i="23"/>
  <c r="K1268" i="23" s="1"/>
  <c r="J1269" i="23"/>
  <c r="K1269" i="23" s="1"/>
  <c r="J1270" i="23"/>
  <c r="K1270" i="23" s="1"/>
  <c r="J1271" i="23"/>
  <c r="K1271" i="23" s="1"/>
  <c r="J1272" i="23"/>
  <c r="K1272" i="23" s="1"/>
  <c r="J1273" i="23"/>
  <c r="K1273" i="23" s="1"/>
  <c r="J1274" i="23"/>
  <c r="K1274" i="23" s="1"/>
  <c r="J1275" i="23"/>
  <c r="K1275" i="23" s="1"/>
  <c r="J1276" i="23"/>
  <c r="K1276" i="23" s="1"/>
  <c r="J1277" i="23"/>
  <c r="K1277" i="23" s="1"/>
  <c r="J1278" i="23"/>
  <c r="K1278" i="23" s="1"/>
  <c r="J1279" i="23"/>
  <c r="K1279" i="23" s="1"/>
  <c r="K1280" i="23"/>
  <c r="J1281" i="23"/>
  <c r="K1281" i="23" s="1"/>
  <c r="J1282" i="23"/>
  <c r="K1282" i="23" s="1"/>
  <c r="J1283" i="23"/>
  <c r="K1283" i="23" s="1"/>
  <c r="J1284" i="23"/>
  <c r="K1284" i="23" s="1"/>
  <c r="J1285" i="23"/>
  <c r="K1285" i="23" s="1"/>
  <c r="J1286" i="23"/>
  <c r="K1286" i="23" s="1"/>
  <c r="J1287" i="23"/>
  <c r="K1287" i="23" s="1"/>
  <c r="J1288" i="23"/>
  <c r="K1288" i="23" s="1"/>
  <c r="J1289" i="23"/>
  <c r="K1289" i="23" s="1"/>
  <c r="J1290" i="23"/>
  <c r="K1290" i="23" s="1"/>
  <c r="J1291" i="23"/>
  <c r="K1291" i="23" s="1"/>
  <c r="J1292" i="23"/>
  <c r="K1292" i="23" s="1"/>
  <c r="J1293" i="23"/>
  <c r="K1293" i="23" s="1"/>
  <c r="J1294" i="23"/>
  <c r="K1294" i="23" s="1"/>
  <c r="K1295" i="23"/>
  <c r="J1296" i="23"/>
  <c r="K1296" i="23" s="1"/>
  <c r="J1297" i="23"/>
  <c r="K1297" i="23" s="1"/>
  <c r="J1298" i="23"/>
  <c r="K1298" i="23" s="1"/>
  <c r="J1299" i="23"/>
  <c r="K1299" i="23" s="1"/>
  <c r="J1300" i="23"/>
  <c r="K1300" i="23" s="1"/>
  <c r="J1301" i="23"/>
  <c r="K1301" i="23" s="1"/>
  <c r="J1302" i="23"/>
  <c r="K1302" i="23" s="1"/>
  <c r="J1303" i="23"/>
  <c r="K1303" i="23" s="1"/>
  <c r="J1304" i="23"/>
  <c r="K1304" i="23" s="1"/>
  <c r="J1305" i="23"/>
  <c r="K1305" i="23" s="1"/>
  <c r="J1306" i="23"/>
  <c r="K1306" i="23" s="1"/>
  <c r="J1307" i="23"/>
  <c r="K1307" i="23" s="1"/>
  <c r="K1308" i="23"/>
  <c r="J1309" i="23"/>
  <c r="K1309" i="23" s="1"/>
  <c r="J1310" i="23"/>
  <c r="K1310" i="23" s="1"/>
  <c r="J1311" i="23"/>
  <c r="K1311" i="23" s="1"/>
  <c r="J1312" i="23"/>
  <c r="K1312" i="23" s="1"/>
  <c r="J1313" i="23"/>
  <c r="K1313" i="23" s="1"/>
  <c r="J1314" i="23"/>
  <c r="K1314" i="23" s="1"/>
  <c r="J1315" i="23"/>
  <c r="K1315" i="23" s="1"/>
  <c r="J1316" i="23"/>
  <c r="K1316" i="23" s="1"/>
  <c r="J1317" i="23"/>
  <c r="K1317" i="23" s="1"/>
  <c r="K1318" i="23"/>
  <c r="J1319" i="23"/>
  <c r="K1319" i="23" s="1"/>
  <c r="J1320" i="23"/>
  <c r="K1320" i="23" s="1"/>
  <c r="J1321" i="23"/>
  <c r="K1321" i="23" s="1"/>
  <c r="J1322" i="23"/>
  <c r="K1322" i="23" s="1"/>
  <c r="J1323" i="23"/>
  <c r="K1323" i="23" s="1"/>
  <c r="J1324" i="23"/>
  <c r="K1324" i="23" s="1"/>
  <c r="J1325" i="23"/>
  <c r="K1325" i="23" s="1"/>
  <c r="J1326" i="23"/>
  <c r="K1326" i="23" s="1"/>
  <c r="J1327" i="23"/>
  <c r="K1327" i="23" s="1"/>
  <c r="J1328" i="23"/>
  <c r="K1328" i="23" s="1"/>
  <c r="J1329" i="23"/>
  <c r="K1329" i="23" s="1"/>
  <c r="J1330" i="23"/>
  <c r="K1330" i="23" s="1"/>
  <c r="J1331" i="23"/>
  <c r="K1331" i="23" s="1"/>
  <c r="J1332" i="23"/>
  <c r="K1332" i="23" s="1"/>
  <c r="J1333" i="23"/>
  <c r="K1333" i="23" s="1"/>
  <c r="K1334" i="23"/>
  <c r="J1335" i="23"/>
  <c r="K1335" i="23" s="1"/>
  <c r="J1336" i="23"/>
  <c r="K1336" i="23" s="1"/>
  <c r="K1337" i="23"/>
  <c r="J1338" i="23"/>
  <c r="K1338" i="23" s="1"/>
  <c r="J1339" i="23"/>
  <c r="K1339" i="23" s="1"/>
  <c r="K1340" i="23"/>
  <c r="J1341" i="23"/>
  <c r="K1341" i="23" s="1"/>
  <c r="J1342" i="23"/>
  <c r="K1342" i="23" s="1"/>
  <c r="J1343" i="23"/>
  <c r="K1343" i="23" s="1"/>
  <c r="J1344" i="23"/>
  <c r="K1344" i="23" s="1"/>
  <c r="K1345" i="23"/>
  <c r="J1346" i="23"/>
  <c r="K1346" i="23" s="1"/>
  <c r="J1347" i="23"/>
  <c r="K1347" i="23" s="1"/>
  <c r="K1348" i="23"/>
  <c r="J1349" i="23"/>
  <c r="K1349" i="23" s="1"/>
  <c r="J1350" i="23"/>
  <c r="K1350" i="23" s="1"/>
  <c r="J1351" i="23"/>
  <c r="K1351" i="23" s="1"/>
  <c r="J1352" i="23"/>
  <c r="K1352" i="23" s="1"/>
  <c r="J1353" i="23"/>
  <c r="K1353" i="23" s="1"/>
  <c r="J1354" i="23"/>
  <c r="K1354" i="23" s="1"/>
  <c r="J1355" i="23"/>
  <c r="K1355" i="23" s="1"/>
  <c r="J1356" i="23"/>
  <c r="K1356" i="23" s="1"/>
  <c r="J1357" i="23"/>
  <c r="K1357" i="23" s="1"/>
  <c r="J1358" i="23"/>
  <c r="K1358" i="23" s="1"/>
  <c r="J1359" i="23"/>
  <c r="K1359" i="23" s="1"/>
  <c r="J1360" i="23"/>
  <c r="K1360" i="23" s="1"/>
  <c r="J1361" i="23"/>
  <c r="K1361" i="23" s="1"/>
  <c r="J1362" i="23"/>
  <c r="K1362" i="23" s="1"/>
  <c r="J1363" i="23"/>
  <c r="K1363" i="23" s="1"/>
  <c r="K1364" i="23"/>
  <c r="J1365" i="23"/>
  <c r="K1365" i="23" s="1"/>
  <c r="J1366" i="23"/>
  <c r="K1366" i="23" s="1"/>
  <c r="J1367" i="23"/>
  <c r="K1367" i="23" s="1"/>
  <c r="J1368" i="23"/>
  <c r="K1368" i="23" s="1"/>
  <c r="J1369" i="23"/>
  <c r="K1369" i="23" s="1"/>
  <c r="J1370" i="23"/>
  <c r="K1370" i="23" s="1"/>
  <c r="K1371" i="23"/>
  <c r="J1372" i="23"/>
  <c r="K1372" i="23" s="1"/>
  <c r="J1373" i="23"/>
  <c r="K1373" i="23" s="1"/>
  <c r="J1374" i="23"/>
  <c r="K1374" i="23" s="1"/>
  <c r="J1375" i="23"/>
  <c r="K1375" i="23" s="1"/>
  <c r="K1376" i="23"/>
  <c r="K1377" i="23"/>
  <c r="K1378" i="23"/>
  <c r="J1379" i="23"/>
  <c r="K1379" i="23" s="1"/>
  <c r="K1380" i="23"/>
  <c r="K1381" i="23"/>
  <c r="K1382" i="23"/>
  <c r="J1383" i="23"/>
  <c r="K1383" i="23" s="1"/>
  <c r="J1384" i="23"/>
  <c r="K1384" i="23" s="1"/>
  <c r="J1385" i="23"/>
  <c r="K1385" i="23" s="1"/>
  <c r="J1386" i="23"/>
  <c r="K1386" i="23" s="1"/>
  <c r="J1387" i="23"/>
  <c r="K1387" i="23" s="1"/>
  <c r="J1388" i="23"/>
  <c r="K1388" i="23" s="1"/>
  <c r="K1389" i="23"/>
  <c r="K1390" i="23"/>
  <c r="J1391" i="23"/>
  <c r="K1391" i="23" s="1"/>
  <c r="K1392" i="23"/>
  <c r="K1393" i="23"/>
  <c r="K1394" i="23"/>
  <c r="K1395" i="23"/>
  <c r="J1396" i="23"/>
  <c r="K1396" i="23" s="1"/>
  <c r="K1397" i="23"/>
  <c r="K1398" i="23"/>
  <c r="J1399" i="23"/>
  <c r="K1399" i="23" s="1"/>
  <c r="K1400" i="23"/>
  <c r="J1401" i="23"/>
  <c r="K1401" i="23" s="1"/>
  <c r="K1402" i="23"/>
  <c r="J1403" i="23"/>
  <c r="K1403" i="23" s="1"/>
  <c r="J1404" i="23"/>
  <c r="K1404" i="23" s="1"/>
  <c r="K1405" i="23"/>
  <c r="J1406" i="23"/>
  <c r="K1406" i="23" s="1"/>
  <c r="J1407" i="23"/>
  <c r="K1407" i="23" s="1"/>
  <c r="J1408" i="23"/>
  <c r="K1408" i="23" s="1"/>
  <c r="J1409" i="23"/>
  <c r="K1409" i="23" s="1"/>
  <c r="K1410" i="23"/>
  <c r="J1411" i="23"/>
  <c r="K1411" i="23" s="1"/>
  <c r="J1412" i="23"/>
  <c r="K1412" i="23" s="1"/>
  <c r="J1413" i="23"/>
  <c r="K1413" i="23" s="1"/>
  <c r="J1414" i="23"/>
  <c r="K1414" i="23" s="1"/>
  <c r="J1415" i="23"/>
  <c r="K1415" i="23" s="1"/>
  <c r="J1416" i="23"/>
  <c r="K1416" i="23" s="1"/>
  <c r="K1417" i="23"/>
  <c r="J1418" i="23"/>
  <c r="K1418" i="23" s="1"/>
  <c r="J1419" i="23"/>
  <c r="K1419" i="23" s="1"/>
  <c r="J1420" i="23"/>
  <c r="K1420" i="23" s="1"/>
  <c r="K1421" i="23"/>
  <c r="J1422" i="23"/>
  <c r="K1422" i="23" s="1"/>
  <c r="J1423" i="23"/>
  <c r="K1423" i="23" s="1"/>
  <c r="J1424" i="23"/>
  <c r="K1424" i="23" s="1"/>
  <c r="J1425" i="23"/>
  <c r="K1425" i="23" s="1"/>
  <c r="J1426" i="23"/>
  <c r="K1426" i="23" s="1"/>
  <c r="J1427" i="23"/>
  <c r="K1427" i="23" s="1"/>
  <c r="K1428" i="23"/>
  <c r="K1429" i="23"/>
  <c r="J1430" i="23"/>
  <c r="K1430" i="23" s="1"/>
  <c r="J1431" i="23"/>
  <c r="K1431" i="23" s="1"/>
  <c r="K1432" i="23"/>
  <c r="K1433" i="23"/>
  <c r="K1434" i="23"/>
  <c r="J1435" i="23"/>
  <c r="K1435" i="23" s="1"/>
  <c r="K1436" i="23"/>
  <c r="J1437" i="23"/>
  <c r="K1437" i="23" s="1"/>
  <c r="J1438" i="23"/>
  <c r="K1438" i="23" s="1"/>
  <c r="J1439" i="23"/>
  <c r="K1439" i="23" s="1"/>
  <c r="K1440" i="23"/>
  <c r="K1441" i="23"/>
  <c r="J1442" i="23"/>
  <c r="K1442" i="23" s="1"/>
  <c r="J1443" i="23"/>
  <c r="K1443" i="23" s="1"/>
  <c r="J1444" i="23"/>
  <c r="K1444" i="23" s="1"/>
  <c r="J1445" i="23"/>
  <c r="K1445" i="23" s="1"/>
  <c r="J1446" i="23"/>
  <c r="K1446" i="23" s="1"/>
  <c r="J1447" i="23"/>
  <c r="K1447" i="23" s="1"/>
  <c r="K1448" i="23"/>
  <c r="K1449" i="23"/>
  <c r="J1450" i="23"/>
  <c r="K1450" i="23" s="1"/>
  <c r="J1451" i="23"/>
  <c r="K1451" i="23" s="1"/>
  <c r="J1452" i="23"/>
  <c r="K1452" i="23" s="1"/>
  <c r="J1453" i="23"/>
  <c r="K1453" i="23" s="1"/>
  <c r="J1454" i="23"/>
  <c r="K1454" i="23" s="1"/>
  <c r="J1455" i="23"/>
  <c r="K1455" i="23" s="1"/>
  <c r="K1456" i="23"/>
  <c r="K1457" i="23"/>
  <c r="J1458" i="23"/>
  <c r="K1458" i="23" s="1"/>
  <c r="K1459" i="23"/>
  <c r="J1460" i="23"/>
  <c r="K1460" i="23" s="1"/>
  <c r="J1461" i="23"/>
  <c r="K1461" i="23" s="1"/>
  <c r="J1462" i="23"/>
  <c r="K1462" i="23" s="1"/>
  <c r="J1463" i="23"/>
  <c r="K1463" i="23" s="1"/>
  <c r="J1464" i="23"/>
  <c r="K1464" i="23" s="1"/>
  <c r="K1465" i="23"/>
  <c r="J1466" i="23"/>
  <c r="K1466" i="23" s="1"/>
  <c r="K1467" i="23"/>
  <c r="J1468" i="23"/>
  <c r="K1468" i="23" s="1"/>
  <c r="J1469" i="23"/>
  <c r="K1469" i="23" s="1"/>
  <c r="J1470" i="23"/>
  <c r="K1470" i="23" s="1"/>
  <c r="J1471" i="23"/>
  <c r="K1471" i="23" s="1"/>
  <c r="J1472" i="23"/>
  <c r="K1472" i="23" s="1"/>
  <c r="J1473" i="23"/>
  <c r="K1473" i="23" s="1"/>
  <c r="J1474" i="23"/>
  <c r="K1474" i="23" s="1"/>
  <c r="J1475" i="23"/>
  <c r="K1475" i="23" s="1"/>
  <c r="J1476" i="23"/>
  <c r="K1476" i="23" s="1"/>
  <c r="K1477" i="23"/>
  <c r="J1478" i="23"/>
  <c r="K1478" i="23" s="1"/>
  <c r="J1479" i="23"/>
  <c r="K1479" i="23" s="1"/>
  <c r="J1480" i="23"/>
  <c r="K1480" i="23" s="1"/>
  <c r="J1481" i="23"/>
  <c r="K1481" i="23" s="1"/>
  <c r="K1482" i="23"/>
  <c r="J1483" i="23"/>
  <c r="K1483" i="23" s="1"/>
  <c r="J1484" i="23"/>
  <c r="K1484" i="23" s="1"/>
  <c r="K1485" i="23"/>
  <c r="J1486" i="23"/>
  <c r="K1486" i="23" s="1"/>
  <c r="K1487" i="23"/>
  <c r="K1488" i="23"/>
  <c r="J1489" i="23"/>
  <c r="K1489" i="23" s="1"/>
  <c r="J1490" i="23"/>
  <c r="K1490" i="23" s="1"/>
  <c r="J1491" i="23"/>
  <c r="K1491" i="23" s="1"/>
  <c r="K1492" i="23"/>
  <c r="K1493" i="23"/>
  <c r="K1494" i="23"/>
  <c r="J1495" i="23"/>
  <c r="K1495" i="23" s="1"/>
  <c r="J1496" i="23"/>
  <c r="K1496" i="23" s="1"/>
  <c r="J1497" i="23"/>
  <c r="K1497" i="23" s="1"/>
  <c r="J1498" i="23"/>
  <c r="K1498" i="23" s="1"/>
  <c r="K1499" i="23"/>
  <c r="J1500" i="23"/>
  <c r="K1500" i="23" s="1"/>
  <c r="K1501" i="23"/>
  <c r="J1502" i="23"/>
  <c r="K1502" i="23" s="1"/>
  <c r="J1503" i="23"/>
  <c r="K1503" i="23" s="1"/>
  <c r="J1504" i="23"/>
  <c r="K1504" i="23" s="1"/>
  <c r="J1505" i="23"/>
  <c r="K1505" i="23" s="1"/>
  <c r="J1506" i="23"/>
  <c r="K1506" i="23" s="1"/>
  <c r="J1507" i="23"/>
  <c r="K1507" i="23" s="1"/>
  <c r="K1508" i="23"/>
  <c r="K1509" i="23"/>
  <c r="J1510" i="23"/>
  <c r="K1510" i="23" s="1"/>
  <c r="J1511" i="23"/>
  <c r="K1511" i="23" s="1"/>
  <c r="J1512" i="23"/>
  <c r="K1512" i="23" s="1"/>
  <c r="K1513" i="23"/>
  <c r="J1514" i="23"/>
  <c r="K1514" i="23" s="1"/>
  <c r="K1515" i="23"/>
  <c r="K1516" i="23"/>
  <c r="K1517" i="23"/>
  <c r="K1518" i="23"/>
  <c r="K1519" i="23"/>
  <c r="K1520" i="23"/>
  <c r="J1521" i="23"/>
  <c r="K1521" i="23" s="1"/>
  <c r="J1522" i="23"/>
  <c r="K1522" i="23" s="1"/>
  <c r="J1523" i="23"/>
  <c r="K1523" i="23" s="1"/>
  <c r="J1524" i="23"/>
  <c r="K1524" i="23" s="1"/>
  <c r="K1525" i="23"/>
  <c r="K1526" i="23"/>
  <c r="J1527" i="23"/>
  <c r="K1527" i="23" s="1"/>
  <c r="J1528" i="23"/>
  <c r="K1528" i="23" s="1"/>
  <c r="J1529" i="23"/>
  <c r="K1529" i="23" s="1"/>
  <c r="K1530" i="23"/>
  <c r="K1531" i="23"/>
  <c r="J1532" i="23"/>
  <c r="K1532" i="23" s="1"/>
  <c r="J1533" i="23"/>
  <c r="K1533" i="23" s="1"/>
  <c r="K1534" i="23"/>
  <c r="K1535" i="23"/>
  <c r="J1536" i="23"/>
  <c r="K1536" i="23" s="1"/>
  <c r="J1537" i="23"/>
  <c r="K1537" i="23" s="1"/>
  <c r="K1538" i="23"/>
  <c r="K1539" i="23"/>
  <c r="J1540" i="23"/>
  <c r="K1540" i="23" s="1"/>
  <c r="J1541" i="23"/>
  <c r="K1541" i="23" s="1"/>
  <c r="J1542" i="23"/>
  <c r="K1542" i="23" s="1"/>
  <c r="J1543" i="23"/>
  <c r="K1543" i="23" s="1"/>
  <c r="J1544" i="23"/>
  <c r="K1544" i="23" s="1"/>
  <c r="J1545" i="23"/>
  <c r="K1545" i="23" s="1"/>
  <c r="J1546" i="23"/>
  <c r="K1546" i="23" s="1"/>
  <c r="J1547" i="23"/>
  <c r="K1547" i="23" s="1"/>
  <c r="K1548" i="23"/>
  <c r="J1549" i="23"/>
  <c r="K1549" i="23" s="1"/>
  <c r="J1550" i="23"/>
  <c r="K1550" i="23" s="1"/>
  <c r="J1551" i="23"/>
  <c r="K1551" i="23" s="1"/>
  <c r="J1552" i="23"/>
  <c r="K1552" i="23" s="1"/>
  <c r="J1553" i="23"/>
  <c r="K1553" i="23" s="1"/>
  <c r="J1554" i="23"/>
  <c r="K1554" i="23" s="1"/>
  <c r="J1555" i="23"/>
  <c r="K1555" i="23" s="1"/>
  <c r="K1556" i="23"/>
  <c r="J1557" i="23"/>
  <c r="K1557" i="23" s="1"/>
  <c r="J1558" i="23"/>
  <c r="K1558" i="23" s="1"/>
  <c r="J1559" i="23"/>
  <c r="K1559" i="23" s="1"/>
  <c r="K1560" i="23"/>
  <c r="J1561" i="23"/>
  <c r="K1561" i="23" s="1"/>
  <c r="J1562" i="23"/>
  <c r="K1562" i="23" s="1"/>
  <c r="J1563" i="23"/>
  <c r="K1563" i="23" s="1"/>
  <c r="J1564" i="23"/>
  <c r="K1564" i="23" s="1"/>
  <c r="K1565" i="23"/>
  <c r="K1566" i="23"/>
  <c r="J1567" i="23"/>
  <c r="K1567" i="23" s="1"/>
  <c r="J1568" i="23"/>
  <c r="K1568" i="23" s="1"/>
  <c r="J1569" i="23"/>
  <c r="K1569" i="23" s="1"/>
  <c r="J1570" i="23"/>
  <c r="K1570" i="23" s="1"/>
  <c r="J1571" i="23"/>
  <c r="K1571" i="23" s="1"/>
  <c r="J1572" i="23"/>
  <c r="K1572" i="23" s="1"/>
  <c r="K1573" i="23"/>
  <c r="J1574" i="23"/>
  <c r="K1574" i="23" s="1"/>
  <c r="J1575" i="23"/>
  <c r="K1575" i="23" s="1"/>
  <c r="K1576" i="23"/>
  <c r="J1577" i="23"/>
  <c r="K1577" i="23" s="1"/>
  <c r="K1578" i="23"/>
  <c r="J1579" i="23"/>
  <c r="K1579" i="23" s="1"/>
  <c r="J1580" i="23"/>
  <c r="K1580" i="23" s="1"/>
  <c r="J1581" i="23"/>
  <c r="K1581" i="23" s="1"/>
  <c r="J1582" i="23"/>
  <c r="K1582" i="23" s="1"/>
  <c r="J1583" i="23"/>
  <c r="K1583" i="23" s="1"/>
  <c r="J1584" i="23"/>
  <c r="K1584" i="23" s="1"/>
  <c r="J1585" i="23"/>
  <c r="K1585" i="23" s="1"/>
  <c r="J1586" i="23"/>
  <c r="K1586" i="23" s="1"/>
  <c r="J1587" i="23"/>
  <c r="K1587" i="23" s="1"/>
  <c r="J1588" i="23"/>
  <c r="K1588" i="23" s="1"/>
  <c r="K1589" i="23"/>
  <c r="K1590" i="23"/>
  <c r="J1591" i="23"/>
  <c r="K1591" i="23" s="1"/>
  <c r="J1592" i="23"/>
  <c r="K1592" i="23" s="1"/>
  <c r="J1593" i="23"/>
  <c r="K1593" i="23" s="1"/>
  <c r="J1594" i="23"/>
  <c r="K1594" i="23" s="1"/>
  <c r="J1595" i="23"/>
  <c r="K1595" i="23" s="1"/>
  <c r="J1596" i="23"/>
  <c r="K1596" i="23" s="1"/>
  <c r="J1597" i="23"/>
  <c r="K1597" i="23" s="1"/>
  <c r="K1598" i="23"/>
  <c r="K1599" i="23"/>
  <c r="J1600" i="23"/>
  <c r="K1600" i="23" s="1"/>
  <c r="J1601" i="23"/>
  <c r="K1601" i="23" s="1"/>
  <c r="J1602" i="23"/>
  <c r="K1602" i="23" s="1"/>
  <c r="K1603" i="23"/>
  <c r="K1604" i="23"/>
  <c r="J1605" i="23"/>
  <c r="K1605" i="23" s="1"/>
  <c r="J1606" i="23"/>
  <c r="K1606" i="23" s="1"/>
  <c r="J1607" i="23"/>
  <c r="K1607" i="23" s="1"/>
  <c r="J1608" i="23"/>
  <c r="K1608" i="23" s="1"/>
  <c r="J1609" i="23"/>
  <c r="K1609" i="23" s="1"/>
  <c r="J1610" i="23"/>
  <c r="K1610" i="23" s="1"/>
  <c r="K1611" i="23"/>
  <c r="K1612" i="23"/>
  <c r="J1613" i="23"/>
  <c r="K1613" i="23" s="1"/>
  <c r="K1614" i="23"/>
  <c r="J1615" i="23"/>
  <c r="K1615" i="23" s="1"/>
  <c r="J1616" i="23"/>
  <c r="K1616" i="23" s="1"/>
  <c r="J1617" i="23"/>
  <c r="K1617" i="23" s="1"/>
  <c r="J1618" i="23"/>
  <c r="K1618" i="23" s="1"/>
  <c r="K1619" i="23"/>
  <c r="J1620" i="23"/>
  <c r="K1620" i="23" s="1"/>
  <c r="J1621" i="23"/>
  <c r="K1621" i="23" s="1"/>
  <c r="J1622" i="23"/>
  <c r="K1622" i="23" s="1"/>
  <c r="J1623" i="23"/>
  <c r="K1623" i="23" s="1"/>
  <c r="J1624" i="23"/>
  <c r="K1624" i="23" s="1"/>
  <c r="J1625" i="23"/>
  <c r="K1625" i="23" s="1"/>
  <c r="J1626" i="23"/>
  <c r="K1626" i="23" s="1"/>
  <c r="K1627" i="23"/>
  <c r="K1628" i="23"/>
  <c r="J1629" i="23"/>
  <c r="K1629" i="23" s="1"/>
  <c r="J1630" i="23"/>
  <c r="K1630" i="23" s="1"/>
  <c r="K1631" i="23"/>
  <c r="J1632" i="23"/>
  <c r="K1632" i="23" s="1"/>
  <c r="J1633" i="23"/>
  <c r="K1633" i="23" s="1"/>
  <c r="J1634" i="23"/>
  <c r="K1634" i="23" s="1"/>
  <c r="J1635" i="23"/>
  <c r="K1635" i="23" s="1"/>
  <c r="J1636" i="23"/>
  <c r="K1636" i="23" s="1"/>
  <c r="J1637" i="23"/>
  <c r="K1637" i="23" s="1"/>
  <c r="J1638" i="23"/>
  <c r="K1638" i="23" s="1"/>
  <c r="J1639" i="23"/>
  <c r="K1639" i="23" s="1"/>
  <c r="J1640" i="23"/>
  <c r="K1640" i="23" s="1"/>
  <c r="J1641" i="23"/>
  <c r="K1641" i="23" s="1"/>
  <c r="J1642" i="23"/>
  <c r="K1642" i="23" s="1"/>
  <c r="J1643" i="23"/>
  <c r="K1643" i="23" s="1"/>
  <c r="J1644" i="23"/>
  <c r="K1644" i="23" s="1"/>
  <c r="J1645" i="23"/>
  <c r="K1645" i="23" s="1"/>
  <c r="J1646" i="23"/>
  <c r="K1646" i="23" s="1"/>
  <c r="J1647" i="23"/>
  <c r="K1647" i="23" s="1"/>
  <c r="J1648" i="23"/>
  <c r="K1648" i="23" s="1"/>
  <c r="J1649" i="23"/>
  <c r="K1649" i="23" s="1"/>
  <c r="K1650" i="23"/>
  <c r="J1651" i="23"/>
  <c r="K1651" i="23" s="1"/>
  <c r="J1652" i="23"/>
  <c r="K1652" i="23" s="1"/>
  <c r="J1653" i="23"/>
  <c r="K1653" i="23" s="1"/>
  <c r="K1654" i="23"/>
  <c r="K1655" i="23"/>
  <c r="J1656" i="23"/>
  <c r="K1656" i="23" s="1"/>
  <c r="K1657" i="23"/>
  <c r="J1658" i="23"/>
  <c r="K1658" i="23" s="1"/>
  <c r="J1659" i="23"/>
  <c r="K1659" i="23" s="1"/>
  <c r="J1660" i="23"/>
  <c r="K1660" i="23" s="1"/>
  <c r="J1661" i="23"/>
  <c r="K1661" i="23" s="1"/>
  <c r="J1662" i="23"/>
  <c r="K1662" i="23" s="1"/>
  <c r="J1663" i="23"/>
  <c r="K1663" i="23" s="1"/>
  <c r="J1664" i="23"/>
  <c r="K1664" i="23" s="1"/>
  <c r="J1665" i="23"/>
  <c r="K1665" i="23" s="1"/>
  <c r="J1666" i="23"/>
  <c r="K1666" i="23" s="1"/>
  <c r="J1667" i="23"/>
  <c r="K1667" i="23" s="1"/>
  <c r="J1668" i="23"/>
  <c r="K1668" i="23" s="1"/>
  <c r="J1669" i="23"/>
  <c r="K1669" i="23" s="1"/>
  <c r="J1670" i="23"/>
  <c r="K1670" i="23" s="1"/>
  <c r="J1671" i="23"/>
  <c r="K1671" i="23" s="1"/>
  <c r="K1672" i="23"/>
  <c r="J1673" i="23"/>
  <c r="K1673" i="23" s="1"/>
  <c r="J1674" i="23"/>
  <c r="K1674" i="23" s="1"/>
  <c r="J1675" i="23"/>
  <c r="K1675" i="23" s="1"/>
  <c r="J1676" i="23"/>
  <c r="K1676" i="23" s="1"/>
  <c r="J1677" i="23"/>
  <c r="K1677" i="23" s="1"/>
  <c r="J1678" i="23"/>
  <c r="K1678" i="23" s="1"/>
  <c r="J1679" i="23"/>
  <c r="K1679" i="23" s="1"/>
  <c r="J1680" i="23"/>
  <c r="K1680" i="23" s="1"/>
  <c r="J1681" i="23"/>
  <c r="K1681" i="23" s="1"/>
  <c r="J1682" i="23"/>
  <c r="K1682" i="23" s="1"/>
  <c r="K1683" i="23"/>
  <c r="K1684" i="23"/>
  <c r="J1685" i="23"/>
  <c r="K1685" i="23" s="1"/>
  <c r="J1686" i="23"/>
  <c r="K1686" i="23" s="1"/>
  <c r="J1687" i="23"/>
  <c r="K1687" i="23" s="1"/>
  <c r="J1688" i="23"/>
  <c r="K1688" i="23" s="1"/>
  <c r="J1689" i="23"/>
  <c r="K1689" i="23" s="1"/>
  <c r="J1690" i="23"/>
  <c r="K1690" i="23" s="1"/>
  <c r="J1691" i="23"/>
  <c r="K1691" i="23" s="1"/>
  <c r="J1692" i="23"/>
  <c r="K1692" i="23" s="1"/>
  <c r="J1693" i="23"/>
  <c r="K1693" i="23" s="1"/>
  <c r="J1694" i="23"/>
  <c r="K1694" i="23" s="1"/>
  <c r="K1695" i="23"/>
  <c r="K1696" i="23"/>
  <c r="J1697" i="23"/>
  <c r="K1697" i="23" s="1"/>
  <c r="K1698" i="23"/>
  <c r="J1699" i="23"/>
  <c r="K1699" i="23" s="1"/>
  <c r="J1700" i="23"/>
  <c r="K1700" i="23" s="1"/>
  <c r="K1701" i="23"/>
  <c r="J1702" i="23"/>
  <c r="K1702" i="23" s="1"/>
  <c r="J1703" i="23"/>
  <c r="K1703" i="23" s="1"/>
  <c r="J1704" i="23"/>
  <c r="K1704" i="23" s="1"/>
  <c r="J1705" i="23"/>
  <c r="K1705" i="23" s="1"/>
  <c r="J1706" i="23"/>
  <c r="K1706" i="23" s="1"/>
  <c r="J1707" i="23"/>
  <c r="K1707" i="23" s="1"/>
  <c r="K1708" i="23"/>
  <c r="J1709" i="23"/>
  <c r="K1709" i="23" s="1"/>
  <c r="K1710" i="23"/>
  <c r="J1711" i="23"/>
  <c r="K1711" i="23" s="1"/>
  <c r="J1712" i="23"/>
  <c r="K1712" i="23" s="1"/>
  <c r="J1713" i="23"/>
  <c r="K1713" i="23" s="1"/>
  <c r="J1714" i="23"/>
  <c r="K1714" i="23" s="1"/>
  <c r="K1715" i="23"/>
  <c r="J1716" i="23"/>
  <c r="K1716" i="23" s="1"/>
  <c r="J1717" i="23"/>
  <c r="K1717" i="23" s="1"/>
  <c r="J1718" i="23"/>
  <c r="K1718" i="23" s="1"/>
  <c r="J1719" i="23"/>
  <c r="K1719" i="23" s="1"/>
  <c r="J1720" i="23"/>
  <c r="K1720" i="23" s="1"/>
  <c r="K1721" i="23"/>
  <c r="J1722" i="23"/>
  <c r="K1722" i="23" s="1"/>
  <c r="J1723" i="23"/>
  <c r="K1723" i="23" s="1"/>
  <c r="J1724" i="23"/>
  <c r="K1724" i="23" s="1"/>
  <c r="J1725" i="23"/>
  <c r="K1725" i="23" s="1"/>
  <c r="K1726" i="23"/>
  <c r="K1727" i="23"/>
  <c r="J1728" i="23"/>
  <c r="K1728" i="23" s="1"/>
  <c r="K1729" i="23"/>
  <c r="K1730" i="23"/>
  <c r="J1731" i="23"/>
  <c r="K1731" i="23" s="1"/>
  <c r="K1732" i="23"/>
  <c r="J1733" i="23"/>
  <c r="K1733" i="23" s="1"/>
  <c r="J1734" i="23"/>
  <c r="K1734" i="23" s="1"/>
  <c r="J1735" i="23"/>
  <c r="K1735" i="23" s="1"/>
  <c r="J1736" i="23"/>
  <c r="K1736" i="23" s="1"/>
  <c r="K1737" i="23"/>
  <c r="K1738" i="23"/>
  <c r="K1739" i="23"/>
  <c r="J1740" i="23"/>
  <c r="K1740" i="23" s="1"/>
  <c r="J1741" i="23"/>
  <c r="K1741" i="23" s="1"/>
  <c r="J1742" i="23"/>
  <c r="K1742" i="23" s="1"/>
  <c r="J1743" i="23"/>
  <c r="K1743" i="23" s="1"/>
  <c r="K1744" i="23"/>
  <c r="J1745" i="23"/>
  <c r="K1745" i="23" s="1"/>
  <c r="J1746" i="23"/>
  <c r="K1746" i="23" s="1"/>
  <c r="K1747" i="23"/>
  <c r="J1748" i="23"/>
  <c r="K1748" i="23" s="1"/>
  <c r="J1749" i="23"/>
  <c r="K1749" i="23" s="1"/>
  <c r="J1750" i="23"/>
  <c r="K1750" i="23" s="1"/>
  <c r="K1751" i="23"/>
  <c r="J1752" i="23"/>
  <c r="K1752" i="23" s="1"/>
  <c r="J1753" i="23"/>
  <c r="K1753" i="23" s="1"/>
  <c r="J1754" i="23"/>
  <c r="K1754" i="23" s="1"/>
  <c r="K1755" i="23"/>
  <c r="J1756" i="23"/>
  <c r="K1756" i="23" s="1"/>
  <c r="J1757" i="23"/>
  <c r="K1757" i="23" s="1"/>
  <c r="J1758" i="23"/>
  <c r="K1758" i="23" s="1"/>
  <c r="J1759" i="23"/>
  <c r="K1759" i="23" s="1"/>
  <c r="J1760" i="23"/>
  <c r="K1760" i="23" s="1"/>
  <c r="J1761" i="23"/>
  <c r="K1761" i="23" s="1"/>
  <c r="J1762" i="23"/>
  <c r="K1762" i="23" s="1"/>
  <c r="J1763" i="23"/>
  <c r="K1763" i="23" s="1"/>
  <c r="J1764" i="23"/>
  <c r="K1764" i="23" s="1"/>
  <c r="J1765" i="23"/>
  <c r="K1765" i="23" s="1"/>
  <c r="J1766" i="23"/>
  <c r="K1766" i="23" s="1"/>
  <c r="J1767" i="23"/>
  <c r="K1767" i="23" s="1"/>
  <c r="J1768" i="23"/>
  <c r="K1768" i="23" s="1"/>
  <c r="K1769" i="23"/>
  <c r="K1770" i="23"/>
  <c r="J1771" i="23"/>
  <c r="K1771" i="23" s="1"/>
  <c r="K1772" i="23"/>
  <c r="J1773" i="23"/>
  <c r="K1773" i="23" s="1"/>
  <c r="K1774" i="23"/>
  <c r="K1775" i="23"/>
  <c r="K1776" i="23"/>
  <c r="J1777" i="23"/>
  <c r="K1777" i="23" s="1"/>
  <c r="J1778" i="23"/>
  <c r="K1778" i="23" s="1"/>
  <c r="K1779" i="23"/>
  <c r="K1780" i="23"/>
  <c r="J1781" i="23"/>
  <c r="K1781" i="23" s="1"/>
  <c r="J1782" i="23"/>
  <c r="K1782" i="23" s="1"/>
  <c r="K1783" i="23"/>
  <c r="J1784" i="23"/>
  <c r="K1784" i="23" s="1"/>
  <c r="J1785" i="23"/>
  <c r="K1785" i="23" s="1"/>
  <c r="J1786" i="23"/>
  <c r="K1786" i="23" s="1"/>
  <c r="J1787" i="23"/>
  <c r="K1787" i="23" s="1"/>
  <c r="K1788" i="23"/>
  <c r="J1789" i="23"/>
  <c r="K1789" i="23" s="1"/>
  <c r="J1790" i="23"/>
  <c r="K1790" i="23" s="1"/>
  <c r="K1791" i="23"/>
  <c r="J1792" i="23"/>
  <c r="K1792" i="23" s="1"/>
  <c r="J1793" i="23"/>
  <c r="K1793" i="23" s="1"/>
  <c r="J1794" i="23"/>
  <c r="K1794" i="23" s="1"/>
  <c r="J1795" i="23"/>
  <c r="K1795" i="23" s="1"/>
  <c r="K1796" i="23"/>
  <c r="J1797" i="23"/>
  <c r="K1797" i="23" s="1"/>
  <c r="J1798" i="23"/>
  <c r="K1798" i="23" s="1"/>
  <c r="J1799" i="23"/>
  <c r="K1799" i="23" s="1"/>
  <c r="J1800" i="23"/>
  <c r="K1800" i="23" s="1"/>
  <c r="J1801" i="23"/>
  <c r="K1801" i="23" s="1"/>
  <c r="J1802" i="23"/>
  <c r="K1802" i="23" s="1"/>
  <c r="J1803" i="23"/>
  <c r="K1803" i="23" s="1"/>
  <c r="J1804" i="23"/>
  <c r="K1804" i="23" s="1"/>
  <c r="K1805" i="23"/>
  <c r="K1806" i="23"/>
  <c r="K1807" i="23"/>
  <c r="J1808" i="23"/>
  <c r="K1808" i="23" s="1"/>
  <c r="J1809" i="23"/>
  <c r="K1809" i="23" s="1"/>
  <c r="J1810" i="23"/>
  <c r="K1810" i="23" s="1"/>
  <c r="J1811" i="23"/>
  <c r="K1811" i="23" s="1"/>
  <c r="J1812" i="23"/>
  <c r="K1812" i="23" s="1"/>
  <c r="J1813" i="23"/>
  <c r="K1813" i="23" s="1"/>
  <c r="J1814" i="23"/>
  <c r="K1814" i="23" s="1"/>
  <c r="K1815" i="23"/>
  <c r="K1816" i="23"/>
  <c r="J1817" i="23"/>
  <c r="K1817" i="23" s="1"/>
  <c r="K1818" i="23"/>
  <c r="K1819" i="23"/>
  <c r="K1820" i="23"/>
  <c r="J1821" i="23"/>
  <c r="K1821" i="23" s="1"/>
  <c r="J1822" i="23"/>
  <c r="K1822" i="23" s="1"/>
  <c r="J1823" i="23"/>
  <c r="K1823" i="23" s="1"/>
  <c r="J1824" i="23"/>
  <c r="K1824" i="23" s="1"/>
  <c r="J1825" i="23"/>
  <c r="K1825" i="23" s="1"/>
  <c r="J1826" i="23"/>
  <c r="K1826" i="23" s="1"/>
  <c r="J1827" i="23"/>
  <c r="K1827" i="23" s="1"/>
  <c r="J1828" i="23"/>
  <c r="K1828" i="23" s="1"/>
  <c r="J1829" i="23"/>
  <c r="K1829" i="23" s="1"/>
  <c r="J1830" i="23"/>
  <c r="K1830" i="23" s="1"/>
  <c r="J1831" i="23"/>
  <c r="K1831" i="23" s="1"/>
  <c r="J1832" i="23"/>
  <c r="K1832" i="23" s="1"/>
  <c r="J1833" i="23"/>
  <c r="K1833" i="23" s="1"/>
  <c r="J1834" i="23"/>
  <c r="K1834" i="23" s="1"/>
  <c r="J1835" i="23"/>
  <c r="K1835" i="23" s="1"/>
  <c r="J1836" i="23"/>
  <c r="K1836" i="23" s="1"/>
  <c r="K1837" i="23"/>
  <c r="J1838" i="23"/>
  <c r="K1838" i="23" s="1"/>
  <c r="K1839" i="23"/>
  <c r="J1840" i="23"/>
  <c r="K1840" i="23" s="1"/>
  <c r="K1841" i="23"/>
  <c r="J1842" i="23"/>
  <c r="K1842" i="23" s="1"/>
  <c r="J1843" i="23"/>
  <c r="K1843" i="23" s="1"/>
  <c r="K1844" i="23"/>
  <c r="J1845" i="23"/>
  <c r="K1845" i="23" s="1"/>
  <c r="J1846" i="23"/>
  <c r="K1846" i="23" s="1"/>
  <c r="J1847" i="23"/>
  <c r="K1847" i="23" s="1"/>
  <c r="J1848" i="23"/>
  <c r="K1848" i="23" s="1"/>
  <c r="J1849" i="23"/>
  <c r="K1849" i="23" s="1"/>
  <c r="J1850" i="23"/>
  <c r="K1850" i="23" s="1"/>
  <c r="J1851" i="23"/>
  <c r="K1851" i="23" s="1"/>
  <c r="J1852" i="23"/>
  <c r="K1852" i="23" s="1"/>
  <c r="J1853" i="23"/>
  <c r="K1853" i="23" s="1"/>
  <c r="J1854" i="23"/>
  <c r="K1854" i="23" s="1"/>
  <c r="J1855" i="23"/>
  <c r="K1855" i="23" s="1"/>
  <c r="J1856" i="23"/>
  <c r="K1856" i="23" s="1"/>
  <c r="K1857" i="23"/>
  <c r="J1858" i="23"/>
  <c r="K1858" i="23" s="1"/>
  <c r="J1859" i="23"/>
  <c r="K1859" i="23" s="1"/>
  <c r="J1860" i="23"/>
  <c r="K1860" i="23" s="1"/>
  <c r="J1861" i="23"/>
  <c r="K1861" i="23" s="1"/>
  <c r="J1862" i="23"/>
  <c r="K1862" i="23" s="1"/>
  <c r="J1863" i="23"/>
  <c r="K1863" i="23" s="1"/>
  <c r="J1864" i="23"/>
  <c r="K1864" i="23" s="1"/>
  <c r="J1865" i="23"/>
  <c r="K1865" i="23" s="1"/>
  <c r="J1866" i="23"/>
  <c r="K1866" i="23" s="1"/>
  <c r="K1867" i="23"/>
  <c r="J1868" i="23"/>
  <c r="K1868" i="23" s="1"/>
  <c r="J1869" i="23"/>
  <c r="K1869" i="23" s="1"/>
  <c r="J1870" i="23"/>
  <c r="K1870" i="23" s="1"/>
  <c r="J1871" i="23"/>
  <c r="K1871" i="23" s="1"/>
  <c r="J1872" i="23"/>
  <c r="K1872" i="23" s="1"/>
  <c r="J1873" i="23"/>
  <c r="K1873" i="23" s="1"/>
  <c r="K1874" i="23"/>
  <c r="J1875" i="23"/>
  <c r="K1875" i="23" s="1"/>
  <c r="J1876" i="23"/>
  <c r="K1876" i="23" s="1"/>
  <c r="J1877" i="23"/>
  <c r="K1877" i="23" s="1"/>
  <c r="J1878" i="23"/>
  <c r="K1878" i="23" s="1"/>
  <c r="J1879" i="23"/>
  <c r="K1879" i="23" s="1"/>
  <c r="J1880" i="23"/>
  <c r="K1880" i="23" s="1"/>
  <c r="J1881" i="23"/>
  <c r="K1881" i="23" s="1"/>
  <c r="K1882" i="23"/>
  <c r="J1883" i="23"/>
  <c r="K1883" i="23" s="1"/>
  <c r="J1884" i="23"/>
  <c r="K1884" i="23" s="1"/>
  <c r="J1885" i="23"/>
  <c r="K1885" i="23" s="1"/>
  <c r="J1886" i="23"/>
  <c r="K1886" i="23" s="1"/>
  <c r="J1887" i="23"/>
  <c r="K1887" i="23" s="1"/>
  <c r="J1888" i="23"/>
  <c r="K1888" i="23" s="1"/>
  <c r="J1889" i="23"/>
  <c r="K1889" i="23" s="1"/>
  <c r="J1890" i="23"/>
  <c r="K1890" i="23" s="1"/>
  <c r="J1891" i="23"/>
  <c r="K1891" i="23" s="1"/>
  <c r="J1892" i="23"/>
  <c r="K1892" i="23" s="1"/>
  <c r="J1893" i="23"/>
  <c r="K1893" i="23" s="1"/>
  <c r="J1894" i="23"/>
  <c r="K1894" i="23" s="1"/>
  <c r="J1895" i="23"/>
  <c r="K1895" i="23" s="1"/>
  <c r="K1896" i="23"/>
  <c r="J1897" i="23"/>
  <c r="K1897" i="23" s="1"/>
  <c r="J1898" i="23"/>
  <c r="K1898" i="23" s="1"/>
  <c r="J1899" i="23"/>
  <c r="K1899" i="23" s="1"/>
  <c r="J1900" i="23"/>
  <c r="K1900" i="23" s="1"/>
  <c r="K1901" i="23"/>
  <c r="J1902" i="23"/>
  <c r="K1902" i="23" s="1"/>
  <c r="J1903" i="23"/>
  <c r="K1903" i="23" s="1"/>
  <c r="J1904" i="23"/>
  <c r="K1904" i="23" s="1"/>
  <c r="J1905" i="23"/>
  <c r="K1905" i="23" s="1"/>
  <c r="J1906" i="23"/>
  <c r="K1906" i="23" s="1"/>
  <c r="J1907" i="23"/>
  <c r="K1907" i="23" s="1"/>
  <c r="J1908" i="23"/>
  <c r="K1908" i="23" s="1"/>
  <c r="J1909" i="23"/>
  <c r="K1909" i="23" s="1"/>
  <c r="J1910" i="23"/>
  <c r="K1910" i="23" s="1"/>
  <c r="J1911" i="23"/>
  <c r="K1911" i="23" s="1"/>
  <c r="J1912" i="23"/>
  <c r="K1912" i="23" s="1"/>
  <c r="K1913" i="23"/>
  <c r="J1914" i="23"/>
  <c r="K1914" i="23" s="1"/>
  <c r="J1915" i="23"/>
  <c r="K1915" i="23" s="1"/>
  <c r="J1916" i="23"/>
  <c r="K1916" i="23" s="1"/>
  <c r="J1917" i="23"/>
  <c r="K1917" i="23" s="1"/>
  <c r="J1918" i="23"/>
  <c r="K1918" i="23" s="1"/>
  <c r="K1919" i="23"/>
  <c r="K1920" i="23"/>
  <c r="K1921" i="23"/>
  <c r="J1922" i="23"/>
  <c r="K1922" i="23" s="1"/>
  <c r="J1923" i="23"/>
  <c r="K1923" i="23" s="1"/>
  <c r="J1924" i="23"/>
  <c r="K1924" i="23" s="1"/>
  <c r="J1925" i="23"/>
  <c r="K1925" i="23" s="1"/>
  <c r="J1926" i="23"/>
  <c r="K1926" i="23" s="1"/>
  <c r="J1927" i="23"/>
  <c r="K1927" i="23" s="1"/>
  <c r="K1928" i="23"/>
  <c r="J1929" i="23"/>
  <c r="K1929" i="23" s="1"/>
  <c r="J1930" i="23"/>
  <c r="K1930" i="23" s="1"/>
  <c r="J1931" i="23"/>
  <c r="K1931" i="23" s="1"/>
  <c r="J1932" i="23"/>
  <c r="K1932" i="23" s="1"/>
  <c r="J1933" i="23"/>
  <c r="K1933" i="23" s="1"/>
  <c r="J1934" i="23"/>
  <c r="K1934" i="23" s="1"/>
  <c r="K1935" i="23"/>
  <c r="J1936" i="23"/>
  <c r="K1936" i="23" s="1"/>
  <c r="J1937" i="23"/>
  <c r="K1937" i="23" s="1"/>
  <c r="J1938" i="23"/>
  <c r="K1938" i="23" s="1"/>
  <c r="J1939" i="23"/>
  <c r="K1939" i="23" s="1"/>
  <c r="J1940" i="23"/>
  <c r="K1940" i="23" s="1"/>
  <c r="J1941" i="23"/>
  <c r="K1941" i="23" s="1"/>
  <c r="J1942" i="23"/>
  <c r="K1942" i="23" s="1"/>
  <c r="J1943" i="23"/>
  <c r="K1943" i="23" s="1"/>
  <c r="J1944" i="23"/>
  <c r="K1944" i="23" s="1"/>
  <c r="J1945" i="23"/>
  <c r="K1945" i="23" s="1"/>
  <c r="J1946" i="23"/>
  <c r="K1946" i="23" s="1"/>
  <c r="J1947" i="23"/>
  <c r="K1947" i="23" s="1"/>
  <c r="J1948" i="23"/>
  <c r="K1948" i="23" s="1"/>
  <c r="J1949" i="23"/>
  <c r="K1949" i="23" s="1"/>
  <c r="J1950" i="23"/>
  <c r="K1950" i="23" s="1"/>
  <c r="J1951" i="23"/>
  <c r="K1951" i="23" s="1"/>
  <c r="J1952" i="23"/>
  <c r="K1952" i="23" s="1"/>
  <c r="J1953" i="23"/>
  <c r="K1953" i="23" s="1"/>
  <c r="J1954" i="23"/>
  <c r="K1954" i="23" s="1"/>
  <c r="J1955" i="23"/>
  <c r="K1955" i="23" s="1"/>
  <c r="J1956" i="23"/>
  <c r="K1956" i="23" s="1"/>
  <c r="J1957" i="23"/>
  <c r="K1957" i="23" s="1"/>
  <c r="J1958" i="23"/>
  <c r="K1958" i="23" s="1"/>
  <c r="K1959" i="23"/>
  <c r="K1960" i="23"/>
  <c r="K1961" i="23"/>
  <c r="J1962" i="23"/>
  <c r="K1962" i="23" s="1"/>
  <c r="J1963" i="23"/>
  <c r="K1963" i="23" s="1"/>
  <c r="J1964" i="23"/>
  <c r="K1964" i="23" s="1"/>
  <c r="J1965" i="23"/>
  <c r="K1965" i="23" s="1"/>
  <c r="J1966" i="23"/>
  <c r="K1966" i="23" s="1"/>
  <c r="J1967" i="23"/>
  <c r="K1967" i="23" s="1"/>
  <c r="J1968" i="23"/>
  <c r="K1968" i="23" s="1"/>
  <c r="J1969" i="23"/>
  <c r="K1969" i="23" s="1"/>
  <c r="J1970" i="23"/>
  <c r="K1970" i="23" s="1"/>
  <c r="J1971" i="23"/>
  <c r="K1971" i="23" s="1"/>
  <c r="J1972" i="23"/>
  <c r="K1972" i="23" s="1"/>
  <c r="J1973" i="23"/>
  <c r="K1973" i="23" s="1"/>
  <c r="J1974" i="23"/>
  <c r="K1974" i="23" s="1"/>
  <c r="J1975" i="23"/>
  <c r="K1975" i="23" s="1"/>
  <c r="J1976" i="23"/>
  <c r="K1976" i="23" s="1"/>
  <c r="J1977" i="23"/>
  <c r="K1977" i="23" s="1"/>
  <c r="K1978" i="23"/>
  <c r="K1979" i="23"/>
  <c r="J1980" i="23"/>
  <c r="K1980" i="23" s="1"/>
  <c r="K1981" i="23"/>
  <c r="J1982" i="23"/>
  <c r="K1982" i="23" s="1"/>
  <c r="J1983" i="23"/>
  <c r="K1983" i="23" s="1"/>
  <c r="K1984" i="23"/>
  <c r="K1985" i="23"/>
  <c r="J1986" i="23"/>
  <c r="K1986" i="23" s="1"/>
  <c r="J1987" i="23"/>
  <c r="K1987" i="23" s="1"/>
  <c r="J1988" i="23"/>
  <c r="K1988" i="23" s="1"/>
  <c r="J1989" i="23"/>
  <c r="K1989" i="23" s="1"/>
  <c r="J1990" i="23"/>
  <c r="K1990" i="23" s="1"/>
  <c r="J1991" i="23"/>
  <c r="K1991" i="23" s="1"/>
  <c r="J1992" i="23"/>
  <c r="K1992" i="23" s="1"/>
  <c r="J1993" i="23"/>
  <c r="K1993" i="23" s="1"/>
  <c r="J1994" i="23"/>
  <c r="K1994" i="23" s="1"/>
  <c r="J1995" i="23"/>
  <c r="K1995" i="23" s="1"/>
  <c r="J1996" i="23"/>
  <c r="K1996" i="23" s="1"/>
  <c r="K1997" i="23"/>
  <c r="J1998" i="23"/>
  <c r="K1998" i="23" s="1"/>
  <c r="J1999" i="23"/>
  <c r="K1999" i="23" s="1"/>
  <c r="J2000" i="23"/>
  <c r="K2000" i="23" s="1"/>
  <c r="J2001" i="23"/>
  <c r="K2001" i="23" s="1"/>
  <c r="J2002" i="23"/>
  <c r="K2002" i="23" s="1"/>
  <c r="J2003" i="23"/>
  <c r="K2003" i="23" s="1"/>
  <c r="J2004" i="23"/>
  <c r="K2004" i="23" s="1"/>
  <c r="J2005" i="23"/>
  <c r="K2005" i="23" s="1"/>
  <c r="J2006" i="23"/>
  <c r="K2006" i="23" s="1"/>
  <c r="J2007" i="23"/>
  <c r="K2007" i="23" s="1"/>
  <c r="J2008" i="23"/>
  <c r="K2008" i="23" s="1"/>
  <c r="J2009" i="23"/>
  <c r="K2009" i="23" s="1"/>
  <c r="J2010" i="23"/>
  <c r="K2010" i="23" s="1"/>
  <c r="J2011" i="23"/>
  <c r="K2011" i="23" s="1"/>
  <c r="K2012" i="23"/>
  <c r="J2013" i="23"/>
  <c r="K2013" i="23" s="1"/>
  <c r="J2014" i="23"/>
  <c r="K2014" i="23" s="1"/>
  <c r="J2015" i="23"/>
  <c r="K2015" i="23" s="1"/>
  <c r="J2016" i="23"/>
  <c r="K2016" i="23" s="1"/>
  <c r="J2017" i="23"/>
  <c r="K2017" i="23" s="1"/>
  <c r="J2018" i="23"/>
  <c r="K2018" i="23" s="1"/>
  <c r="J2019" i="23"/>
  <c r="K2019" i="23" s="1"/>
  <c r="J2020" i="23"/>
  <c r="K2020" i="23" s="1"/>
  <c r="J2021" i="23"/>
  <c r="K2021" i="23" s="1"/>
  <c r="K2022" i="23"/>
  <c r="J2023" i="23"/>
  <c r="K2023" i="23" s="1"/>
  <c r="J2024" i="23"/>
  <c r="K2024" i="23" s="1"/>
  <c r="J2025" i="23"/>
  <c r="K2025" i="23" s="1"/>
  <c r="J2026" i="23"/>
  <c r="K2026" i="23" s="1"/>
  <c r="J2027" i="23"/>
  <c r="K2027" i="23" s="1"/>
  <c r="J2028" i="23"/>
  <c r="K2028" i="23" s="1"/>
  <c r="J2029" i="23"/>
  <c r="K2029" i="23" s="1"/>
  <c r="J2030" i="23"/>
  <c r="K2030" i="23" s="1"/>
  <c r="K2031" i="23"/>
  <c r="J2032" i="23"/>
  <c r="K2032" i="23" s="1"/>
  <c r="J2033" i="23"/>
  <c r="K2033" i="23" s="1"/>
  <c r="J2034" i="23"/>
  <c r="K2034" i="23" s="1"/>
  <c r="K2035" i="23"/>
  <c r="J2036" i="23"/>
  <c r="K2036" i="23" s="1"/>
  <c r="J2037" i="23"/>
  <c r="K2037" i="23" s="1"/>
  <c r="J2038" i="23"/>
  <c r="K2038" i="23" s="1"/>
  <c r="J2039" i="23"/>
  <c r="K2039" i="23" s="1"/>
  <c r="J2040" i="23"/>
  <c r="K2040" i="23" s="1"/>
  <c r="J2041" i="23"/>
  <c r="K2041" i="23" s="1"/>
  <c r="K2042" i="23"/>
  <c r="J2043" i="23"/>
  <c r="K2043" i="23" s="1"/>
  <c r="J2044" i="23"/>
  <c r="K2044" i="23" s="1"/>
  <c r="J2045" i="23"/>
  <c r="K2045" i="23" s="1"/>
  <c r="J2046" i="23"/>
  <c r="K2046" i="23" s="1"/>
  <c r="J2047" i="23"/>
  <c r="K2047" i="23" s="1"/>
  <c r="J2048" i="23"/>
  <c r="K2048" i="23" s="1"/>
  <c r="J2049" i="23"/>
  <c r="K2049" i="23" s="1"/>
  <c r="J2050" i="23"/>
  <c r="K2050" i="23" s="1"/>
  <c r="K2051" i="23"/>
  <c r="K2052" i="23"/>
  <c r="K2053" i="23"/>
  <c r="J2054" i="23"/>
  <c r="K2054" i="23" s="1"/>
  <c r="J2055" i="23"/>
  <c r="K2055" i="23" s="1"/>
  <c r="J2056" i="23"/>
  <c r="K2056" i="23" s="1"/>
  <c r="K2057" i="23"/>
  <c r="J2058" i="23"/>
  <c r="K2058" i="23" s="1"/>
  <c r="J2059" i="23"/>
  <c r="K2059" i="23" s="1"/>
  <c r="J2060" i="23"/>
  <c r="K2060" i="23" s="1"/>
  <c r="J2061" i="23"/>
  <c r="K2061" i="23" s="1"/>
  <c r="J2062" i="23"/>
  <c r="K2062" i="23" s="1"/>
  <c r="J2063" i="23"/>
  <c r="K2063" i="23" s="1"/>
  <c r="J2064" i="23"/>
  <c r="K2064" i="23" s="1"/>
  <c r="J2065" i="23"/>
  <c r="K2065" i="23" s="1"/>
  <c r="J2066" i="23"/>
  <c r="K2066" i="23" s="1"/>
  <c r="J2067" i="23"/>
  <c r="K2067" i="23" s="1"/>
  <c r="J2068" i="23"/>
  <c r="K2068" i="23" s="1"/>
  <c r="J2069" i="23"/>
  <c r="K2069" i="23" s="1"/>
  <c r="J2070" i="23"/>
  <c r="K2070" i="23" s="1"/>
  <c r="J2071" i="23"/>
  <c r="K2071" i="23" s="1"/>
  <c r="J2072" i="23"/>
  <c r="K2072" i="23" s="1"/>
  <c r="J2073" i="23"/>
  <c r="K2073" i="23" s="1"/>
  <c r="J2074" i="23"/>
  <c r="K2074" i="23" s="1"/>
  <c r="J2075" i="23"/>
  <c r="K2075" i="23" s="1"/>
  <c r="K2076" i="23"/>
  <c r="J2077" i="23"/>
  <c r="K2077" i="23" s="1"/>
  <c r="J2078" i="23"/>
  <c r="K2078" i="23" s="1"/>
  <c r="J2079" i="23"/>
  <c r="K2079" i="23" s="1"/>
  <c r="J2080" i="23"/>
  <c r="K2080" i="23" s="1"/>
  <c r="J2081" i="23"/>
  <c r="K2081" i="23" s="1"/>
  <c r="J2082" i="23"/>
  <c r="K2082" i="23" s="1"/>
  <c r="K2083" i="23"/>
  <c r="J2084" i="23"/>
  <c r="K2084" i="23" s="1"/>
  <c r="J2085" i="23"/>
  <c r="K2085" i="23" s="1"/>
  <c r="J2086" i="23"/>
  <c r="K2086" i="23" s="1"/>
  <c r="J2087" i="23"/>
  <c r="K2087" i="23" s="1"/>
  <c r="J2088" i="23"/>
  <c r="K2088" i="23" s="1"/>
  <c r="J2089" i="23"/>
  <c r="K2089" i="23" s="1"/>
  <c r="J2090" i="23"/>
  <c r="K2090" i="23" s="1"/>
  <c r="J2091" i="23"/>
  <c r="K2091" i="23" s="1"/>
  <c r="J2092" i="23"/>
  <c r="K2092" i="23" s="1"/>
  <c r="J2093" i="23"/>
  <c r="K2093" i="23" s="1"/>
  <c r="K2094" i="23"/>
  <c r="K2095" i="23"/>
  <c r="K2096" i="23"/>
  <c r="K2097" i="23"/>
  <c r="J2098" i="23"/>
  <c r="K2098" i="23" s="1"/>
  <c r="J2099" i="23"/>
  <c r="K2099" i="23" s="1"/>
  <c r="J2100" i="23"/>
  <c r="K2100" i="23" s="1"/>
  <c r="J2101" i="23"/>
  <c r="K2101" i="23" s="1"/>
  <c r="J2102" i="23"/>
  <c r="K2102" i="23" s="1"/>
  <c r="J2103" i="23"/>
  <c r="K2103" i="23" s="1"/>
  <c r="J2104" i="23"/>
  <c r="K2104" i="23" s="1"/>
  <c r="J2105" i="23"/>
  <c r="K2105" i="23" s="1"/>
  <c r="J2106" i="23"/>
  <c r="K2106" i="23" s="1"/>
  <c r="K2107" i="23"/>
  <c r="J2108" i="23"/>
  <c r="K2108" i="23" s="1"/>
  <c r="K2109" i="23"/>
  <c r="J2110" i="23"/>
  <c r="K2110" i="23" s="1"/>
  <c r="J2111" i="23"/>
  <c r="K2111" i="23" s="1"/>
  <c r="J2112" i="23"/>
  <c r="K2112" i="23" s="1"/>
  <c r="K2113" i="23"/>
  <c r="J2114" i="23"/>
  <c r="K2114" i="23" s="1"/>
  <c r="K2115" i="23"/>
  <c r="J2116" i="23"/>
  <c r="K2116" i="23" s="1"/>
  <c r="K2117" i="23"/>
  <c r="K2118" i="23"/>
  <c r="K2119" i="23"/>
  <c r="J2120" i="23"/>
  <c r="K2120" i="23" s="1"/>
  <c r="K2121" i="23"/>
  <c r="J2122" i="23"/>
  <c r="K2122" i="23" s="1"/>
  <c r="J2123" i="23"/>
  <c r="K2123" i="23" s="1"/>
  <c r="J2124" i="23"/>
  <c r="K2124" i="23" s="1"/>
  <c r="J2125" i="23"/>
  <c r="K2125" i="23" s="1"/>
  <c r="J2126" i="23"/>
  <c r="K2126" i="23" s="1"/>
  <c r="J2127" i="23"/>
  <c r="K2127" i="23" s="1"/>
  <c r="J2128" i="23"/>
  <c r="K2128" i="23" s="1"/>
  <c r="J2129" i="23"/>
  <c r="K2129" i="23" s="1"/>
  <c r="J2130" i="23"/>
  <c r="K2130" i="23" s="1"/>
  <c r="J2131" i="23"/>
  <c r="K2131" i="23" s="1"/>
  <c r="K2132" i="23"/>
  <c r="J2133" i="23"/>
  <c r="K2133" i="23" s="1"/>
  <c r="J2134" i="23"/>
  <c r="K2134" i="23" s="1"/>
  <c r="K2135" i="23"/>
  <c r="J2136" i="23"/>
  <c r="K2136" i="23" s="1"/>
  <c r="J2137" i="23"/>
  <c r="K2137" i="23" s="1"/>
  <c r="J2138" i="23"/>
  <c r="K2138" i="23" s="1"/>
  <c r="J2139" i="23"/>
  <c r="K2139" i="23" s="1"/>
  <c r="J2140" i="23"/>
  <c r="K2140" i="23" s="1"/>
  <c r="J2141" i="23"/>
  <c r="K2141" i="23" s="1"/>
  <c r="K2142" i="23"/>
  <c r="J2143" i="23"/>
  <c r="K2143" i="23" s="1"/>
  <c r="J2144" i="23"/>
  <c r="K2144" i="23" s="1"/>
  <c r="K2145" i="23"/>
  <c r="K2146" i="23"/>
  <c r="J2147" i="23"/>
  <c r="K2147" i="23" s="1"/>
  <c r="K2148" i="23"/>
  <c r="J2149" i="23"/>
  <c r="K2149" i="23" s="1"/>
  <c r="J2150" i="23"/>
  <c r="K2150" i="23" s="1"/>
  <c r="J2151" i="23"/>
  <c r="K2151" i="23" s="1"/>
  <c r="J2152" i="23"/>
  <c r="K2152" i="23" s="1"/>
  <c r="J2153" i="23"/>
  <c r="K2153" i="23" s="1"/>
  <c r="J2154" i="23"/>
  <c r="K2154" i="23" s="1"/>
  <c r="J2155" i="23"/>
  <c r="K2155" i="23" s="1"/>
  <c r="J2156" i="23"/>
  <c r="K2156" i="23" s="1"/>
  <c r="J2157" i="23"/>
  <c r="K2157" i="23" s="1"/>
  <c r="J2158" i="23"/>
  <c r="K2158" i="23" s="1"/>
  <c r="J2159" i="23"/>
  <c r="K2159" i="23" s="1"/>
  <c r="J2160" i="23"/>
  <c r="K2160" i="23" s="1"/>
  <c r="J2161" i="23"/>
  <c r="K2161" i="23" s="1"/>
  <c r="J2162" i="23"/>
  <c r="K2162" i="23" s="1"/>
  <c r="J2163" i="23"/>
  <c r="K2163" i="23" s="1"/>
  <c r="J2164" i="23"/>
  <c r="K2164" i="23" s="1"/>
  <c r="J2165" i="23"/>
  <c r="K2165" i="23" s="1"/>
  <c r="K2166" i="23"/>
  <c r="J2167" i="23"/>
  <c r="K2167" i="23" s="1"/>
  <c r="J2168" i="23"/>
  <c r="K2168" i="23" s="1"/>
  <c r="J2169" i="23"/>
  <c r="K2169" i="23" s="1"/>
  <c r="J2170" i="23"/>
  <c r="K2170" i="23" s="1"/>
  <c r="J2171" i="23"/>
  <c r="K2171" i="23" s="1"/>
  <c r="J2172" i="23"/>
  <c r="K2172" i="23" s="1"/>
  <c r="J2173" i="23"/>
  <c r="K2173" i="23" s="1"/>
  <c r="J2174" i="23"/>
  <c r="K2174" i="23" s="1"/>
  <c r="J2175" i="23"/>
  <c r="K2175" i="23" s="1"/>
  <c r="J2176" i="23"/>
  <c r="K2176" i="23" s="1"/>
  <c r="J2177" i="23"/>
  <c r="K2177" i="23" s="1"/>
  <c r="J2178" i="23"/>
  <c r="K2178" i="23" s="1"/>
  <c r="J2179" i="23"/>
  <c r="K2179" i="23" s="1"/>
  <c r="J2180" i="23"/>
  <c r="K2180" i="23" s="1"/>
  <c r="K2181" i="23"/>
  <c r="K2182" i="23"/>
  <c r="J2183" i="23"/>
  <c r="K2183" i="23" s="1"/>
  <c r="K2184" i="23"/>
  <c r="J2185" i="23"/>
  <c r="K2185" i="23" s="1"/>
  <c r="J2186" i="23"/>
  <c r="K2186" i="23" s="1"/>
  <c r="J2187" i="23"/>
  <c r="K2187" i="23" s="1"/>
  <c r="K2188" i="23"/>
  <c r="K2189" i="23"/>
  <c r="K2190" i="23"/>
  <c r="K2191" i="23"/>
  <c r="J2192" i="23"/>
  <c r="K2192" i="23" s="1"/>
  <c r="K2193" i="23"/>
  <c r="J2194" i="23"/>
  <c r="K2194" i="23" s="1"/>
  <c r="J2195" i="23"/>
  <c r="K2195" i="23" s="1"/>
  <c r="J2196" i="23"/>
  <c r="K2196" i="23" s="1"/>
  <c r="K2197" i="23"/>
  <c r="J2198" i="23"/>
  <c r="K2198" i="23" s="1"/>
  <c r="J2199" i="23"/>
  <c r="K2199" i="23" s="1"/>
  <c r="K2200" i="23"/>
  <c r="J2201" i="23"/>
  <c r="K2201" i="23" s="1"/>
  <c r="J2202" i="23"/>
  <c r="K2202" i="23" s="1"/>
  <c r="J2203" i="23"/>
  <c r="K2203" i="23" s="1"/>
  <c r="J2204" i="23"/>
  <c r="K2204" i="23" s="1"/>
  <c r="J2205" i="23"/>
  <c r="K2205" i="23" s="1"/>
  <c r="J2206" i="23"/>
  <c r="K2206" i="23" s="1"/>
  <c r="J2207" i="23"/>
  <c r="K2207" i="23" s="1"/>
  <c r="J2208" i="23"/>
  <c r="K2208" i="23" s="1"/>
  <c r="K2209" i="23"/>
  <c r="J2210" i="23"/>
  <c r="K2210" i="23" s="1"/>
  <c r="J2211" i="23"/>
  <c r="K2211" i="23" s="1"/>
  <c r="J2212" i="23"/>
  <c r="K2212" i="23" s="1"/>
  <c r="J2213" i="23"/>
  <c r="K2213" i="23" s="1"/>
  <c r="J2214" i="23"/>
  <c r="K2214" i="23" s="1"/>
  <c r="J2215" i="23"/>
  <c r="K2215" i="23" s="1"/>
  <c r="J2216" i="23"/>
  <c r="K2216" i="23" s="1"/>
  <c r="K2217" i="23"/>
  <c r="J2218" i="23"/>
  <c r="K2218" i="23" s="1"/>
  <c r="K2219" i="23"/>
  <c r="J2220" i="23"/>
  <c r="K2220" i="23" s="1"/>
  <c r="J2221" i="23"/>
  <c r="K2221" i="23" s="1"/>
  <c r="J2222" i="23"/>
  <c r="K2222" i="23" s="1"/>
  <c r="J2223" i="23"/>
  <c r="K2223" i="23" s="1"/>
  <c r="J2224" i="23"/>
  <c r="K2224" i="23" s="1"/>
  <c r="K2225" i="23"/>
  <c r="K2226" i="23"/>
  <c r="J2227" i="23"/>
  <c r="K2227" i="23" s="1"/>
  <c r="J2228" i="23"/>
  <c r="K2228" i="23" s="1"/>
  <c r="J2229" i="23"/>
  <c r="K2229" i="23" s="1"/>
  <c r="J2230" i="23"/>
  <c r="K2230" i="23" s="1"/>
  <c r="J2231" i="23"/>
  <c r="K2231" i="23" s="1"/>
  <c r="J2232" i="23"/>
  <c r="K2232" i="23" s="1"/>
  <c r="J2233" i="23"/>
  <c r="K2233" i="23" s="1"/>
  <c r="J2234" i="23"/>
  <c r="K2234" i="23" s="1"/>
  <c r="J2235" i="23"/>
  <c r="K2235" i="23" s="1"/>
  <c r="K2236" i="23"/>
  <c r="J2237" i="23"/>
  <c r="K2237" i="23" s="1"/>
  <c r="J2238" i="23"/>
  <c r="K2238" i="23" s="1"/>
  <c r="J2239" i="23"/>
  <c r="K2239" i="23" s="1"/>
  <c r="J2240" i="23"/>
  <c r="K2240" i="23" s="1"/>
  <c r="J2241" i="23"/>
  <c r="K2241" i="23" s="1"/>
  <c r="J2242" i="23"/>
  <c r="K2242" i="23" s="1"/>
  <c r="J2243" i="23"/>
  <c r="K2243" i="23" s="1"/>
  <c r="J2244" i="23"/>
  <c r="K2244" i="23" s="1"/>
  <c r="J2245" i="23"/>
  <c r="K2245" i="23" s="1"/>
  <c r="J2246" i="23"/>
  <c r="K2246" i="23" s="1"/>
  <c r="K2247" i="23"/>
  <c r="J2248" i="23"/>
  <c r="K2248" i="23" s="1"/>
  <c r="J2249" i="23"/>
  <c r="K2249" i="23" s="1"/>
  <c r="K2250" i="23"/>
  <c r="J2251" i="23"/>
  <c r="K2251" i="23" s="1"/>
  <c r="J2252" i="23"/>
  <c r="K2252" i="23" s="1"/>
  <c r="J2253" i="23"/>
  <c r="K2253" i="23" s="1"/>
  <c r="K2254" i="23"/>
  <c r="K2255" i="23"/>
  <c r="J2256" i="23"/>
  <c r="K2256" i="23" s="1"/>
  <c r="J2257" i="23"/>
  <c r="K2257" i="23" s="1"/>
  <c r="J2258" i="23"/>
  <c r="K2258" i="23" s="1"/>
  <c r="J2259" i="23"/>
  <c r="K2259" i="23" s="1"/>
  <c r="J2260" i="23"/>
  <c r="K2260" i="23" s="1"/>
  <c r="J2261" i="23"/>
  <c r="K2261" i="23" s="1"/>
  <c r="J2262" i="23"/>
  <c r="K2262" i="23" s="1"/>
  <c r="J2263" i="23"/>
  <c r="K2263" i="23" s="1"/>
  <c r="J2264" i="23"/>
  <c r="K2264" i="23" s="1"/>
  <c r="J2265" i="23"/>
  <c r="K2265" i="23" s="1"/>
  <c r="J2266" i="23"/>
  <c r="K2266" i="23" s="1"/>
  <c r="J2267" i="23"/>
  <c r="K2267" i="23" s="1"/>
  <c r="J2268" i="23"/>
  <c r="K2268" i="23" s="1"/>
  <c r="J2269" i="23"/>
  <c r="K2269" i="23" s="1"/>
  <c r="J2270" i="23"/>
  <c r="K2270" i="23" s="1"/>
  <c r="J2271" i="23"/>
  <c r="K2271" i="23" s="1"/>
  <c r="J2272" i="23"/>
  <c r="K2272" i="23" s="1"/>
  <c r="J2273" i="23"/>
  <c r="K2273" i="23" s="1"/>
  <c r="J2274" i="23"/>
  <c r="K2274" i="23" s="1"/>
  <c r="J2275" i="23"/>
  <c r="K2275" i="23" s="1"/>
  <c r="J2276" i="23"/>
  <c r="K2276" i="23" s="1"/>
  <c r="J2277" i="23"/>
  <c r="K2277" i="23" s="1"/>
  <c r="K2278" i="23"/>
  <c r="J2279" i="23"/>
  <c r="K2279" i="23" s="1"/>
  <c r="K2280" i="23"/>
  <c r="K2281" i="23"/>
  <c r="J2282" i="23"/>
  <c r="K2282" i="23" s="1"/>
  <c r="J2283" i="23"/>
  <c r="K2283" i="23" s="1"/>
  <c r="J2284" i="23"/>
  <c r="K2284" i="23" s="1"/>
  <c r="J2285" i="23"/>
  <c r="K2285" i="23" s="1"/>
  <c r="J2286" i="23"/>
  <c r="K2286" i="23" s="1"/>
  <c r="J2287" i="23"/>
  <c r="K2287" i="23" s="1"/>
  <c r="J2288" i="23"/>
  <c r="K2288" i="23" s="1"/>
  <c r="J2289" i="23"/>
  <c r="K2289" i="23" s="1"/>
  <c r="J2290" i="23"/>
  <c r="K2290" i="23" s="1"/>
  <c r="K2291" i="23"/>
  <c r="K2292" i="23"/>
  <c r="J2293" i="23"/>
  <c r="K2293" i="23" s="1"/>
  <c r="J2294" i="23"/>
  <c r="K2294" i="23" s="1"/>
  <c r="J2295" i="23"/>
  <c r="K2295" i="23" s="1"/>
  <c r="J2296" i="23"/>
  <c r="K2296" i="23" s="1"/>
  <c r="J2297" i="23"/>
  <c r="K2297" i="23" s="1"/>
  <c r="J2298" i="23"/>
  <c r="K2298" i="23" s="1"/>
  <c r="K2299" i="23"/>
  <c r="J2300" i="23"/>
  <c r="K2300" i="23" s="1"/>
  <c r="J2301" i="23"/>
  <c r="K2301" i="23" s="1"/>
  <c r="J2302" i="23"/>
  <c r="K2302" i="23" s="1"/>
  <c r="J2303" i="23"/>
  <c r="K2303" i="23" s="1"/>
  <c r="J2304" i="23"/>
  <c r="K2304" i="23" s="1"/>
  <c r="J2305" i="23"/>
  <c r="K2305" i="23" s="1"/>
  <c r="J2306" i="23"/>
  <c r="K2306" i="23" s="1"/>
  <c r="K2307" i="23"/>
  <c r="J2308" i="23"/>
  <c r="K2308" i="23" s="1"/>
  <c r="J2309" i="23"/>
  <c r="K2309" i="23" s="1"/>
  <c r="J2310" i="23"/>
  <c r="K2310" i="23" s="1"/>
  <c r="J2311" i="23"/>
  <c r="K2311" i="23" s="1"/>
  <c r="J2312" i="23"/>
  <c r="K2312" i="23" s="1"/>
  <c r="J2313" i="23"/>
  <c r="K2313" i="23" s="1"/>
  <c r="K2314" i="23"/>
  <c r="J2315" i="23"/>
  <c r="K2315" i="23" s="1"/>
  <c r="J2316" i="23"/>
  <c r="K2316" i="23" s="1"/>
  <c r="K2317" i="23"/>
  <c r="K2318" i="23"/>
  <c r="J2319" i="23"/>
  <c r="K2319" i="23" s="1"/>
  <c r="J2320" i="23"/>
  <c r="K2320" i="23" s="1"/>
  <c r="J2321" i="23"/>
  <c r="K2321" i="23" s="1"/>
  <c r="J2322" i="23"/>
  <c r="K2322" i="23" s="1"/>
  <c r="J2323" i="23"/>
  <c r="K2323" i="23" s="1"/>
  <c r="J2324" i="23"/>
  <c r="K2324" i="23" s="1"/>
  <c r="J2325" i="23"/>
  <c r="K2325" i="23" s="1"/>
  <c r="J2326" i="23"/>
  <c r="K2326" i="23" s="1"/>
  <c r="J2327" i="23"/>
  <c r="K2327" i="23" s="1"/>
  <c r="J2328" i="23"/>
  <c r="K2328" i="23" s="1"/>
  <c r="K2329" i="23"/>
  <c r="J2330" i="23"/>
  <c r="K2330" i="23" s="1"/>
  <c r="K2331" i="23"/>
  <c r="J2332" i="23"/>
  <c r="K2332" i="23" s="1"/>
  <c r="J2333" i="23"/>
  <c r="K2333" i="23" s="1"/>
  <c r="J2334" i="23"/>
  <c r="K2334" i="23" s="1"/>
  <c r="J2335" i="23"/>
  <c r="K2335" i="23" s="1"/>
  <c r="J2336" i="23"/>
  <c r="K2336" i="23" s="1"/>
  <c r="J2337" i="23"/>
  <c r="K2337" i="23" s="1"/>
  <c r="K2338" i="23"/>
  <c r="J2339" i="23"/>
  <c r="K2339" i="23" s="1"/>
  <c r="J2340" i="23"/>
  <c r="K2340" i="23" s="1"/>
  <c r="J2341" i="23"/>
  <c r="K2341" i="23" s="1"/>
  <c r="K2342" i="23"/>
  <c r="J2343" i="23"/>
  <c r="K2343" i="23" s="1"/>
  <c r="J2344" i="23"/>
  <c r="K2344" i="23" s="1"/>
  <c r="J2345" i="23"/>
  <c r="K2345" i="23" s="1"/>
  <c r="J2346" i="23"/>
  <c r="K2346" i="23" s="1"/>
  <c r="J2347" i="23"/>
  <c r="K2347" i="23" s="1"/>
  <c r="J2348" i="23"/>
  <c r="K2348" i="23" s="1"/>
  <c r="J2349" i="23"/>
  <c r="K2349" i="23" s="1"/>
  <c r="K2350" i="23"/>
  <c r="J2351" i="23"/>
  <c r="K2351" i="23" s="1"/>
  <c r="J2352" i="23"/>
  <c r="K2352" i="23" s="1"/>
  <c r="J2353" i="23"/>
  <c r="K2353" i="23" s="1"/>
  <c r="J2354" i="23"/>
  <c r="K2354" i="23" s="1"/>
  <c r="J2355" i="23"/>
  <c r="K2355" i="23" s="1"/>
  <c r="J2356" i="23"/>
  <c r="K2356" i="23" s="1"/>
  <c r="J2357" i="23"/>
  <c r="K2357" i="23" s="1"/>
  <c r="K2358" i="23"/>
  <c r="K2359" i="23"/>
  <c r="J2360" i="23"/>
  <c r="K2360" i="23" s="1"/>
  <c r="J2361" i="23"/>
  <c r="K2361" i="23" s="1"/>
  <c r="K2362" i="23"/>
  <c r="J2363" i="23"/>
  <c r="K2363" i="23" s="1"/>
  <c r="J2364" i="23"/>
  <c r="K2364" i="23" s="1"/>
  <c r="J2365" i="23"/>
  <c r="K2365" i="23" s="1"/>
  <c r="J2366" i="23"/>
  <c r="K2366" i="23" s="1"/>
  <c r="J2367" i="23"/>
  <c r="K2367" i="23" s="1"/>
  <c r="J2368" i="23"/>
  <c r="K2368" i="23" s="1"/>
  <c r="J2369" i="23"/>
  <c r="K2369" i="23" s="1"/>
  <c r="J2370" i="23"/>
  <c r="K2370" i="23" s="1"/>
  <c r="J2371" i="23"/>
  <c r="K2371" i="23" s="1"/>
  <c r="J2372" i="23"/>
  <c r="K2372" i="23" s="1"/>
  <c r="J2373" i="23"/>
  <c r="K2373" i="23" s="1"/>
  <c r="J2374" i="23"/>
  <c r="K2374" i="23" s="1"/>
  <c r="J2375" i="23"/>
  <c r="K2375" i="23" s="1"/>
  <c r="K2376" i="23"/>
  <c r="K2377" i="23"/>
  <c r="J2378" i="23"/>
  <c r="K2378" i="23" s="1"/>
  <c r="K2379" i="23"/>
  <c r="J2380" i="23"/>
  <c r="K2380" i="23" s="1"/>
  <c r="J2381" i="23"/>
  <c r="K2381" i="23" s="1"/>
  <c r="J2382" i="23"/>
  <c r="K2382" i="23" s="1"/>
  <c r="J2383" i="23"/>
  <c r="K2383" i="23" s="1"/>
  <c r="K2384" i="23"/>
  <c r="J2385" i="23"/>
  <c r="K2385" i="23" s="1"/>
  <c r="J2386" i="23"/>
  <c r="K2386" i="23" s="1"/>
  <c r="J2387" i="23"/>
  <c r="K2387" i="23" s="1"/>
  <c r="K2388" i="23"/>
  <c r="J2389" i="23"/>
  <c r="K2389" i="23" s="1"/>
  <c r="K2390" i="23"/>
  <c r="K2391" i="23"/>
  <c r="J2392" i="23"/>
  <c r="K2392" i="23" s="1"/>
  <c r="J2393" i="23"/>
  <c r="K2393" i="23" s="1"/>
  <c r="J2394" i="23"/>
  <c r="K2394" i="23" s="1"/>
  <c r="J2395" i="23"/>
  <c r="K2395" i="23" s="1"/>
  <c r="K2396" i="23"/>
  <c r="J2397" i="23"/>
  <c r="K2397" i="23" s="1"/>
  <c r="J2398" i="23"/>
  <c r="K2398" i="23" s="1"/>
  <c r="J2399" i="23"/>
  <c r="K2399" i="23" s="1"/>
  <c r="J2400" i="23"/>
  <c r="K2400" i="23" s="1"/>
  <c r="J2401" i="23"/>
  <c r="K2401" i="23" s="1"/>
  <c r="J2402" i="23"/>
  <c r="K2402" i="23" s="1"/>
  <c r="J2403" i="23"/>
  <c r="K2403" i="23" s="1"/>
  <c r="J2404" i="23"/>
  <c r="K2404" i="23" s="1"/>
  <c r="J2405" i="23"/>
  <c r="K2405" i="23" s="1"/>
  <c r="K2406" i="23"/>
  <c r="K2407" i="23"/>
  <c r="J2408" i="23"/>
  <c r="K2408" i="23" s="1"/>
  <c r="J2409" i="23"/>
  <c r="K2409" i="23" s="1"/>
  <c r="K2410" i="23"/>
  <c r="J2411" i="23"/>
  <c r="K2411" i="23" s="1"/>
  <c r="K2412" i="23"/>
  <c r="J2413" i="23"/>
  <c r="K2413" i="23" s="1"/>
  <c r="J2414" i="23"/>
  <c r="K2414" i="23" s="1"/>
  <c r="J2415" i="23"/>
  <c r="K2415" i="23" s="1"/>
  <c r="J2416" i="23"/>
  <c r="K2416" i="23" s="1"/>
  <c r="K2417" i="23"/>
  <c r="J2418" i="23"/>
  <c r="K2418" i="23" s="1"/>
  <c r="J2419" i="23"/>
  <c r="K2419" i="23" s="1"/>
  <c r="K2420" i="23"/>
  <c r="J2421" i="23"/>
  <c r="K2421" i="23" s="1"/>
  <c r="J2422" i="23"/>
  <c r="K2422" i="23" s="1"/>
  <c r="J2423" i="23"/>
  <c r="K2423" i="23" s="1"/>
  <c r="J2424" i="23"/>
  <c r="K2424" i="23" s="1"/>
  <c r="J2425" i="23"/>
  <c r="K2425" i="23" s="1"/>
  <c r="J2426" i="23"/>
  <c r="K2426" i="23" s="1"/>
  <c r="K2427" i="23"/>
  <c r="K2428" i="23"/>
  <c r="J2429" i="23"/>
  <c r="K2429" i="23" s="1"/>
  <c r="J2430" i="23"/>
  <c r="K2430" i="23" s="1"/>
  <c r="J2431" i="23"/>
  <c r="K2431" i="23" s="1"/>
  <c r="J2432" i="23"/>
  <c r="K2432" i="23" s="1"/>
  <c r="J2433" i="23"/>
  <c r="K2433" i="23" s="1"/>
  <c r="K2434" i="23"/>
  <c r="J2435" i="23"/>
  <c r="K2435" i="23" s="1"/>
  <c r="J2436" i="23"/>
  <c r="K2436" i="23" s="1"/>
  <c r="J2437" i="23"/>
  <c r="K2437" i="23" s="1"/>
  <c r="J2438" i="23"/>
  <c r="K2438" i="23" s="1"/>
  <c r="J2439" i="23"/>
  <c r="K2439" i="23" s="1"/>
  <c r="J2440" i="23"/>
  <c r="K2440" i="23" s="1"/>
  <c r="J2441" i="23"/>
  <c r="K2441" i="23" s="1"/>
  <c r="J2442" i="23"/>
  <c r="K2442" i="23" s="1"/>
  <c r="J2443" i="23"/>
  <c r="K2443" i="23" s="1"/>
  <c r="K2444" i="23"/>
  <c r="J2445" i="23"/>
  <c r="K2445" i="23" s="1"/>
  <c r="J2446" i="23"/>
  <c r="K2446" i="23" s="1"/>
  <c r="J2447" i="23"/>
  <c r="K2447" i="23" s="1"/>
  <c r="J2448" i="23"/>
  <c r="K2448" i="23" s="1"/>
  <c r="J2449" i="23"/>
  <c r="K2449" i="23" s="1"/>
  <c r="J2450" i="23"/>
  <c r="K2450" i="23" s="1"/>
  <c r="J2451" i="23"/>
  <c r="K2451" i="23" s="1"/>
  <c r="J2452" i="23"/>
  <c r="K2452" i="23" s="1"/>
  <c r="J2453" i="23"/>
  <c r="K2453" i="23" s="1"/>
  <c r="K2454" i="23"/>
  <c r="J2455" i="23"/>
  <c r="K2455" i="23" s="1"/>
  <c r="J2456" i="23"/>
  <c r="K2456" i="23" s="1"/>
  <c r="J2457" i="23"/>
  <c r="K2457" i="23" s="1"/>
  <c r="J2458" i="23"/>
  <c r="K2458" i="23" s="1"/>
  <c r="J2459" i="23"/>
  <c r="K2459" i="23" s="1"/>
  <c r="J2460" i="23"/>
  <c r="K2460" i="23" s="1"/>
  <c r="J2461" i="23"/>
  <c r="K2461" i="23" s="1"/>
  <c r="J2462" i="23"/>
  <c r="K2462" i="23" s="1"/>
  <c r="J2463" i="23"/>
  <c r="K2463" i="23" s="1"/>
  <c r="J2464" i="23"/>
  <c r="K2464" i="23" s="1"/>
  <c r="J2465" i="23"/>
  <c r="K2465" i="23" s="1"/>
  <c r="K2466" i="23"/>
  <c r="J2467" i="23"/>
  <c r="K2467" i="23" s="1"/>
  <c r="K2468" i="23"/>
  <c r="J2469" i="23"/>
  <c r="K2469" i="23" s="1"/>
  <c r="K2470" i="23"/>
  <c r="K2471" i="23"/>
  <c r="K2472" i="23"/>
  <c r="K2473" i="23"/>
  <c r="J2474" i="23"/>
  <c r="K2474" i="23" s="1"/>
  <c r="J2475" i="23"/>
  <c r="K2475" i="23" s="1"/>
  <c r="J2476" i="23"/>
  <c r="K2476" i="23" s="1"/>
  <c r="J2477" i="23"/>
  <c r="K2477" i="23" s="1"/>
  <c r="J2478" i="23"/>
  <c r="K2478" i="23" s="1"/>
  <c r="J2479" i="23"/>
  <c r="K2479" i="23" s="1"/>
  <c r="J2480" i="23"/>
  <c r="K2480" i="23" s="1"/>
  <c r="J2481" i="23"/>
  <c r="K2481" i="23" s="1"/>
  <c r="K2482" i="23"/>
  <c r="J2483" i="23"/>
  <c r="K2483" i="23" s="1"/>
  <c r="J2484" i="23"/>
  <c r="K2484" i="23" s="1"/>
  <c r="J2485" i="23"/>
  <c r="K2485" i="23" s="1"/>
  <c r="J2486" i="23"/>
  <c r="K2486" i="23" s="1"/>
  <c r="J2487" i="23"/>
  <c r="K2487" i="23" s="1"/>
  <c r="J2488" i="23"/>
  <c r="K2488" i="23" s="1"/>
  <c r="J2489" i="23"/>
  <c r="K2489" i="23" s="1"/>
  <c r="J2490" i="23"/>
  <c r="K2490" i="23" s="1"/>
  <c r="J2491" i="23"/>
  <c r="K2491" i="23" s="1"/>
  <c r="J2492" i="23"/>
  <c r="K2492" i="23" s="1"/>
  <c r="K2493" i="23"/>
  <c r="J2494" i="23"/>
  <c r="K2494" i="23" s="1"/>
  <c r="J2495" i="23"/>
  <c r="K2495" i="23" s="1"/>
  <c r="K2496" i="23"/>
  <c r="J2497" i="23"/>
  <c r="K2497" i="23" s="1"/>
  <c r="K2498" i="23"/>
  <c r="J2499" i="23"/>
  <c r="K2499" i="23" s="1"/>
  <c r="K2500" i="23"/>
  <c r="K2501" i="23"/>
  <c r="J2502" i="23"/>
  <c r="K2502" i="23" s="1"/>
  <c r="J2503" i="23"/>
  <c r="K2503" i="23" s="1"/>
  <c r="J2504" i="23"/>
  <c r="K2504" i="23" s="1"/>
  <c r="J2505" i="23"/>
  <c r="K2505" i="23" s="1"/>
  <c r="J2506" i="23"/>
  <c r="K2506" i="23" s="1"/>
  <c r="K2507" i="23"/>
  <c r="J2508" i="23"/>
  <c r="K2508" i="23" s="1"/>
  <c r="J2509" i="23"/>
  <c r="K2509" i="23" s="1"/>
  <c r="J2510" i="23"/>
  <c r="K2510" i="23" s="1"/>
  <c r="J2511" i="23"/>
  <c r="K2511" i="23" s="1"/>
  <c r="J2512" i="23"/>
  <c r="K2512" i="23" s="1"/>
  <c r="K2513" i="23"/>
  <c r="J2514" i="23"/>
  <c r="K2514" i="23" s="1"/>
  <c r="J2515" i="23"/>
  <c r="K2515" i="23" s="1"/>
  <c r="J2516" i="23"/>
  <c r="K2516" i="23" s="1"/>
  <c r="K2517" i="23"/>
  <c r="J2518" i="23"/>
  <c r="K2518" i="23" s="1"/>
  <c r="J2519" i="23"/>
  <c r="K2519" i="23" s="1"/>
  <c r="J2520" i="23"/>
  <c r="K2520" i="23" s="1"/>
  <c r="J2521" i="23"/>
  <c r="K2521" i="23" s="1"/>
  <c r="J2522" i="23"/>
  <c r="K2522" i="23" s="1"/>
  <c r="J2523" i="23"/>
  <c r="K2523" i="23" s="1"/>
  <c r="J2524" i="23"/>
  <c r="K2524" i="23" s="1"/>
  <c r="K2525" i="23"/>
  <c r="J2526" i="23"/>
  <c r="K2526" i="23" s="1"/>
  <c r="J2527" i="23"/>
  <c r="K2527" i="23" s="1"/>
  <c r="J2528" i="23"/>
  <c r="K2528" i="23" s="1"/>
  <c r="J2529" i="23"/>
  <c r="K2529" i="23" s="1"/>
  <c r="J2530" i="23"/>
  <c r="K2530" i="23" s="1"/>
  <c r="K2531" i="23"/>
  <c r="J2532" i="23"/>
  <c r="K2532" i="23" s="1"/>
  <c r="K2533" i="23"/>
  <c r="K2534" i="23"/>
  <c r="J2535" i="23"/>
  <c r="K2535" i="23" s="1"/>
  <c r="J2536" i="23"/>
  <c r="K2536" i="23" s="1"/>
  <c r="K2537" i="23"/>
  <c r="J2538" i="23"/>
  <c r="K2538" i="23" s="1"/>
  <c r="J2539" i="23"/>
  <c r="K2539" i="23" s="1"/>
  <c r="J2540" i="23"/>
  <c r="K2540" i="23" s="1"/>
  <c r="J2541" i="23"/>
  <c r="K2541" i="23" s="1"/>
  <c r="J2542" i="23"/>
  <c r="K2542" i="23" s="1"/>
  <c r="J2543" i="23"/>
  <c r="K2543" i="23" s="1"/>
  <c r="J2544" i="23"/>
  <c r="K2544" i="23" s="1"/>
  <c r="J2545" i="23"/>
  <c r="K2545" i="23" s="1"/>
  <c r="K2546" i="23"/>
  <c r="J2547" i="23"/>
  <c r="K2547" i="23" s="1"/>
  <c r="J2548" i="23"/>
  <c r="K2548" i="23" s="1"/>
  <c r="J2549" i="23"/>
  <c r="K2549" i="23" s="1"/>
  <c r="J2550" i="23"/>
  <c r="K2550" i="23" s="1"/>
  <c r="J2551" i="23"/>
  <c r="K2551" i="23" s="1"/>
  <c r="J2552" i="23"/>
  <c r="K2552" i="23" s="1"/>
  <c r="J2553" i="23"/>
  <c r="K2553" i="23" s="1"/>
  <c r="J2554" i="23"/>
  <c r="K2554" i="23" s="1"/>
  <c r="J2555" i="23"/>
  <c r="K2555" i="23" s="1"/>
  <c r="J2556" i="23"/>
  <c r="K2556" i="23" s="1"/>
  <c r="J2557" i="23"/>
  <c r="K2557" i="23" s="1"/>
  <c r="K2558" i="23"/>
  <c r="J2559" i="23"/>
  <c r="K2559" i="23" s="1"/>
  <c r="J2560" i="23"/>
  <c r="K2560" i="23" s="1"/>
  <c r="J2561" i="23"/>
  <c r="K2561" i="23" s="1"/>
  <c r="J2562" i="23"/>
  <c r="K2562" i="23" s="1"/>
  <c r="J2563" i="23"/>
  <c r="K2563" i="23" s="1"/>
  <c r="J2564" i="23"/>
  <c r="K2564" i="23" s="1"/>
  <c r="J2565" i="23"/>
  <c r="K2565" i="23" s="1"/>
  <c r="J2566" i="23"/>
  <c r="K2566" i="23" s="1"/>
  <c r="J2567" i="23"/>
  <c r="K2567" i="23" s="1"/>
  <c r="J2568" i="23"/>
  <c r="K2568" i="23" s="1"/>
  <c r="K2569" i="23"/>
  <c r="J2570" i="23"/>
  <c r="K2570" i="23" s="1"/>
  <c r="J2571" i="23"/>
  <c r="K2571" i="23" s="1"/>
  <c r="J2572" i="23"/>
  <c r="K2572" i="23" s="1"/>
  <c r="J2573" i="23"/>
  <c r="K2573" i="23" s="1"/>
  <c r="J2574" i="23"/>
  <c r="K2574" i="23" s="1"/>
  <c r="K2575" i="23"/>
  <c r="J2576" i="23"/>
  <c r="K2576" i="23" s="1"/>
  <c r="J2577" i="23"/>
  <c r="K2577" i="23" s="1"/>
  <c r="J2578" i="23"/>
  <c r="K2578" i="23" s="1"/>
  <c r="J2579" i="23"/>
  <c r="K2579" i="23" s="1"/>
  <c r="J2580" i="23"/>
  <c r="K2580" i="23" s="1"/>
  <c r="J2581" i="23"/>
  <c r="K2581" i="23" s="1"/>
  <c r="K2582" i="23"/>
  <c r="J2583" i="23"/>
  <c r="K2583" i="23" s="1"/>
  <c r="J2584" i="23"/>
  <c r="K2584" i="23" s="1"/>
  <c r="J2585" i="23"/>
  <c r="K2585" i="23" s="1"/>
  <c r="J2586" i="23"/>
  <c r="K2586" i="23" s="1"/>
  <c r="J2587" i="23"/>
  <c r="K2587" i="23" s="1"/>
  <c r="K2588" i="23"/>
  <c r="K2589" i="23"/>
  <c r="K2590" i="23"/>
  <c r="K2591" i="23"/>
  <c r="K2592" i="23"/>
  <c r="K2593" i="23"/>
  <c r="K2594" i="23"/>
  <c r="K2595" i="23"/>
  <c r="K2596" i="23"/>
  <c r="I2597" i="23"/>
  <c r="N5" i="20"/>
  <c r="O5" i="20"/>
  <c r="AC5" i="20"/>
  <c r="AF5" i="20" s="1"/>
  <c r="AG5" i="20" s="1"/>
  <c r="AD5" i="20"/>
  <c r="N6" i="20"/>
  <c r="O6" i="20"/>
  <c r="P230" i="20"/>
  <c r="O1498" i="20"/>
  <c r="Y1552" i="20"/>
  <c r="Q1649" i="20"/>
  <c r="R2153" i="20"/>
  <c r="W2264" i="20"/>
  <c r="V3368" i="20"/>
  <c r="T3509" i="20"/>
  <c r="R3852" i="20"/>
  <c r="R4779" i="20"/>
  <c r="M4863" i="20"/>
  <c r="Z4863" i="20"/>
  <c r="AB4863" i="20"/>
  <c r="AB4882" i="20" s="1"/>
  <c r="N4864" i="20"/>
  <c r="O4864" i="20"/>
  <c r="N4865" i="20"/>
  <c r="O4865" i="20"/>
  <c r="N4866" i="20"/>
  <c r="O4866" i="20"/>
  <c r="N4867" i="20"/>
  <c r="O4867" i="20"/>
  <c r="N4868" i="20"/>
  <c r="L4869" i="20"/>
  <c r="L4870" i="20" s="1"/>
  <c r="M4869" i="20"/>
  <c r="M4870" i="20" s="1"/>
  <c r="P4869" i="20"/>
  <c r="Q4869" i="20"/>
  <c r="Q4870" i="20" s="1"/>
  <c r="R4869" i="20"/>
  <c r="R4870" i="20" s="1"/>
  <c r="S4869" i="20"/>
  <c r="T4869" i="20"/>
  <c r="T4870" i="20" s="1"/>
  <c r="U4869" i="20"/>
  <c r="V4869" i="20"/>
  <c r="V4870" i="20" s="1"/>
  <c r="W4869" i="20"/>
  <c r="W4870" i="20" s="1"/>
  <c r="X4869" i="20"/>
  <c r="X4870" i="20" s="1"/>
  <c r="Y4869" i="20"/>
  <c r="Y4870" i="20" s="1"/>
  <c r="Z4869" i="20"/>
  <c r="Z4870" i="20" s="1"/>
  <c r="AA4869" i="20"/>
  <c r="AA4870" i="20" s="1"/>
  <c r="S4870" i="20"/>
  <c r="N4871" i="20"/>
  <c r="O4871" i="20"/>
  <c r="N4872" i="20"/>
  <c r="O4872" i="20"/>
  <c r="N4873" i="20"/>
  <c r="O4873" i="20"/>
  <c r="N4874" i="20"/>
  <c r="O4874" i="20"/>
  <c r="N4875" i="20"/>
  <c r="O4875" i="20"/>
  <c r="N4876" i="20"/>
  <c r="O4876" i="20"/>
  <c r="N4877" i="20"/>
  <c r="O4877" i="20"/>
  <c r="N4878" i="20"/>
  <c r="O4878" i="20"/>
  <c r="N4879" i="20"/>
  <c r="O4879" i="20"/>
  <c r="N4880" i="20"/>
  <c r="O4880" i="20"/>
  <c r="N4881" i="20"/>
  <c r="L4882" i="20"/>
  <c r="M4882" i="20"/>
  <c r="P4882" i="20"/>
  <c r="Q4882" i="20"/>
  <c r="R4882" i="20"/>
  <c r="S4882" i="20"/>
  <c r="T4882" i="20"/>
  <c r="U4882" i="20"/>
  <c r="V4882" i="20"/>
  <c r="W4882" i="20"/>
  <c r="X4882" i="20"/>
  <c r="Y4882" i="20"/>
  <c r="Z4882" i="20"/>
  <c r="AA4882" i="20"/>
  <c r="AC2264" i="20" l="1"/>
  <c r="AD2264" i="20"/>
  <c r="AC1552" i="20"/>
  <c r="AD1552" i="20"/>
  <c r="AD1649" i="20"/>
  <c r="AC1649" i="20"/>
  <c r="AD230" i="20"/>
  <c r="AC230" i="20"/>
  <c r="AC4779" i="20"/>
  <c r="AD4779" i="20"/>
  <c r="AC3852" i="20"/>
  <c r="AD3852" i="20"/>
  <c r="AF2071" i="20"/>
  <c r="AG2071" i="20" s="1"/>
  <c r="AE2071" i="20"/>
  <c r="AC3509" i="20"/>
  <c r="AF3509" i="20" s="1"/>
  <c r="AG3509" i="20" s="1"/>
  <c r="AD3509" i="20"/>
  <c r="AC2153" i="20"/>
  <c r="AF2153" i="20" s="1"/>
  <c r="AG2153" i="20" s="1"/>
  <c r="AD2153" i="20"/>
  <c r="AC3368" i="20"/>
  <c r="AD3368" i="20"/>
  <c r="AF3734" i="20"/>
  <c r="AG3734" i="20" s="1"/>
  <c r="AE3734" i="20"/>
  <c r="U4870" i="20"/>
  <c r="AC4869" i="20" s="1"/>
  <c r="AD4868" i="20"/>
  <c r="AC4868" i="20"/>
  <c r="AD4881" i="20"/>
  <c r="AC4881" i="20"/>
  <c r="O4868" i="20"/>
  <c r="O4869" i="20" s="1"/>
  <c r="O4881" i="20"/>
  <c r="O4882" i="20" s="1"/>
  <c r="AD4869" i="20"/>
  <c r="P4870" i="20"/>
  <c r="O3861" i="20"/>
  <c r="O3583" i="20"/>
  <c r="O3881" i="20"/>
  <c r="O3744" i="20"/>
  <c r="O3751" i="20"/>
  <c r="O3708" i="20"/>
  <c r="O3608" i="20"/>
  <c r="O3931" i="20"/>
  <c r="O3867" i="20"/>
  <c r="O3717" i="20"/>
  <c r="O3496" i="20"/>
  <c r="O3705" i="20"/>
  <c r="O3870" i="20"/>
  <c r="O3732" i="20"/>
  <c r="O3663" i="20"/>
  <c r="O3987" i="20"/>
  <c r="O3871" i="20"/>
  <c r="O3852" i="20"/>
  <c r="O3745" i="20"/>
  <c r="O3706" i="20"/>
  <c r="O3596" i="20"/>
  <c r="O1724" i="20"/>
  <c r="O1615" i="20"/>
  <c r="O1552" i="20"/>
  <c r="O3868" i="20"/>
  <c r="O3835" i="20"/>
  <c r="O3733" i="20"/>
  <c r="O3664" i="20"/>
  <c r="O3509" i="20"/>
  <c r="O3376" i="20"/>
  <c r="O3136" i="20"/>
  <c r="O1683" i="20"/>
  <c r="O1643" i="20"/>
  <c r="O766" i="20"/>
  <c r="O72" i="20"/>
  <c r="O1709" i="20"/>
  <c r="O3907" i="20"/>
  <c r="O3829" i="20"/>
  <c r="O3647" i="20"/>
  <c r="O2264" i="20"/>
  <c r="O1721" i="20"/>
  <c r="O1642" i="20"/>
  <c r="O1604" i="20"/>
  <c r="O1463" i="20"/>
  <c r="O3588" i="20"/>
  <c r="O3996" i="20"/>
  <c r="O1676" i="20"/>
  <c r="O4500" i="20"/>
  <c r="O3752" i="20"/>
  <c r="O3281" i="20"/>
  <c r="O2998" i="20"/>
  <c r="O2153" i="20"/>
  <c r="O1720" i="20"/>
  <c r="O1568" i="20"/>
  <c r="O659" i="20"/>
  <c r="O4635" i="20"/>
  <c r="O3497" i="20"/>
  <c r="O2161" i="20"/>
  <c r="O1610" i="20"/>
  <c r="O3882" i="20"/>
  <c r="O3709" i="20"/>
  <c r="O2671" i="20"/>
  <c r="O1723" i="20"/>
  <c r="O1710" i="20"/>
  <c r="O1650" i="20"/>
  <c r="O1637" i="20"/>
  <c r="O3026" i="20"/>
  <c r="O3160" i="20"/>
  <c r="O2805" i="20"/>
  <c r="O775" i="20"/>
  <c r="O4637" i="20"/>
  <c r="O3932" i="20"/>
  <c r="O3405" i="20"/>
  <c r="O3030" i="20"/>
  <c r="O1649" i="20"/>
  <c r="O1006" i="20"/>
  <c r="O686" i="20"/>
  <c r="O230" i="20"/>
  <c r="O4583" i="20"/>
  <c r="O3595" i="20"/>
  <c r="O3718" i="20"/>
  <c r="O3609" i="20"/>
  <c r="O4779" i="20"/>
  <c r="O3525" i="20"/>
  <c r="O3500" i="20"/>
  <c r="O3403" i="20"/>
  <c r="O3368" i="20"/>
  <c r="O1648" i="20"/>
  <c r="O1087" i="20"/>
  <c r="O1488" i="20"/>
  <c r="K1367" i="24"/>
  <c r="K1363" i="24"/>
  <c r="K316" i="24"/>
  <c r="K293" i="24"/>
  <c r="X4863" i="20"/>
  <c r="X4883" i="20" s="1"/>
  <c r="Y4863" i="20"/>
  <c r="Y4883" i="20" s="1"/>
  <c r="Z4883" i="20"/>
  <c r="K2562" i="24"/>
  <c r="K1203" i="24"/>
  <c r="K1426" i="24"/>
  <c r="K1419" i="24"/>
  <c r="AE5" i="20"/>
  <c r="J2597" i="23"/>
  <c r="K2597" i="23" s="1"/>
  <c r="I4351" i="24"/>
  <c r="J4351" i="24"/>
  <c r="P4863" i="20"/>
  <c r="R4863" i="20"/>
  <c r="R4883" i="20" s="1"/>
  <c r="U4863" i="20"/>
  <c r="W4863" i="20"/>
  <c r="W4883" i="20" s="1"/>
  <c r="N4882" i="20"/>
  <c r="AA4883" i="20"/>
  <c r="T4863" i="20"/>
  <c r="T4883" i="20" s="1"/>
  <c r="V4863" i="20"/>
  <c r="S4863" i="20"/>
  <c r="Q4863" i="20"/>
  <c r="N4869" i="20"/>
  <c r="N4870" i="20" s="1"/>
  <c r="L4863" i="20"/>
  <c r="L4883" i="20" s="1"/>
  <c r="M4883" i="20"/>
  <c r="AE2153" i="20" l="1"/>
  <c r="AF3852" i="20"/>
  <c r="AG3852" i="20" s="1"/>
  <c r="AE3852" i="20"/>
  <c r="AF4779" i="20"/>
  <c r="AG4779" i="20" s="1"/>
  <c r="AE4779" i="20"/>
  <c r="AF230" i="20"/>
  <c r="AG230" i="20" s="1"/>
  <c r="AE230" i="20"/>
  <c r="AE1649" i="20"/>
  <c r="AF1649" i="20"/>
  <c r="AG1649" i="20" s="1"/>
  <c r="AF3368" i="20"/>
  <c r="AG3368" i="20" s="1"/>
  <c r="AE3368" i="20"/>
  <c r="AE1552" i="20"/>
  <c r="AF1552" i="20"/>
  <c r="AG1552" i="20" s="1"/>
  <c r="AE3509" i="20"/>
  <c r="AE2264" i="20"/>
  <c r="AF2264" i="20"/>
  <c r="AG2264" i="20" s="1"/>
  <c r="S4883" i="20"/>
  <c r="AD4863" i="20"/>
  <c r="AC4863" i="20"/>
  <c r="AF4863" i="20" s="1"/>
  <c r="AG4863" i="20" s="1"/>
  <c r="AF4881" i="20"/>
  <c r="AG4881" i="20" s="1"/>
  <c r="AE4881" i="20"/>
  <c r="U4883" i="20"/>
  <c r="AF4868" i="20"/>
  <c r="AG4868" i="20" s="1"/>
  <c r="AE4868" i="20"/>
  <c r="AC4870" i="20"/>
  <c r="AD4870" i="20"/>
  <c r="AE4869" i="20"/>
  <c r="AF4869" i="20"/>
  <c r="AG4869" i="20" s="1"/>
  <c r="V4883" i="20"/>
  <c r="P4883" i="20"/>
  <c r="Q4883" i="20"/>
  <c r="O4862" i="20"/>
  <c r="N4863" i="20"/>
  <c r="N4883" i="20" s="1"/>
  <c r="K4351" i="24"/>
  <c r="O4863" i="20"/>
  <c r="O4870" i="20" s="1"/>
  <c r="AE4863" i="20" l="1"/>
  <c r="AD4882" i="20"/>
  <c r="AC4882" i="20"/>
  <c r="AE4870" i="20"/>
  <c r="AF4870" i="20"/>
  <c r="AG4870" i="20" s="1"/>
  <c r="AD4883" i="20"/>
  <c r="AC4883" i="20"/>
  <c r="O4883" i="20"/>
  <c r="AF4882" i="20" l="1"/>
  <c r="AG4882" i="20" s="1"/>
  <c r="AE4882" i="20"/>
  <c r="AF4883" i="20"/>
  <c r="AG4883" i="20" s="1"/>
  <c r="AE488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dskwon</author>
  </authors>
  <commentList>
    <comment ref="P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5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5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1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6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5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6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1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3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3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9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5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2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4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4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4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7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7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2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2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2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3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3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4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20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6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40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3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7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7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7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8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8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3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5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4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6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5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7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90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1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1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6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3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9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8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4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6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6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6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2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5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1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4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4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6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1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1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1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4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3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1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9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7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60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1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2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3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7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3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3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9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20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7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7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60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1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1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2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7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7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1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3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5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6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2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3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5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6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6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9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4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2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5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6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9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3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3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3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9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1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2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5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6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5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6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50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6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2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4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6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4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5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6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8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7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5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3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20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7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7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8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8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30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3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4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5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0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4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4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6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70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6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8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7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51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2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3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71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2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2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3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9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30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0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6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70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4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11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8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5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5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5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7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2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3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70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3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6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6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2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4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5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2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3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6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8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7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81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81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3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3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5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7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3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600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3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7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6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8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7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5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5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5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9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60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2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6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01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8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2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3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7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8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8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8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3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9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9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8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3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3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4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4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5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5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7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61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8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4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2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2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20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40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41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2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51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6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3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4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1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2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6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8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6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81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4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4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5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5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8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10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0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2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2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6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8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9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2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2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2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3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3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5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7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7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7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7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6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5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5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4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4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8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8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9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9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9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8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6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7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3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3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8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3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3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3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3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50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1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2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71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71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5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3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4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4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6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3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6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00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6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7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9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9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7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9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41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2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5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5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6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6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8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4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5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4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4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6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6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6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7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1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1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8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8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5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6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21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2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6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6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2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4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7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7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9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6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7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31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4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40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41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4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5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5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60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0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61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2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6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6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6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9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800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6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31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40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40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41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6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6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7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9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2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3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2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900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1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2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9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9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10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11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21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21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0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9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9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70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7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7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9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92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3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4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5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5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4002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5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6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7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4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5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8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3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8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31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32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3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3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3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3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8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6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8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9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9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7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9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71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8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80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0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4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4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5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8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9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00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100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00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01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7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7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13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4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20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5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30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1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2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9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9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41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2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43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5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5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9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6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9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9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62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7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70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3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4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4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5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6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7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9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80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81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6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8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6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6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11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2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13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5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6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7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8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8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9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20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20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21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21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2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3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5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6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7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9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32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5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6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40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3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44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6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6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7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8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53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7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7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63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5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65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6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7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71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74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75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9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85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8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8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8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90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0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1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92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2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8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8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8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00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01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01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03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304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20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23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25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25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0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60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60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60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83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84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84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402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21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92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92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22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69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6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602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2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03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12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30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60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61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81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1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5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5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7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7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7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97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97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8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31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48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57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57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65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8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70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70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71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71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72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0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1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802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4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5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5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22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31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35" authorId="0" shapeId="0" xr:uid="{00000000-0006-0000-0000-00005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<sst xmlns="http://schemas.openxmlformats.org/spreadsheetml/2006/main" count="87388" uniqueCount="28057">
  <si>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</si>
  <si>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</si>
  <si>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</si>
  <si>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</si>
  <si>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</si>
  <si>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</si>
  <si>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</si>
  <si>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</si>
  <si>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</si>
  <si>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</si>
  <si>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</si>
  <si>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</si>
  <si>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</si>
  <si>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</si>
  <si>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</si>
  <si>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</si>
  <si>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</si>
  <si>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</si>
  <si>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</si>
  <si>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</si>
  <si>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</si>
  <si>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</si>
  <si>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</si>
  <si>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</si>
  <si>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</si>
  <si>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</si>
  <si>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</si>
  <si>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</si>
  <si>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</si>
  <si>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</si>
  <si>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</si>
  <si>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</si>
  <si>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</si>
  <si>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</si>
  <si>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</si>
  <si>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</si>
  <si>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</si>
  <si>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</si>
  <si>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</si>
  <si>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</si>
  <si>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</si>
  <si>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</si>
  <si>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</si>
  <si>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</si>
  <si>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</si>
  <si>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</si>
  <si>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</si>
  <si>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</si>
  <si>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</si>
  <si>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</si>
  <si>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</si>
  <si>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</si>
  <si>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</si>
  <si>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</si>
  <si>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</si>
  <si>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</si>
  <si>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</si>
  <si>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</si>
  <si>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</si>
  <si>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</si>
  <si>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</si>
  <si>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</si>
  <si>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</si>
  <si>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</si>
  <si>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</si>
  <si>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</si>
  <si>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</si>
  <si>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</si>
  <si>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</si>
  <si>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</si>
  <si>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</si>
  <si>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</si>
  <si>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</si>
  <si>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</si>
  <si>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</si>
  <si>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</si>
  <si>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</si>
  <si>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</si>
  <si>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</si>
  <si>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</si>
  <si>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</si>
  <si>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</si>
  <si>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</si>
  <si>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</si>
  <si>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</si>
  <si>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</si>
  <si>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</si>
  <si>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</si>
  <si>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</si>
  <si>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</si>
  <si>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</si>
  <si>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</si>
  <si>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</si>
  <si>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</si>
  <si>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</si>
  <si>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</si>
  <si>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</si>
  <si>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</si>
  <si>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</si>
  <si>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</si>
  <si>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</si>
  <si>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</si>
  <si>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</si>
  <si>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</si>
  <si>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</si>
  <si>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</si>
  <si>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</si>
  <si>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</si>
  <si>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</si>
  <si>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</si>
  <si>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</si>
  <si>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</si>
  <si>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</si>
  <si>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</si>
  <si>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</si>
  <si>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</si>
  <si>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</si>
  <si>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</si>
  <si>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</si>
  <si>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</si>
  <si>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</si>
  <si>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</si>
  <si>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</si>
  <si>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</si>
  <si>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</si>
  <si>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</si>
  <si>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</si>
  <si>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</si>
  <si>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</si>
  <si>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</si>
  <si>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</si>
  <si>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</si>
  <si>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</si>
  <si>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</si>
  <si>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</si>
  <si>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</si>
  <si>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</si>
  <si>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</si>
  <si>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</si>
  <si>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</si>
  <si>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</si>
  <si>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</si>
  <si>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</si>
  <si>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</si>
  <si>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</si>
  <si>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</si>
  <si>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</si>
  <si>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</si>
  <si>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</si>
  <si>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</si>
  <si>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</si>
  <si>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</si>
  <si>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</si>
  <si>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</si>
  <si>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</si>
  <si>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</si>
  <si>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</si>
  <si>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</si>
  <si>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</si>
  <si>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</si>
  <si>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</si>
  <si>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</si>
  <si>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</si>
  <si>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</si>
  <si>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</si>
  <si>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</si>
  <si>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</si>
  <si>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</si>
  <si>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</si>
  <si>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</si>
  <si>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</si>
  <si>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</si>
  <si>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</si>
  <si>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</si>
  <si>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</si>
  <si>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</si>
  <si>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</si>
  <si>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</si>
  <si>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</si>
  <si>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</si>
  <si>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</si>
  <si>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</si>
  <si>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</si>
  <si>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</si>
  <si>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</si>
  <si>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</si>
  <si>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</si>
  <si>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</si>
  <si>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</si>
  <si>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</si>
  <si>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</si>
  <si>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</si>
  <si>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</si>
  <si>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</si>
  <si>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</si>
  <si>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</si>
  <si>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</si>
  <si>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</si>
  <si>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</si>
  <si>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</si>
  <si>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</si>
  <si>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</si>
  <si>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</si>
  <si>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</si>
  <si>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</si>
  <si>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</si>
  <si>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</si>
  <si>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</si>
  <si>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</si>
  <si>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</si>
  <si>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</si>
  <si>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</si>
  <si>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</si>
  <si>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</si>
  <si>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</si>
  <si>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</si>
  <si>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</si>
  <si>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</si>
  <si>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</si>
  <si>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</si>
  <si>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</si>
  <si>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</si>
  <si>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</si>
  <si>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</si>
  <si>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</si>
  <si>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</si>
  <si>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</si>
  <si>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</si>
  <si>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</si>
  <si>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</si>
  <si>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</si>
  <si>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</si>
  <si>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</si>
  <si>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</si>
  <si>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</si>
  <si>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</si>
  <si>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</si>
  <si>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</si>
  <si>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</si>
  <si>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</si>
  <si>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</si>
  <si>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</si>
  <si>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</si>
  <si>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</si>
  <si>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</si>
  <si>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</si>
  <si>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</si>
  <si>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</si>
  <si>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</si>
  <si>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</si>
  <si>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</si>
  <si>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</si>
  <si>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</si>
  <si>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</si>
  <si>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</si>
  <si>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</si>
  <si>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</si>
  <si>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</si>
  <si>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</si>
  <si>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</si>
  <si>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</si>
  <si>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</si>
  <si>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</si>
  <si>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</si>
  <si>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</si>
  <si>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</si>
  <si>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</si>
  <si>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</si>
  <si>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</si>
  <si>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</si>
  <si>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</si>
  <si>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</si>
  <si>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</si>
  <si>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</si>
  <si>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</si>
  <si>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</si>
  <si>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</si>
  <si>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</si>
  <si>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</si>
  <si>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</si>
  <si>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</si>
  <si>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</si>
  <si>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</si>
  <si>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</si>
  <si>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</si>
  <si>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</si>
  <si>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</si>
  <si>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</si>
  <si>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</si>
  <si>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</si>
  <si>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</si>
  <si>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</si>
  <si>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</si>
  <si>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</si>
  <si>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</si>
  <si>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</si>
  <si>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</si>
  <si>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</si>
  <si>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</si>
  <si>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</si>
  <si>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</si>
  <si>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</si>
  <si>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</si>
  <si>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</si>
  <si>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</si>
  <si>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</si>
  <si>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</si>
  <si>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</si>
  <si>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</si>
  <si>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</si>
  <si>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</si>
  <si>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</si>
  <si>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</si>
  <si>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</si>
  <si>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</si>
  <si>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</si>
  <si>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</si>
  <si>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</si>
  <si>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</si>
  <si>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</si>
  <si>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</si>
  <si>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</si>
  <si>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</si>
  <si>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</si>
  <si>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</si>
  <si>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</si>
  <si>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</si>
  <si>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</si>
  <si>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</si>
  <si>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</si>
  <si>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</si>
  <si>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</si>
  <si>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</si>
  <si>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</si>
  <si>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</si>
  <si>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</si>
  <si>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</si>
  <si>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</si>
  <si>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</si>
  <si>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</si>
  <si>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</si>
  <si>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</si>
  <si>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</si>
  <si>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</si>
  <si>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</si>
  <si>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</si>
  <si>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</si>
  <si>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</si>
  <si>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</si>
  <si>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</si>
  <si>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</si>
  <si>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</si>
  <si>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</si>
  <si>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</si>
  <si>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</si>
  <si>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</si>
  <si>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</si>
  <si>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</si>
  <si>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</si>
  <si>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</si>
  <si>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</si>
  <si>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</si>
  <si>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</si>
  <si>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</si>
  <si>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</si>
  <si>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</si>
  <si>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</si>
  <si>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</si>
  <si>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</si>
  <si>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</si>
  <si>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</si>
  <si>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</si>
  <si>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</si>
  <si>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</si>
  <si>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</si>
  <si>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</si>
  <si>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</si>
  <si>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</si>
  <si>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</si>
  <si>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</si>
  <si>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</si>
  <si>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</si>
  <si>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</si>
  <si>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</si>
  <si>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</si>
  <si>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</si>
  <si>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</si>
  <si>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</si>
  <si>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</si>
  <si>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</si>
  <si>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</si>
  <si>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</si>
  <si>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</si>
  <si>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</si>
  <si>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</si>
  <si>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</si>
  <si>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</si>
  <si>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</si>
  <si>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</si>
  <si>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</si>
  <si>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</si>
  <si>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</si>
  <si>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</si>
  <si>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</si>
  <si>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</si>
  <si>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</si>
  <si>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</si>
  <si>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</si>
  <si>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</si>
  <si>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</si>
  <si>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</si>
  <si>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</si>
  <si>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</si>
  <si>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</si>
  <si>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</si>
  <si>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</si>
  <si>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</si>
  <si>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</si>
  <si>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</si>
  <si>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</si>
  <si>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</si>
  <si>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</si>
  <si>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</si>
  <si>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</si>
  <si>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</si>
  <si>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</si>
  <si>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</si>
  <si>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</si>
  <si>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</si>
  <si>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</si>
  <si>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</si>
  <si>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</si>
  <si>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</si>
  <si>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</si>
  <si>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</si>
  <si>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</si>
  <si>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</si>
  <si>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</si>
  <si>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</si>
  <si>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</si>
  <si>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</si>
  <si>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</si>
  <si>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</si>
  <si>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</si>
  <si>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</si>
  <si>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</si>
  <si>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</si>
  <si>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</si>
  <si>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</si>
  <si>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</si>
  <si>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</si>
  <si>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</si>
  <si>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</si>
  <si>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</si>
  <si>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</si>
  <si>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</si>
  <si>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</si>
  <si>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</si>
  <si>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</si>
  <si>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</si>
  <si>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</si>
  <si>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</si>
  <si>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</si>
  <si>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</si>
  <si>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</si>
  <si>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</si>
  <si>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</si>
  <si>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</si>
  <si>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</si>
  <si>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</si>
  <si>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</si>
  <si>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</si>
  <si>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</si>
  <si>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</si>
  <si>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</si>
  <si>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</si>
  <si>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</si>
  <si>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</si>
  <si>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</si>
  <si>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</si>
  <si>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</si>
  <si>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</si>
  <si>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</si>
  <si>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</si>
  <si>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</si>
  <si>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</si>
  <si>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</si>
  <si>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</si>
  <si>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</si>
  <si>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</si>
  <si>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</si>
  <si>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</si>
  <si>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</si>
  <si>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</si>
  <si>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</si>
  <si>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</si>
  <si>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</si>
  <si>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</si>
  <si>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</si>
  <si>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</si>
  <si>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</si>
  <si>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</si>
  <si>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</si>
  <si>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</si>
  <si>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</si>
  <si>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</si>
  <si>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</si>
  <si>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</si>
  <si>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</si>
  <si>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</si>
  <si>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</si>
  <si>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</si>
  <si>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</si>
  <si>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</si>
  <si>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</si>
  <si>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</si>
  <si>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</si>
  <si>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</si>
  <si>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</si>
  <si>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</si>
  <si>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</si>
  <si>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</si>
  <si>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</si>
  <si>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</si>
  <si>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</si>
  <si>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</si>
  <si>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</si>
  <si>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</si>
  <si>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</si>
  <si>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</si>
  <si>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</si>
  <si>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</si>
  <si>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</si>
  <si>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</si>
  <si>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</si>
  <si>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</si>
  <si>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</si>
  <si>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</si>
  <si>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</si>
  <si>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</si>
  <si>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</si>
  <si>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</si>
  <si>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</si>
  <si>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</si>
  <si>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</si>
  <si>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</si>
  <si>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</si>
  <si>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</si>
  <si>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</si>
  <si>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</si>
  <si>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</si>
  <si>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</si>
  <si>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</si>
  <si>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</si>
  <si>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</si>
  <si>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</si>
  <si>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</si>
  <si>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</si>
  <si>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</si>
  <si>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</si>
  <si>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</si>
  <si>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</si>
  <si>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</si>
  <si>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</si>
  <si>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</si>
  <si>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</si>
  <si>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</si>
  <si>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</si>
  <si>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</si>
  <si>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</si>
  <si>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</si>
  <si>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</si>
  <si>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</si>
  <si>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</si>
  <si>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</si>
  <si>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</si>
  <si>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</si>
  <si>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</si>
  <si>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</si>
  <si>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</si>
  <si>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</si>
  <si>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</si>
  <si>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</si>
  <si>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</si>
  <si>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</si>
  <si>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</si>
  <si>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</si>
  <si>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</si>
  <si>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</si>
  <si>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</si>
  <si>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</si>
  <si>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</si>
  <si>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</si>
  <si>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</si>
  <si>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</si>
  <si>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</si>
  <si>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</si>
  <si>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</si>
  <si>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</si>
  <si>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</si>
  <si>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</si>
  <si>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</si>
  <si>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</si>
  <si>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</si>
  <si>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</si>
  <si>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</si>
  <si>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</si>
  <si>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</si>
  <si>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</si>
  <si>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</si>
  <si>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</si>
  <si>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</si>
  <si>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</si>
  <si>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</si>
  <si>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</si>
  <si>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</si>
  <si>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</si>
  <si>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</si>
  <si>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</si>
  <si>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</si>
  <si>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</si>
  <si>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</si>
  <si>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</si>
  <si>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</si>
  <si>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</si>
  <si>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</si>
  <si>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</si>
  <si>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</si>
  <si>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</si>
  <si>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</si>
  <si>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</si>
  <si>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</si>
  <si>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</si>
  <si>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</si>
  <si>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</si>
  <si>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</si>
  <si>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</si>
  <si>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</si>
  <si>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</si>
  <si>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</si>
  <si>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</si>
  <si>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</si>
  <si>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</si>
  <si>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</si>
  <si>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</si>
  <si>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</si>
  <si>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</si>
  <si>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</si>
  <si>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</si>
  <si>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</si>
  <si>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</si>
  <si>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</si>
  <si>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</si>
  <si>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</si>
  <si>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</si>
  <si>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</si>
  <si>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</si>
  <si>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</si>
  <si>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</si>
  <si>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</si>
  <si>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</si>
  <si>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</si>
  <si>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</si>
  <si>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</si>
  <si>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</si>
  <si>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</si>
  <si>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</si>
  <si>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</si>
  <si>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</si>
  <si>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</si>
  <si>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</si>
  <si>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</si>
  <si>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</si>
  <si>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</si>
  <si>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</si>
  <si>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</si>
  <si>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</si>
  <si>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</si>
  <si>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</si>
  <si>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</si>
  <si>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</si>
  <si>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</si>
  <si>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</si>
  <si>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</si>
  <si>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</si>
  <si>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</si>
  <si>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</si>
  <si>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</si>
  <si>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</si>
  <si>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</si>
  <si>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</si>
  <si>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</si>
  <si>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</si>
  <si>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</si>
  <si>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</si>
  <si>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</si>
  <si>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</si>
  <si>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</si>
  <si>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</si>
  <si>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</si>
  <si>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</si>
  <si>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</si>
  <si>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</si>
  <si>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</si>
  <si>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</si>
  <si>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</si>
  <si>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</si>
  <si>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</si>
  <si>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</si>
  <si>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</si>
  <si>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</si>
  <si>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</si>
  <si>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</si>
  <si>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</si>
  <si>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</si>
  <si>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</si>
  <si>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</si>
  <si>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</si>
  <si>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</si>
  <si>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</si>
  <si>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</si>
  <si>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</si>
  <si>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</si>
  <si>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</si>
  <si>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</si>
  <si>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</si>
  <si>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</si>
  <si>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</si>
  <si>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</si>
  <si>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</si>
  <si>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</si>
  <si>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</si>
  <si>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</si>
  <si>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</si>
  <si>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</si>
  <si>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</si>
  <si>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</si>
  <si>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</si>
  <si>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</si>
  <si>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</si>
  <si>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</si>
  <si>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</si>
  <si>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</si>
  <si>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</si>
  <si>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</si>
  <si>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</si>
  <si>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</si>
  <si>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</si>
  <si>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</si>
  <si>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</si>
  <si>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</si>
  <si>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</si>
  <si>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</si>
  <si>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</si>
  <si>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</si>
  <si>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</si>
  <si>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</si>
  <si>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</si>
  <si>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</si>
  <si>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</si>
  <si>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</si>
  <si>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</si>
  <si>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</si>
  <si>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</si>
  <si>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</si>
  <si>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</si>
  <si>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</si>
  <si>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</si>
  <si>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</si>
  <si>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</si>
  <si>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</si>
  <si>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</si>
  <si>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</si>
  <si>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</si>
  <si>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</si>
  <si>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</si>
  <si>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</si>
  <si>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</si>
  <si>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</si>
  <si>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</si>
  <si>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</si>
  <si>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</si>
  <si>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</si>
  <si>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</si>
  <si>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</si>
  <si>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</si>
  <si>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</si>
  <si>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</si>
  <si>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</si>
  <si>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</si>
  <si>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</si>
  <si>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</si>
  <si>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</si>
  <si>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</si>
  <si>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</si>
  <si>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</si>
  <si>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</si>
  <si>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</si>
  <si>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</si>
  <si>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</si>
  <si>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</si>
  <si>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</si>
  <si>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</si>
  <si>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</si>
  <si>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</si>
  <si>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</si>
  <si>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</si>
  <si>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</si>
  <si>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</si>
  <si>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</si>
  <si>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</si>
  <si>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</si>
  <si>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</si>
  <si>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</si>
  <si>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</si>
  <si>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</si>
  <si>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</si>
  <si>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</si>
  <si>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</si>
  <si>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</si>
  <si>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</si>
  <si>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</si>
  <si>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</si>
  <si>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</si>
  <si>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</si>
  <si>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</si>
  <si>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</si>
  <si>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</si>
  <si>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</si>
  <si>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</si>
  <si>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</si>
  <si>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</si>
  <si>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</si>
  <si>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</si>
  <si>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</si>
  <si>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</si>
  <si>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</si>
  <si>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</si>
  <si>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</si>
  <si>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</si>
  <si>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</si>
  <si>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</si>
  <si>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</si>
  <si>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</si>
  <si>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</si>
  <si>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</si>
  <si>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</si>
  <si>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</si>
  <si>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</si>
  <si>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</si>
  <si>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</si>
  <si>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</si>
  <si>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</si>
  <si>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</si>
  <si>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</si>
  <si>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</si>
  <si>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</si>
  <si>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</si>
  <si>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</si>
  <si>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</si>
  <si>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</si>
  <si>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</si>
  <si>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</si>
  <si>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</si>
  <si>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</si>
  <si>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</si>
  <si>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</si>
  <si>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</si>
  <si>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</si>
  <si>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</si>
  <si>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</si>
  <si>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</si>
  <si>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</si>
  <si>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</si>
  <si>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</si>
  <si>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</si>
  <si>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</si>
  <si>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</si>
  <si>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</si>
  <si>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</si>
  <si>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</si>
  <si>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</si>
  <si>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</si>
  <si>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</si>
  <si>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</si>
  <si>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</si>
  <si>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</si>
  <si>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</si>
  <si>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</si>
  <si>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</si>
  <si>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</si>
  <si>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</si>
  <si>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</si>
  <si>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</si>
  <si>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</si>
  <si>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</si>
  <si>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</si>
  <si>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</si>
  <si>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</si>
  <si>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</si>
  <si>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</si>
  <si>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</si>
  <si>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</si>
  <si>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</si>
  <si>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</si>
  <si>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</si>
  <si>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</si>
  <si>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</si>
  <si>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</si>
  <si>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</si>
  <si>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</si>
  <si>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</si>
  <si>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</si>
  <si>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</si>
  <si>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</si>
  <si>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</si>
  <si>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</si>
  <si>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</si>
  <si>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</si>
  <si>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</si>
  <si>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</si>
  <si>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</si>
  <si>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</si>
  <si>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</si>
  <si>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</si>
  <si>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</si>
  <si>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</si>
  <si>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</si>
  <si>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</si>
  <si>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</si>
  <si>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</si>
  <si>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</si>
  <si>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</si>
  <si>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</si>
  <si>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</si>
  <si>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</si>
  <si>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</si>
  <si>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</si>
  <si>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</si>
  <si>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</si>
  <si>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</si>
  <si>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</si>
  <si>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</si>
  <si>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</si>
  <si>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</si>
  <si>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</si>
  <si>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</si>
  <si>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</si>
  <si>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</si>
  <si>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</si>
  <si>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</si>
  <si>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</si>
  <si>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</si>
  <si>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</si>
  <si>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</si>
  <si>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</si>
  <si>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</si>
  <si>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</si>
  <si>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</si>
  <si>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</si>
  <si>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</si>
  <si>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</si>
  <si>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</si>
  <si>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</si>
  <si>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</si>
  <si>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</si>
  <si>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</si>
  <si>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</si>
  <si>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</si>
  <si>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</si>
  <si>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</si>
  <si>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</si>
  <si>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</si>
  <si>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</si>
  <si>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</si>
  <si>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</si>
  <si>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</si>
  <si>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</si>
  <si>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</si>
  <si>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</si>
  <si>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</si>
  <si>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</si>
  <si>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</si>
  <si>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</si>
  <si>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</si>
  <si>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</si>
  <si>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</si>
  <si>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</si>
  <si>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</si>
  <si>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</si>
  <si>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</si>
  <si>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</si>
  <si>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</si>
  <si>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</si>
  <si>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</si>
  <si>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</si>
  <si>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</si>
  <si>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</si>
  <si>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</si>
  <si>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</si>
  <si>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</si>
  <si>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</si>
  <si>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</si>
  <si>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</si>
  <si>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</si>
  <si>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</si>
  <si>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</si>
  <si>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</si>
  <si>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</si>
  <si>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</si>
  <si>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</si>
  <si>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</si>
  <si>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</si>
  <si>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</si>
  <si>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</si>
  <si>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</si>
  <si>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</si>
  <si>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</si>
  <si>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</si>
  <si>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</si>
  <si>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</si>
  <si>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</si>
  <si>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</si>
  <si>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</si>
  <si>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</si>
  <si>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</si>
  <si>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</si>
  <si>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</si>
  <si>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</si>
  <si>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</si>
  <si>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</si>
  <si>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</si>
  <si>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</si>
  <si>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</si>
  <si>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</si>
  <si>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</si>
  <si>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</si>
  <si>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</si>
  <si>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</si>
  <si>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</si>
  <si>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</si>
  <si>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</si>
  <si>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</si>
  <si>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</si>
  <si>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</si>
  <si>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</si>
  <si>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</si>
  <si>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</si>
  <si>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</si>
  <si>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</si>
  <si>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</si>
  <si>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</si>
  <si>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</si>
  <si>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</si>
  <si>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</si>
  <si>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</si>
  <si>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</si>
  <si>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</si>
  <si>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</si>
  <si>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</si>
  <si>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</si>
  <si>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</si>
  <si>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</si>
  <si>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</si>
  <si>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</si>
  <si>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</si>
  <si>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</si>
  <si>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</si>
  <si>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</si>
  <si>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</si>
  <si>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</si>
  <si>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</si>
  <si>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</si>
  <si>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</si>
  <si>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</si>
  <si>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</si>
  <si>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</si>
  <si>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</si>
  <si>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</si>
  <si>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</si>
  <si>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</si>
  <si>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</si>
  <si>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</si>
  <si>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</si>
  <si>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</si>
  <si>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</si>
  <si>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</si>
  <si>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</si>
  <si>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</si>
  <si>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</si>
  <si>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</si>
  <si>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</si>
  <si>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</si>
  <si>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</si>
  <si>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</si>
  <si>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</si>
  <si>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</si>
  <si>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</si>
  <si>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</si>
  <si>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</si>
  <si>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</si>
  <si>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</si>
  <si>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</si>
  <si>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</si>
  <si>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</si>
  <si>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</si>
  <si>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</si>
  <si>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</si>
  <si>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</si>
  <si>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</si>
  <si>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</si>
  <si>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</si>
  <si>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</si>
  <si>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</si>
  <si>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</si>
  <si>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</si>
  <si>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</si>
  <si>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</si>
  <si>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</si>
  <si>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</si>
  <si>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</si>
  <si>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</si>
  <si>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</si>
  <si>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</si>
  <si>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</si>
  <si>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</si>
  <si>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</si>
  <si>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</si>
  <si>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</si>
  <si>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</si>
  <si>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</si>
  <si>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</si>
  <si>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</si>
  <si>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</si>
  <si>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</si>
  <si>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</si>
  <si>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</si>
  <si>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</si>
  <si>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</si>
  <si>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</si>
  <si>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</si>
  <si>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</si>
  <si>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</si>
  <si>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</si>
  <si>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</si>
  <si>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</si>
  <si>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</si>
  <si>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</si>
  <si>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</si>
  <si>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</si>
  <si>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</si>
  <si>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</si>
  <si>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</si>
  <si>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</si>
  <si>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</si>
  <si>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</si>
  <si>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</si>
  <si>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</si>
  <si>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</si>
  <si>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</si>
  <si>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</si>
  <si>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</si>
  <si>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</si>
  <si>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</si>
  <si>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</si>
  <si>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</si>
  <si>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</si>
  <si>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</si>
  <si>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</si>
  <si>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</si>
  <si>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</si>
  <si>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</si>
  <si>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</si>
  <si>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</si>
  <si>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</si>
  <si>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</si>
  <si>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</si>
  <si>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</si>
  <si>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</si>
  <si>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</si>
  <si>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</si>
  <si>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</si>
  <si>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</si>
  <si>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</si>
  <si>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</si>
  <si>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</si>
  <si>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</si>
  <si>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</si>
  <si>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</si>
  <si>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</si>
  <si>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</si>
  <si>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</si>
  <si>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</si>
  <si>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</si>
  <si>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</si>
  <si>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</si>
  <si>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</si>
  <si>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</si>
  <si>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</si>
  <si>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</si>
  <si>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</si>
  <si>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</si>
  <si>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</si>
  <si>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</si>
  <si>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</si>
  <si>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</si>
  <si>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</si>
  <si>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</si>
  <si>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</si>
  <si>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</si>
  <si>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</si>
  <si>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</si>
  <si>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</si>
  <si>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</si>
  <si>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</si>
  <si>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</si>
  <si>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</si>
  <si>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</si>
  <si>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</si>
  <si>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</si>
  <si>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</si>
  <si>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</si>
  <si>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</si>
  <si>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</si>
  <si>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</si>
  <si>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</si>
  <si>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</si>
  <si>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</si>
  <si>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</si>
  <si>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</si>
  <si>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</si>
  <si>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</si>
  <si>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</si>
  <si>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</si>
  <si>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</si>
  <si>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</si>
  <si>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</si>
  <si>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</si>
  <si>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</si>
  <si>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</si>
  <si>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</si>
  <si>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</si>
  <si>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</si>
  <si>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</si>
  <si>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</si>
  <si>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</si>
  <si>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</si>
  <si>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</si>
  <si>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</si>
  <si>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</si>
  <si>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</si>
  <si>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</si>
  <si>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</si>
  <si>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</si>
  <si>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</si>
  <si>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</si>
  <si>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</si>
  <si>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</si>
  <si>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</si>
  <si>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</si>
  <si>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</si>
  <si>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</si>
  <si>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</si>
  <si>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</si>
  <si>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</si>
  <si>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</si>
  <si>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</si>
  <si>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</si>
  <si>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</si>
  <si>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</si>
  <si>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</si>
  <si>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</si>
  <si>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</si>
  <si>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</si>
  <si>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</si>
  <si>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</si>
  <si>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</si>
  <si>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</si>
  <si>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</si>
  <si>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</si>
  <si>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</si>
  <si>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</si>
  <si>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</si>
  <si>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</si>
  <si>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</si>
  <si>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</si>
  <si>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</si>
  <si>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</si>
  <si>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</si>
  <si>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</si>
  <si>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</si>
  <si>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</si>
  <si>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</si>
  <si>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</si>
  <si>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</si>
  <si>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</si>
  <si>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</si>
  <si>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</si>
  <si>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</si>
  <si>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</si>
  <si>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</si>
  <si>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</si>
  <si>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</si>
  <si>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</si>
  <si>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</si>
  <si>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</si>
  <si>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</si>
  <si>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</si>
  <si>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</si>
  <si>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</si>
  <si>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</si>
  <si>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</si>
  <si>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</si>
  <si>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</si>
  <si>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</si>
  <si>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</si>
  <si>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</si>
  <si>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</si>
  <si>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</si>
  <si>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</si>
  <si>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</si>
  <si>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</si>
  <si>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</si>
  <si>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</si>
  <si>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</si>
  <si>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</si>
  <si>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</si>
  <si>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</si>
  <si>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</si>
  <si>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</si>
  <si>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</si>
  <si>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</si>
  <si>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</si>
  <si>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</si>
  <si>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</si>
  <si>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</si>
  <si>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</si>
  <si>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</si>
  <si>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</si>
  <si>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</si>
  <si>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</si>
  <si>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</si>
  <si>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</si>
  <si>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</si>
  <si>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</si>
  <si>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</si>
  <si>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</si>
  <si>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</si>
  <si>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</si>
  <si>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</si>
  <si>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</si>
  <si>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</si>
  <si>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</si>
  <si>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</si>
  <si>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</si>
  <si>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</si>
  <si>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</si>
  <si>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</si>
  <si>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</si>
  <si>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</si>
  <si>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</si>
  <si>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</si>
  <si>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</si>
  <si>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</si>
  <si>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</si>
  <si>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</si>
  <si>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</si>
  <si>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</si>
  <si>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</si>
  <si>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</si>
  <si>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</si>
  <si>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</si>
  <si>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</si>
  <si>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</si>
  <si>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</si>
  <si>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</si>
  <si>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</si>
  <si>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</si>
  <si>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</si>
  <si>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</si>
  <si>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</si>
  <si>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</si>
  <si>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</si>
  <si>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</si>
  <si>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</si>
  <si>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</si>
  <si>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</si>
  <si>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</si>
  <si>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</si>
  <si>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</si>
  <si>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</si>
  <si>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</si>
  <si>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</si>
  <si>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</si>
  <si>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</si>
  <si>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</si>
  <si>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</si>
  <si>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</si>
  <si>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</si>
  <si>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</si>
  <si>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</si>
  <si>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</si>
  <si>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</si>
  <si>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</si>
  <si>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</si>
  <si>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</si>
  <si>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</si>
  <si>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</si>
  <si>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</si>
  <si>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</si>
  <si>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</si>
  <si>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</si>
  <si>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</si>
  <si>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</si>
  <si>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</si>
  <si>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</si>
  <si>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</si>
  <si>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</si>
  <si>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</si>
  <si>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</si>
  <si>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</si>
  <si>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</si>
  <si>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</si>
  <si>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</si>
  <si>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</si>
  <si>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</si>
  <si>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</si>
  <si>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</si>
  <si>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</si>
  <si>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</si>
  <si>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</si>
  <si>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</si>
  <si>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</si>
  <si>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</si>
  <si>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</si>
  <si>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</si>
  <si>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</si>
  <si>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</si>
  <si>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</si>
  <si>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</si>
  <si>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</si>
  <si>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</si>
  <si>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</si>
  <si>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</si>
  <si>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</si>
  <si>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</si>
  <si>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</si>
  <si>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</si>
  <si>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</si>
  <si>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</si>
  <si>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</si>
  <si>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</si>
  <si>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</si>
  <si>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</si>
  <si>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</si>
  <si>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</si>
  <si>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</si>
  <si>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</si>
  <si>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</si>
  <si>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</si>
  <si>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</si>
  <si>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</si>
  <si>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</si>
  <si>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</si>
  <si>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</si>
  <si>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</si>
  <si>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</si>
  <si>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</si>
  <si>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</si>
  <si>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</si>
  <si>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</si>
  <si>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</si>
  <si>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</si>
  <si>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</si>
  <si>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</si>
  <si>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</si>
  <si>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</si>
  <si>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</si>
  <si>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</si>
  <si>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</si>
  <si>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</si>
  <si>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</si>
  <si>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</si>
  <si>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</si>
  <si>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</si>
  <si>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</si>
  <si>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</si>
  <si>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</si>
  <si>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</si>
  <si>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</si>
  <si>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</si>
  <si>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</si>
  <si>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</si>
  <si>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</si>
  <si>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</si>
  <si>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</si>
  <si>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</si>
  <si>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</si>
  <si>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</si>
  <si>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</si>
  <si>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</si>
  <si>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</si>
  <si>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</si>
  <si>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</si>
  <si>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</si>
  <si>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</si>
  <si>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</si>
  <si>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</si>
  <si>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</si>
  <si>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</si>
  <si>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</si>
  <si>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</si>
  <si>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</si>
  <si>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</si>
  <si>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</si>
  <si>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</si>
  <si>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</si>
  <si>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</si>
  <si>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</si>
  <si>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</si>
  <si>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</si>
  <si>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</si>
  <si>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</si>
  <si>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</si>
  <si>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</si>
  <si>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</si>
  <si>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</si>
  <si>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</si>
  <si>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</si>
  <si>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</si>
  <si>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</si>
  <si>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</si>
  <si>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</si>
  <si>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</si>
  <si>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</si>
  <si>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</si>
  <si>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</si>
  <si>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</si>
  <si>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</si>
  <si>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</si>
  <si>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</si>
  <si>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</si>
  <si>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</si>
  <si>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</si>
  <si>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</si>
  <si>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</si>
  <si>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</si>
  <si>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</si>
  <si>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</si>
  <si>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</si>
  <si>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</si>
  <si>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</si>
  <si>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</si>
  <si>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</si>
  <si>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</si>
  <si>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</si>
  <si>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</si>
  <si>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</si>
  <si>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</si>
  <si>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</si>
  <si>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</si>
  <si>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</si>
  <si>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</si>
  <si>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</si>
  <si>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</si>
  <si>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</si>
  <si>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</si>
  <si>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</si>
  <si>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</si>
  <si>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</si>
  <si>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</si>
  <si>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</si>
  <si>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</si>
  <si>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</si>
  <si>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</si>
  <si>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</si>
  <si>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</si>
  <si>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</si>
  <si>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</si>
  <si>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</si>
  <si>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</si>
  <si>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</si>
  <si>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</si>
  <si>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</si>
  <si>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</si>
  <si>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</si>
  <si>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</si>
  <si>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</si>
  <si>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</si>
  <si>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</si>
  <si>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</si>
  <si>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</si>
  <si>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</si>
  <si>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</si>
  <si>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</si>
  <si>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</si>
  <si>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</si>
  <si>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</si>
  <si>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</si>
  <si>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</si>
  <si>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</si>
  <si>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</si>
  <si>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</si>
  <si>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</si>
  <si>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</si>
  <si>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</si>
  <si>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</si>
  <si>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</si>
  <si>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</si>
  <si>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</si>
  <si>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</si>
  <si>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</si>
  <si>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</si>
  <si>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</si>
  <si>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</si>
  <si>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</si>
  <si>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</si>
  <si>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</si>
  <si>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</si>
  <si>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</si>
  <si>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</si>
  <si>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</si>
  <si>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</si>
  <si>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</si>
  <si>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</si>
  <si>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</si>
  <si>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</si>
  <si>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</si>
  <si>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</si>
  <si>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</si>
  <si>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</si>
  <si>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</si>
  <si>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</si>
  <si>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</si>
  <si>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</si>
  <si>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</si>
  <si>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</si>
  <si>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</si>
  <si>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</si>
  <si>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</si>
  <si>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</si>
  <si>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</si>
  <si>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</si>
  <si>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</si>
  <si>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</si>
  <si>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</si>
  <si>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</si>
  <si>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</si>
  <si>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</si>
  <si>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</si>
  <si>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</si>
  <si>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</si>
  <si>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</si>
  <si>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</si>
  <si>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</si>
  <si>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</si>
  <si>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</si>
  <si>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</si>
  <si>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</si>
  <si>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</si>
  <si>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</si>
  <si>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</si>
  <si>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</si>
  <si>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</si>
  <si>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</si>
  <si>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</si>
  <si>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</si>
  <si>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</si>
  <si>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</si>
  <si>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</si>
  <si>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</si>
  <si>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</si>
  <si>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</si>
  <si>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</si>
  <si>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</si>
  <si>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</si>
  <si>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</si>
  <si>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</si>
  <si>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</si>
  <si>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</si>
  <si>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</si>
  <si>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</si>
  <si>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</si>
  <si>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</si>
  <si>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</si>
  <si>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</si>
  <si>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</si>
  <si>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</si>
  <si>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</si>
  <si>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</si>
  <si>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</si>
  <si>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</si>
  <si>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</si>
  <si>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</si>
  <si>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</si>
  <si>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</si>
  <si>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</si>
  <si>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</si>
  <si>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</si>
  <si>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</si>
  <si>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</si>
  <si>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</si>
  <si>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</si>
  <si>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</si>
  <si>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</si>
  <si>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</si>
  <si>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</si>
  <si>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</si>
  <si>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</si>
  <si>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</si>
  <si>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</si>
  <si>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</si>
  <si>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</si>
  <si>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</si>
  <si>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</si>
  <si>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</si>
  <si>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</si>
  <si>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</si>
  <si>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</si>
  <si>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</si>
  <si>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</si>
  <si>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</si>
  <si>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</si>
  <si>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</si>
  <si>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</si>
  <si>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</si>
  <si>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</si>
  <si>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</si>
  <si>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</si>
  <si>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</si>
  <si>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</si>
  <si>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</si>
  <si>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</si>
  <si>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</si>
  <si>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</si>
  <si>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</si>
  <si>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</si>
  <si>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</si>
  <si>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</si>
  <si>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</si>
  <si>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</si>
  <si>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</si>
  <si>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</si>
  <si>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</si>
  <si>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</si>
  <si>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</si>
  <si>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</si>
  <si>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</si>
  <si>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</si>
  <si>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</si>
  <si>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</si>
  <si>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</si>
  <si>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</si>
  <si>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</si>
  <si>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</si>
  <si>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</si>
  <si>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</si>
  <si>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</si>
  <si>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</si>
  <si>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</si>
  <si>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</si>
  <si>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</si>
  <si>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</si>
  <si>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</si>
  <si>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</si>
  <si>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</si>
  <si>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</si>
  <si>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</si>
  <si>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</si>
  <si>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</si>
  <si>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</si>
  <si>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</si>
  <si>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</si>
  <si>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</si>
  <si>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</si>
  <si>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</si>
  <si>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</si>
  <si>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</si>
  <si>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</si>
  <si>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</si>
  <si>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</si>
  <si>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</si>
  <si>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</si>
  <si>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</si>
  <si>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</si>
  <si>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</si>
  <si>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</si>
  <si>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</si>
  <si>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</si>
  <si>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</si>
  <si>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</si>
  <si>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</si>
  <si>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</si>
  <si>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</si>
  <si>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</si>
  <si>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</si>
  <si>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</si>
  <si>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</si>
  <si>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</si>
  <si>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</si>
  <si>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</si>
  <si>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</si>
  <si>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</si>
  <si>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</si>
  <si>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</si>
  <si>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</si>
  <si>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</si>
  <si>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</si>
  <si>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</si>
  <si>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</si>
  <si>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</si>
  <si>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</si>
  <si>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</si>
  <si>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</si>
  <si>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</si>
  <si>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</si>
  <si>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</si>
  <si>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</si>
  <si>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</si>
  <si>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</si>
  <si>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</si>
  <si>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</si>
  <si>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</si>
  <si>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</si>
  <si>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</si>
  <si>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</si>
  <si>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</si>
  <si>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</si>
  <si>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</si>
  <si>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</si>
  <si>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</si>
  <si>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</si>
  <si>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</si>
  <si>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</si>
  <si>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</si>
  <si>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</si>
  <si>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</si>
  <si>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</si>
  <si>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</si>
  <si>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</si>
  <si>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</si>
  <si>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</si>
  <si>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</si>
  <si>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</si>
  <si>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</si>
  <si>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</si>
  <si>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</si>
  <si>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</si>
  <si>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</si>
  <si>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</si>
  <si>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</si>
  <si>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</si>
  <si>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</si>
  <si>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</si>
  <si>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</si>
  <si>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</si>
  <si>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</si>
  <si>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</si>
  <si>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</si>
  <si>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</si>
  <si>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</si>
  <si>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</si>
  <si>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</si>
  <si>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</si>
  <si>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</si>
  <si>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</si>
  <si>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</si>
  <si>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</si>
  <si>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</si>
  <si>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</si>
  <si>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</si>
  <si>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</si>
  <si>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</si>
  <si>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</si>
  <si>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</si>
  <si>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</si>
  <si>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</si>
  <si>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</si>
  <si>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</si>
  <si>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</si>
  <si>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</si>
  <si>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</si>
  <si>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</si>
  <si>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</si>
  <si>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</si>
  <si>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</si>
  <si>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</si>
  <si>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</si>
  <si>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</si>
  <si>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</si>
  <si>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</si>
  <si>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</si>
  <si>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</si>
  <si>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</si>
  <si>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</si>
  <si>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</si>
  <si>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</si>
  <si>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</si>
  <si>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</si>
  <si>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</si>
  <si>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</si>
  <si>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</si>
  <si>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</si>
  <si>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</si>
  <si>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</si>
  <si>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</si>
  <si>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</si>
  <si>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</si>
  <si>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</si>
  <si>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</si>
  <si>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</si>
  <si>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</si>
  <si>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</si>
  <si>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</si>
  <si>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</si>
  <si>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</si>
  <si>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</si>
  <si>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</si>
  <si>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</si>
  <si>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</si>
  <si>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</si>
  <si>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</si>
  <si>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</si>
  <si>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</si>
  <si>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</si>
  <si>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</si>
  <si>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</si>
  <si>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</si>
  <si>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</si>
  <si>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</si>
  <si>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</si>
  <si>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</si>
  <si>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</si>
  <si>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</si>
  <si>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</si>
  <si>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</si>
  <si>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</si>
  <si>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</si>
  <si>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</si>
  <si>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</si>
  <si>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</si>
  <si>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</si>
  <si>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</si>
  <si>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</si>
  <si>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</si>
  <si>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</si>
  <si>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</si>
  <si>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</si>
  <si>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</si>
  <si>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</si>
  <si>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</si>
  <si>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</si>
  <si>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</si>
  <si>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</si>
  <si>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</si>
  <si>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</si>
  <si>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</si>
  <si>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</si>
  <si>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</si>
  <si>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</si>
  <si>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</si>
  <si>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</si>
  <si>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</si>
  <si>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</si>
  <si>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</si>
  <si>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</si>
  <si>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</si>
  <si>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</si>
  <si>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</si>
  <si>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</si>
  <si>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</si>
  <si>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</si>
  <si>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</si>
  <si>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</si>
  <si>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</si>
  <si>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</si>
  <si>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</si>
  <si>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</si>
  <si>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</si>
  <si>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</si>
  <si>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</si>
  <si>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</si>
  <si>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</si>
  <si>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</si>
  <si>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</si>
  <si>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</si>
  <si>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</si>
  <si>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</si>
  <si>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</si>
  <si>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</si>
  <si>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</si>
  <si>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</si>
  <si>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</si>
  <si>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</si>
  <si>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</si>
  <si>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</si>
  <si>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</si>
  <si>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</si>
  <si>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</si>
  <si>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</si>
  <si>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</si>
  <si>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</si>
  <si>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</si>
  <si>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</si>
  <si>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</si>
  <si>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</si>
  <si>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</si>
  <si>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</si>
  <si>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</si>
  <si>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</si>
  <si>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</si>
  <si>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</si>
  <si>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</si>
  <si>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</si>
  <si>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</si>
  <si>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</si>
  <si>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</si>
  <si>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</si>
  <si>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</si>
  <si>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</si>
  <si>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</si>
  <si>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</si>
  <si>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</si>
  <si>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</si>
  <si>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</si>
  <si>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</si>
  <si>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</si>
  <si>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</si>
  <si>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</si>
  <si>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</si>
  <si>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</si>
  <si>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</si>
  <si>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</si>
  <si>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</si>
  <si>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</si>
  <si>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</si>
  <si>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</si>
  <si>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</si>
  <si>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</si>
  <si>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</si>
  <si>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</si>
  <si>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</si>
  <si>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</si>
  <si>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</si>
  <si>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</si>
  <si>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</si>
  <si>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</si>
  <si>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</si>
  <si>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</si>
  <si>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</si>
  <si>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</si>
  <si>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</si>
  <si>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</si>
  <si>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</si>
  <si>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</si>
  <si>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</si>
  <si>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</si>
  <si>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</si>
  <si>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</si>
  <si>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</si>
  <si>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</si>
  <si>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</si>
  <si>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</si>
  <si>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</si>
  <si>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</si>
  <si>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</si>
  <si>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</si>
  <si>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</si>
  <si>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</si>
  <si>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</si>
  <si>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</si>
  <si>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</si>
  <si>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</si>
  <si>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</si>
  <si>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</si>
  <si>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</si>
  <si>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</si>
  <si>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</si>
  <si>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</si>
  <si>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</si>
  <si>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</si>
  <si>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</si>
  <si>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</si>
  <si>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</si>
  <si>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</si>
  <si>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</si>
  <si>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</si>
  <si>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</si>
  <si>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</si>
  <si>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</si>
  <si>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</si>
  <si>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</si>
  <si>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</si>
  <si>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</si>
  <si>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</si>
  <si>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</si>
  <si>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</si>
  <si>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</si>
  <si>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</si>
  <si>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</si>
  <si>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</si>
  <si>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</si>
  <si>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</si>
  <si>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</si>
  <si>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</si>
  <si>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</si>
  <si>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</si>
  <si>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</si>
  <si>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</si>
  <si>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</si>
  <si>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</si>
  <si>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</si>
  <si>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</si>
  <si>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</si>
  <si>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</si>
  <si>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</si>
  <si>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</si>
  <si>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</si>
  <si>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</si>
  <si>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</si>
  <si>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</si>
  <si>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</si>
  <si>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</si>
  <si>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</si>
  <si>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</si>
  <si>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</si>
  <si>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</si>
  <si>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</si>
  <si>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</si>
  <si>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</si>
  <si>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</si>
  <si>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</si>
  <si>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</si>
  <si>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</si>
  <si>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</si>
  <si>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</si>
  <si>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</si>
  <si>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</si>
  <si>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</si>
  <si>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</si>
  <si>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</si>
  <si>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</si>
  <si>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</si>
  <si>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</si>
  <si>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</si>
  <si>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</si>
  <si>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</si>
  <si>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</si>
  <si>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</si>
  <si>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</si>
  <si>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</si>
  <si>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</si>
  <si>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</si>
  <si>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</si>
  <si>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</si>
  <si>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</si>
  <si>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</si>
  <si>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</si>
  <si>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</si>
  <si>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</si>
  <si>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</si>
  <si>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</si>
  <si>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</si>
  <si>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</si>
  <si>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</si>
  <si>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</si>
  <si>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</si>
  <si>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</si>
  <si>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</si>
  <si>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</si>
  <si>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</si>
  <si>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</si>
  <si>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</si>
  <si>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</si>
  <si>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</si>
  <si>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</si>
  <si>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</si>
  <si>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</si>
  <si>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</si>
  <si>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</si>
  <si>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</si>
  <si>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</si>
  <si>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</si>
  <si>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</si>
  <si>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</si>
  <si>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</si>
  <si>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</si>
  <si>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</si>
  <si>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</si>
  <si>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</si>
  <si>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</si>
  <si>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</si>
  <si>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</si>
  <si>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</si>
  <si>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</si>
  <si>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</si>
  <si>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</si>
  <si>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</si>
  <si>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</si>
  <si>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</si>
  <si>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</si>
  <si>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</si>
  <si>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</si>
  <si>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</si>
  <si>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</si>
  <si>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</si>
  <si>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</si>
  <si>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</si>
  <si>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</si>
  <si>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</si>
  <si>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</si>
  <si>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</si>
  <si>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</si>
  <si>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</si>
  <si>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</si>
  <si>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</si>
  <si>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</si>
  <si>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</si>
  <si>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</si>
  <si>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</si>
  <si>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</si>
  <si>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</si>
  <si>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</si>
  <si>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</si>
  <si>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</si>
  <si>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</si>
  <si>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</si>
  <si>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</si>
  <si>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</si>
  <si>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</si>
  <si>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</si>
  <si>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</si>
  <si>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</si>
  <si>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</si>
  <si>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</si>
  <si>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</si>
  <si>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</si>
  <si>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</si>
  <si>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</si>
  <si>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</si>
  <si>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</si>
  <si>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</si>
  <si>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</si>
  <si>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</si>
  <si>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</si>
  <si>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</si>
  <si>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</si>
  <si>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</si>
  <si>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</si>
  <si>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</si>
  <si>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</si>
  <si>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</si>
  <si>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</si>
  <si>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</si>
  <si>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</si>
  <si>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</si>
  <si>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</si>
  <si>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</si>
  <si>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</si>
  <si>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</si>
  <si>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</si>
  <si>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</si>
  <si>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</si>
  <si>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</si>
  <si>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</si>
  <si>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</si>
  <si>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</si>
  <si>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</si>
  <si>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</si>
  <si>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</si>
  <si>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</si>
  <si>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</si>
  <si>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</si>
  <si>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</si>
  <si>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</si>
  <si>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</si>
  <si>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</si>
  <si>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</si>
  <si>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</si>
  <si>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</si>
  <si>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</si>
  <si>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</si>
  <si>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</si>
  <si>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</si>
  <si>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</si>
  <si>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</si>
  <si>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</si>
  <si>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</si>
  <si>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</si>
  <si>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</si>
  <si>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</si>
  <si>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</si>
  <si>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</si>
  <si>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</si>
  <si>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</si>
  <si>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</si>
  <si>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</si>
  <si>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</si>
  <si>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</si>
  <si>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</si>
  <si>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</si>
  <si>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</si>
  <si>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</si>
  <si>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</si>
  <si>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</si>
  <si>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</si>
  <si>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</si>
  <si>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</si>
  <si>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</si>
  <si>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</si>
  <si>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</si>
  <si>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</si>
  <si>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</si>
  <si>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</si>
  <si>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</si>
  <si>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</si>
  <si>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</si>
  <si>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</si>
  <si>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</si>
  <si>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</si>
  <si>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</si>
  <si>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</si>
  <si>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</si>
  <si>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</si>
  <si>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</si>
  <si>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</si>
  <si>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</si>
  <si>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</si>
  <si>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</si>
  <si>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</si>
  <si>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</si>
  <si>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</si>
  <si>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</si>
  <si>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</si>
  <si>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</si>
  <si>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</si>
  <si>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</si>
  <si>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</si>
  <si>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</si>
  <si>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</si>
  <si>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</si>
  <si>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</si>
  <si>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</si>
  <si>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</si>
  <si>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</si>
  <si>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</si>
  <si>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</si>
  <si>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</si>
  <si>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</si>
  <si>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</si>
  <si>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</si>
  <si>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</si>
  <si>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</si>
  <si>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</si>
  <si>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</si>
  <si>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</si>
  <si>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</si>
  <si>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</si>
  <si>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</si>
  <si>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</si>
  <si>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</si>
  <si>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</si>
  <si>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</si>
  <si>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</si>
  <si>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</si>
  <si>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</si>
  <si>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</si>
  <si>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</si>
  <si>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</si>
  <si>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</si>
  <si>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</si>
  <si>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</si>
  <si>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</si>
  <si>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</si>
  <si>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</si>
  <si>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</si>
  <si>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</si>
  <si>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</si>
  <si>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</si>
  <si>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</si>
  <si>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</si>
  <si>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</si>
  <si>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</si>
  <si>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</si>
  <si>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</si>
  <si>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</si>
  <si>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</si>
  <si>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</si>
  <si>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</si>
  <si>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</si>
  <si>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</si>
  <si>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</si>
  <si>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</si>
  <si>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</si>
  <si>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</si>
  <si>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</si>
  <si>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</si>
  <si>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</si>
  <si>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</si>
  <si>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</si>
  <si>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</si>
  <si>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</si>
  <si>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</si>
  <si>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</si>
  <si>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</si>
  <si>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</si>
  <si>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</si>
  <si>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</si>
  <si>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</si>
  <si>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</si>
  <si>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</si>
  <si>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</si>
  <si>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</si>
  <si>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</si>
  <si>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</si>
  <si>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</si>
  <si>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</si>
  <si>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</si>
  <si>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</si>
  <si>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</si>
  <si>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</si>
  <si>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</si>
  <si>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</si>
  <si>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</si>
  <si>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</si>
  <si>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</si>
  <si>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</si>
  <si>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</si>
  <si>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</si>
  <si>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</si>
  <si>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</si>
  <si>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</si>
  <si>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</si>
  <si>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</si>
  <si>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</si>
  <si>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</si>
  <si>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</si>
  <si>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</si>
  <si>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</si>
  <si>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</si>
  <si>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</si>
  <si>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</si>
  <si>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</si>
  <si>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</si>
  <si>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</si>
  <si>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</si>
  <si>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</si>
  <si>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</si>
  <si>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</si>
  <si>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</si>
  <si>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</si>
  <si>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</si>
  <si>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</si>
  <si>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</si>
  <si>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</si>
  <si>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</si>
  <si>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</si>
  <si>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</si>
  <si>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</si>
  <si>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</si>
  <si>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</si>
  <si>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</si>
  <si>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</si>
  <si>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</si>
  <si>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</si>
  <si>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</si>
  <si>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</si>
  <si>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</si>
  <si>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</si>
  <si>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</si>
  <si>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</si>
  <si>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</si>
  <si>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</si>
  <si>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</si>
  <si>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</si>
  <si>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</si>
  <si>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</si>
  <si>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</si>
  <si>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</si>
  <si>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</si>
  <si>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</si>
  <si>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</si>
  <si>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</si>
  <si>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</si>
  <si>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</si>
  <si>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</si>
  <si>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</si>
  <si>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</si>
  <si>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</si>
  <si>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</si>
  <si>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</si>
  <si>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</si>
  <si>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</si>
  <si>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</si>
  <si>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</si>
  <si>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</si>
  <si>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</si>
  <si>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</si>
  <si>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</si>
  <si>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</si>
  <si>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</si>
  <si>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</si>
  <si>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</si>
  <si>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</si>
  <si>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</si>
  <si>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</si>
  <si>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</si>
  <si>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</si>
  <si>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</si>
  <si>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</si>
  <si>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</si>
  <si>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</si>
  <si>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</si>
  <si>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</si>
  <si>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</si>
  <si>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</si>
  <si>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</si>
  <si>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</si>
  <si>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</si>
  <si>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</si>
  <si>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</si>
  <si>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</si>
  <si>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</si>
  <si>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</si>
  <si>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</si>
  <si>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</si>
  <si>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</si>
  <si>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</si>
  <si>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</si>
  <si>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</si>
  <si>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</si>
  <si>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</si>
  <si>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</si>
  <si>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</si>
  <si>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</si>
  <si>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</si>
  <si>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</si>
  <si>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</si>
  <si>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</si>
  <si>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</si>
  <si>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</si>
  <si>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</si>
  <si>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</si>
  <si>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</si>
  <si>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</si>
  <si>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</si>
  <si>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</si>
  <si>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</si>
  <si>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</si>
  <si>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</si>
  <si>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</si>
  <si>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</si>
  <si>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</si>
  <si>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</si>
  <si>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</si>
  <si>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</si>
  <si>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</si>
  <si>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</si>
  <si>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</si>
  <si>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</si>
  <si>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</si>
  <si>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</si>
  <si>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</si>
  <si>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</si>
  <si>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</si>
  <si>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</si>
  <si>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</si>
  <si>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</si>
  <si>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</si>
  <si>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</si>
  <si>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</si>
  <si>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</si>
  <si>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</si>
  <si>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</si>
  <si>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</si>
  <si>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</si>
  <si>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</si>
  <si>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</si>
  <si>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</si>
  <si>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</si>
  <si>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</si>
  <si>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</si>
  <si>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</si>
  <si>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</si>
  <si>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</si>
  <si>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</si>
  <si>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</si>
  <si>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</si>
  <si>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</si>
  <si>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</si>
  <si>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</si>
  <si>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</si>
  <si>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</si>
  <si>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</si>
  <si>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</si>
  <si>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</si>
  <si>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</si>
  <si>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</si>
  <si>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</si>
  <si>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</si>
  <si>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</si>
  <si>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</si>
  <si>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</si>
  <si>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</si>
  <si>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</si>
  <si>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</si>
  <si>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</si>
  <si>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</si>
  <si>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</si>
  <si>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</si>
  <si>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</si>
  <si>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</si>
  <si>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</si>
  <si>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</si>
  <si>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</si>
  <si>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</si>
  <si>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</si>
  <si>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</si>
  <si>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</si>
  <si>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</si>
  <si>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</si>
  <si>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</si>
  <si>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</si>
  <si>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</si>
  <si>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</si>
  <si>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</si>
  <si>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</si>
  <si>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</si>
  <si>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</si>
  <si>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</si>
  <si>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</si>
  <si>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</si>
  <si>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</si>
  <si>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</si>
  <si>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</si>
  <si>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</si>
  <si>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</si>
  <si>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</si>
  <si>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</si>
  <si>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</si>
  <si>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</si>
  <si>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</si>
  <si>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</si>
  <si>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</si>
  <si>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</si>
  <si>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</si>
  <si>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</si>
  <si>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</si>
  <si>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</si>
  <si>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</si>
  <si>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</si>
  <si>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</si>
  <si>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</si>
  <si>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</si>
  <si>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</si>
  <si>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</si>
  <si>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</si>
  <si>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</si>
  <si>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</si>
  <si>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</si>
  <si>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</si>
  <si>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</si>
  <si>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</si>
  <si>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</si>
  <si>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</si>
  <si>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</si>
  <si>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</si>
  <si>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</si>
  <si>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</si>
  <si>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</si>
  <si>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</si>
  <si>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</si>
  <si>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</si>
  <si>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</si>
  <si>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</si>
  <si>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</si>
  <si>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</si>
  <si>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</si>
  <si>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</si>
  <si>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</si>
  <si>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</si>
  <si>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</si>
  <si>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</si>
  <si>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</si>
  <si>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</si>
  <si>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</si>
  <si>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</si>
  <si>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</si>
  <si>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</si>
  <si>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</si>
  <si>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</si>
  <si>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</si>
  <si>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</si>
  <si>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</si>
  <si>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</si>
  <si>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</si>
  <si>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</si>
  <si>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</si>
  <si>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</si>
  <si>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</si>
  <si>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</si>
  <si>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</si>
  <si>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</si>
  <si>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</si>
  <si>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</si>
  <si>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</si>
  <si>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</si>
  <si>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</si>
  <si>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</si>
  <si>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</si>
  <si>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</si>
  <si>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</si>
  <si>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</si>
  <si>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</si>
  <si>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</si>
  <si>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</si>
  <si>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</si>
  <si>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</si>
  <si>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</si>
  <si>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</si>
  <si>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</si>
  <si>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</si>
  <si>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</si>
  <si>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</si>
  <si>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</si>
  <si>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</si>
  <si>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</si>
  <si>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</si>
  <si>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</si>
  <si>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</si>
  <si>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</si>
  <si>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</si>
  <si>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</si>
  <si>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</si>
  <si>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</si>
  <si>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</si>
  <si>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</si>
  <si>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</si>
  <si>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</si>
  <si>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</si>
  <si>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</si>
  <si>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</si>
  <si>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</si>
  <si>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</si>
  <si>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</si>
  <si>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</si>
  <si>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</si>
  <si>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</si>
  <si>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</si>
  <si>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</si>
  <si>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</si>
  <si>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</si>
  <si>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</si>
  <si>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</si>
  <si>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</si>
  <si>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</si>
  <si>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</si>
  <si>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</si>
  <si>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</si>
  <si>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</si>
  <si>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</si>
  <si>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</si>
  <si>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</si>
  <si>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</si>
  <si>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</si>
  <si>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</si>
  <si>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</si>
  <si>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</si>
  <si>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</si>
  <si>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</si>
  <si>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</si>
  <si>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</si>
  <si>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</si>
  <si>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</si>
  <si>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</si>
  <si>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</si>
  <si>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</si>
  <si>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</si>
  <si>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</si>
  <si>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</si>
  <si>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</si>
  <si>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</si>
  <si>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</si>
  <si>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</si>
  <si>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</si>
  <si>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</si>
  <si>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</si>
  <si>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</si>
  <si>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</si>
  <si>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</si>
  <si>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</si>
  <si>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</si>
  <si>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</si>
  <si>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</si>
  <si>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</si>
  <si>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</si>
  <si>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</si>
  <si>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</si>
  <si>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</si>
  <si>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</si>
  <si>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</si>
  <si>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</si>
  <si>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</si>
  <si>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</si>
  <si>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</si>
  <si>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</si>
  <si>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</si>
  <si>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</si>
  <si>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</si>
  <si>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</si>
  <si>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</si>
  <si>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</si>
  <si>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</si>
  <si>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</si>
  <si>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</si>
  <si>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</si>
  <si>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</si>
  <si>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</si>
  <si>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</si>
  <si>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</si>
  <si>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</si>
  <si>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</si>
  <si>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</si>
  <si>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</si>
  <si>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</si>
  <si>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</si>
  <si>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</si>
  <si>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</si>
  <si>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</si>
  <si>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</si>
  <si>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</si>
  <si>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</si>
  <si>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</si>
  <si>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</si>
  <si>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</si>
  <si>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</si>
  <si>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</si>
  <si>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</si>
  <si>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</si>
  <si>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</si>
  <si>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</si>
  <si>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</si>
  <si>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</si>
  <si>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</si>
  <si>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</si>
  <si>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</si>
  <si>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</si>
  <si>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</si>
  <si>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</si>
  <si>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</si>
  <si>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</si>
  <si>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</si>
  <si>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</si>
  <si>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</si>
  <si>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</si>
  <si>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</si>
  <si>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</si>
  <si>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</si>
  <si>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</si>
  <si>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</si>
  <si>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</si>
  <si>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</si>
  <si>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</si>
  <si>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</si>
  <si>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</si>
  <si>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</si>
  <si>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</si>
  <si>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</si>
  <si>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</si>
  <si>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</si>
  <si>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</si>
  <si>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</si>
  <si>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</si>
  <si>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</si>
  <si>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</si>
  <si>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</si>
  <si>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</si>
  <si>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</si>
  <si>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</si>
  <si>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</si>
  <si>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</si>
  <si>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</si>
  <si>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</si>
  <si>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</si>
  <si>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</si>
  <si>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</si>
  <si>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</si>
  <si>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</si>
  <si>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</si>
  <si>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</si>
  <si>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</si>
  <si>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</si>
  <si>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</si>
  <si>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</si>
  <si>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</si>
  <si>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</si>
  <si>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</si>
  <si>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</si>
  <si>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</si>
  <si>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</si>
  <si>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</si>
  <si>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</si>
  <si>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</si>
  <si>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</si>
  <si>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</si>
  <si>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</si>
  <si>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</si>
  <si>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</si>
  <si>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</si>
  <si>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</si>
  <si>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</si>
  <si>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</si>
  <si>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</si>
  <si>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</si>
  <si>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</si>
  <si>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</si>
  <si>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</si>
  <si>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</si>
  <si>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</si>
  <si>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</si>
  <si>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</si>
  <si>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</si>
  <si>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</si>
  <si>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</si>
  <si>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</si>
  <si>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</si>
  <si>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</si>
  <si>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</si>
  <si>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</si>
  <si>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</si>
  <si>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</si>
  <si>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</si>
  <si>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</si>
  <si>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</si>
  <si>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</si>
  <si>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</si>
  <si>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</si>
  <si>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</si>
  <si>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</si>
  <si>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</si>
  <si>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</si>
  <si>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</si>
  <si>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</si>
  <si>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</si>
  <si>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</si>
  <si>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</si>
  <si>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</si>
  <si>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</si>
  <si>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</si>
  <si>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</si>
  <si>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</si>
  <si>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</si>
  <si>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</si>
  <si>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</si>
  <si>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</si>
  <si>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</si>
  <si>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</si>
  <si>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</si>
  <si>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</si>
  <si>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</si>
  <si>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</si>
  <si>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</si>
  <si>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</si>
  <si>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</si>
  <si>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</si>
  <si>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</si>
  <si>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</si>
  <si>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</si>
  <si>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</si>
  <si>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</si>
  <si>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</si>
  <si>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</si>
  <si>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</si>
  <si>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</si>
  <si>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</si>
  <si>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</si>
  <si>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</si>
  <si>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</si>
  <si>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</si>
  <si>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</si>
  <si>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</si>
  <si>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</si>
  <si>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</si>
  <si>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</si>
  <si>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</si>
  <si>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</si>
  <si>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</si>
  <si>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</si>
  <si>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</si>
  <si>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</si>
  <si>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</si>
  <si>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</si>
  <si>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</si>
  <si>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</si>
  <si>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</si>
  <si>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</si>
  <si>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</si>
  <si>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</si>
  <si>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</si>
  <si>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</si>
  <si>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</si>
  <si>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</si>
  <si>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</si>
  <si>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</si>
  <si>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</si>
  <si>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</si>
  <si>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</si>
  <si>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</si>
  <si>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</si>
  <si>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</si>
  <si>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</si>
  <si>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</si>
  <si>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</si>
  <si>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</si>
  <si>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</si>
  <si>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</si>
  <si>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</si>
  <si>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</si>
  <si>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</si>
  <si>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</si>
  <si>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</si>
  <si>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</si>
  <si>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</si>
  <si>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</si>
  <si>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</si>
  <si>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</si>
  <si>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</si>
  <si>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</si>
  <si>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</si>
  <si>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</si>
  <si>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</si>
  <si>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</si>
  <si>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</si>
  <si>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</si>
  <si>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</si>
  <si>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</si>
  <si>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</si>
  <si>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</si>
  <si>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</si>
  <si>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</si>
  <si>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</si>
  <si>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</si>
  <si>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</si>
  <si>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</si>
  <si>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</si>
  <si>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</si>
  <si>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</si>
  <si>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</si>
  <si>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</si>
  <si>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</si>
  <si>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</si>
  <si>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</si>
  <si>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</si>
  <si>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</si>
  <si>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</si>
  <si>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</si>
  <si>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</si>
  <si>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</si>
  <si>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</si>
  <si>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</si>
  <si>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</si>
  <si>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</si>
  <si>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</si>
  <si>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</si>
  <si>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</si>
  <si>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</si>
  <si>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</si>
  <si>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</si>
  <si>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</si>
  <si>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</si>
  <si>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</si>
  <si>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</si>
  <si>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</si>
  <si>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</si>
  <si>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</si>
  <si>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</si>
  <si>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</si>
  <si>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</si>
  <si>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</si>
  <si>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</si>
  <si>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</si>
  <si>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</si>
  <si>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</si>
  <si>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</si>
  <si>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</si>
  <si>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</si>
  <si>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</si>
  <si>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</si>
  <si>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</si>
  <si>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</si>
  <si>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</si>
  <si>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</si>
  <si>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</si>
  <si>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</si>
  <si>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</si>
  <si>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</si>
  <si>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</si>
  <si>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</si>
  <si>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</si>
  <si>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</si>
  <si>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</si>
  <si>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</si>
  <si>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</si>
  <si>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</si>
  <si>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</si>
  <si>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</si>
  <si>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</si>
  <si>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</si>
  <si>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</si>
  <si>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</si>
  <si>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</si>
  <si>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</si>
  <si>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</si>
  <si>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</si>
  <si>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</si>
  <si>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</si>
  <si>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</si>
  <si>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</si>
  <si>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</si>
  <si>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</si>
  <si>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</si>
  <si>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</si>
  <si>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</si>
  <si>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</si>
  <si>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</si>
  <si>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</si>
  <si>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</si>
  <si>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</si>
  <si>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</si>
  <si>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</si>
  <si>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</si>
  <si>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</si>
  <si>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</si>
  <si>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</si>
  <si>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</si>
  <si>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</si>
  <si>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</si>
  <si>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</si>
  <si>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</si>
  <si>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</si>
  <si>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</si>
  <si>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</si>
  <si>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</si>
  <si>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</si>
  <si>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</si>
  <si>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</si>
  <si>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</si>
  <si>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</si>
  <si>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</si>
  <si>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</si>
  <si>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</si>
  <si>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</si>
  <si>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</si>
  <si>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</si>
  <si>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</si>
  <si>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</si>
  <si>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</si>
  <si>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</si>
  <si>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</si>
  <si>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</si>
  <si>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</si>
  <si>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</si>
  <si>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</si>
  <si>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</si>
  <si>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</si>
  <si>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</si>
  <si>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</si>
  <si>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</si>
  <si>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</si>
  <si>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</si>
  <si>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</si>
  <si>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</si>
  <si>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</si>
  <si>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</si>
  <si>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</si>
  <si>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</si>
  <si>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</si>
  <si>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</si>
  <si>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</si>
  <si>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</si>
  <si>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</si>
  <si>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</si>
  <si>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</si>
  <si>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</si>
  <si>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</si>
  <si>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</si>
  <si>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</si>
  <si>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</si>
  <si>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</si>
  <si>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</si>
  <si>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</si>
  <si>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</si>
  <si>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</si>
  <si>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</si>
  <si>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</si>
  <si>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</si>
  <si>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</si>
  <si>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</si>
  <si>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</si>
  <si>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</si>
  <si>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</si>
  <si>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</si>
  <si>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</si>
  <si>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</si>
  <si>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</si>
  <si>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</si>
  <si>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</si>
  <si>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</si>
  <si>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</si>
  <si>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</si>
  <si>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</si>
  <si>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</si>
  <si>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</si>
  <si>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</si>
  <si>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</si>
  <si>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</si>
  <si>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</si>
  <si>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</si>
  <si>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</si>
  <si>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</si>
  <si>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</si>
  <si>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</si>
  <si>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</si>
  <si>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</si>
  <si>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</si>
  <si>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</si>
  <si>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</si>
  <si>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</si>
  <si>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</si>
  <si>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</si>
  <si>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</si>
  <si>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</si>
  <si>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</si>
  <si>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</si>
  <si>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</si>
  <si>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</si>
  <si>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</si>
  <si>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</si>
  <si>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</si>
  <si>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</si>
  <si>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</si>
  <si>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</si>
  <si>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</si>
  <si>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</si>
  <si>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</si>
  <si>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</si>
  <si>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</si>
  <si>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</si>
  <si>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</si>
  <si>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</si>
  <si>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</si>
  <si>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</si>
  <si>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</si>
  <si>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</si>
  <si>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</si>
  <si>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</si>
  <si>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</si>
  <si>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</si>
  <si>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</si>
  <si>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</si>
  <si>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</si>
  <si>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</si>
  <si>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</si>
  <si>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</si>
  <si>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</si>
  <si>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</si>
  <si>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</si>
  <si>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</si>
  <si>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</si>
  <si>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</si>
  <si>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</si>
  <si>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</si>
  <si>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</si>
  <si>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</si>
  <si>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</si>
  <si>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</si>
  <si>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</si>
  <si>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</si>
  <si>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</si>
  <si>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</si>
  <si>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</si>
  <si>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</si>
  <si>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</si>
  <si>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</si>
  <si>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</si>
  <si>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</si>
  <si>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</si>
  <si>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</si>
  <si>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</si>
  <si>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</si>
  <si>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</si>
  <si>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</si>
  <si>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</si>
  <si>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</si>
  <si>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</si>
  <si>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</si>
  <si>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</si>
  <si>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</si>
  <si>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</si>
  <si>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</si>
  <si>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</si>
  <si>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</si>
  <si>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</si>
  <si>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</si>
  <si>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</si>
  <si>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</si>
  <si>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</si>
  <si>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</si>
  <si>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</si>
  <si>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</si>
  <si>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</si>
  <si>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</si>
  <si>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</si>
  <si>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</si>
  <si>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</si>
  <si>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</si>
  <si>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</si>
  <si>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</si>
  <si>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</si>
  <si>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</si>
  <si>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</si>
  <si>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</si>
  <si>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</si>
  <si>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</si>
  <si>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</si>
  <si>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</si>
  <si>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</si>
  <si>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</si>
  <si>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</si>
  <si>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</si>
  <si>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</si>
  <si>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</si>
  <si>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</si>
  <si>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</si>
  <si>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</si>
  <si>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</si>
  <si>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</si>
  <si>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</si>
  <si>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</si>
  <si>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</si>
  <si>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</si>
  <si>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</si>
  <si>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</si>
  <si>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</si>
  <si>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</si>
  <si>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</si>
  <si>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</si>
  <si>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</si>
  <si>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</si>
  <si>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</si>
  <si>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</si>
  <si>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</si>
  <si>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</si>
  <si>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</si>
  <si>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</si>
  <si>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</si>
  <si>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</si>
  <si>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</si>
  <si>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</si>
  <si>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</si>
  <si>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</si>
  <si>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</si>
  <si>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</si>
  <si>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</si>
  <si>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</si>
  <si>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</si>
  <si>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</si>
  <si>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</si>
  <si>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</si>
  <si>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</si>
  <si>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</si>
  <si>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</si>
  <si>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</si>
  <si>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</si>
  <si>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</si>
  <si>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</si>
  <si>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</si>
  <si>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</si>
  <si>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</si>
  <si>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</si>
  <si>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</si>
  <si>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</si>
  <si>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</si>
  <si>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</si>
  <si>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</si>
  <si>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</si>
  <si>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</si>
  <si>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</si>
  <si>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</si>
  <si>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</si>
  <si>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</si>
  <si>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</si>
  <si>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</si>
  <si>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</si>
  <si>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</si>
  <si>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</si>
  <si>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</si>
  <si>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</si>
  <si>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</si>
  <si>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</si>
  <si>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</si>
  <si>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</si>
  <si>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</si>
  <si>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</si>
  <si>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</si>
  <si>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</si>
  <si>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</si>
  <si>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</si>
  <si>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</si>
  <si>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</si>
  <si>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</si>
  <si>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</si>
  <si>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</si>
  <si>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</si>
  <si>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</si>
  <si>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</si>
  <si>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</si>
  <si>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</si>
  <si>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</si>
  <si>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</si>
  <si>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</si>
  <si>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</si>
  <si>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</si>
  <si>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</si>
  <si>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</si>
  <si>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</si>
  <si>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</si>
  <si>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</si>
  <si>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</si>
  <si>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</si>
  <si>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</si>
  <si>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</si>
  <si>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</si>
  <si>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</si>
  <si>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</si>
  <si>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</si>
  <si>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</si>
  <si>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</si>
  <si>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</si>
  <si>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</si>
  <si>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</si>
  <si>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</si>
  <si>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</si>
  <si>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</si>
  <si>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</si>
  <si>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</si>
  <si>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</si>
  <si>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</si>
  <si>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</si>
  <si>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</si>
  <si>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</si>
  <si>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</si>
  <si>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</si>
  <si>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</si>
  <si>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</si>
  <si>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</si>
  <si>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</si>
  <si>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</si>
  <si>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</si>
  <si>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</si>
  <si>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</si>
  <si>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</si>
  <si>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</si>
  <si>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</si>
  <si>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</si>
  <si>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</si>
  <si>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</si>
  <si>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</si>
  <si>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</si>
  <si>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</si>
  <si>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</si>
  <si>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</si>
  <si>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</si>
  <si>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</si>
  <si>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</si>
  <si>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</si>
  <si>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</si>
  <si>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</si>
  <si>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</si>
  <si>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</si>
  <si>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</si>
  <si>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</si>
  <si>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</si>
  <si>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</si>
  <si>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</si>
  <si>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</si>
  <si>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</si>
  <si>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</si>
  <si>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</si>
  <si>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</si>
  <si>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</si>
  <si>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</si>
  <si>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</si>
  <si>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</si>
  <si>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</si>
  <si>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</si>
  <si>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</si>
  <si>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</si>
  <si>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</si>
  <si>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</si>
  <si>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</si>
  <si>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</si>
  <si>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</si>
  <si>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</si>
  <si>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</si>
  <si>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</si>
  <si>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</si>
  <si>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</si>
  <si>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</si>
  <si>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</si>
  <si>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</si>
  <si>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</si>
  <si>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</si>
  <si>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</si>
  <si>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</si>
  <si>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</si>
  <si>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</si>
  <si>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</si>
  <si>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</si>
  <si>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</si>
  <si>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</si>
  <si>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</si>
  <si>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</si>
  <si>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</si>
  <si>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</si>
  <si>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</si>
  <si>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</si>
  <si>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</si>
  <si>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</si>
  <si>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</si>
  <si>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</si>
  <si>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</si>
  <si>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</si>
  <si>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</si>
  <si>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</si>
  <si>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</si>
  <si>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</si>
  <si>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</si>
  <si>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</si>
  <si>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</si>
  <si>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</si>
  <si>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</si>
  <si>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</si>
  <si>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</si>
  <si>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</si>
  <si>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</si>
  <si>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</si>
  <si>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</si>
  <si>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</si>
  <si>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</si>
  <si>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</si>
  <si>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</si>
  <si>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</si>
  <si>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</si>
  <si>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</si>
  <si>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</si>
  <si>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</si>
  <si>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</si>
  <si>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</si>
  <si>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</si>
  <si>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</si>
  <si>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</si>
  <si>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</si>
  <si>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</si>
  <si>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</si>
  <si>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</si>
  <si>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</si>
  <si>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</si>
  <si>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</si>
  <si>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</si>
  <si>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</si>
  <si>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</si>
  <si>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</si>
  <si>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</si>
  <si>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</si>
  <si>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</si>
  <si>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</si>
  <si>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</si>
  <si>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</si>
  <si>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</si>
  <si>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</si>
  <si>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</si>
  <si>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</si>
  <si>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</si>
  <si>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</si>
  <si>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</si>
  <si>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</si>
  <si>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</si>
  <si>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</si>
  <si>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</si>
  <si>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</si>
  <si>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</si>
  <si>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</si>
  <si>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</si>
  <si>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</si>
  <si>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</si>
  <si>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</si>
  <si>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</si>
  <si>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</si>
  <si>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</si>
  <si>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</si>
  <si>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</si>
  <si>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</si>
  <si>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</si>
  <si>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</si>
  <si>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</si>
  <si>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</si>
  <si>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</si>
  <si>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</si>
  <si>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</si>
  <si>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</si>
  <si>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</si>
  <si>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</si>
  <si>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</si>
  <si>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</si>
  <si>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</si>
  <si>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</si>
  <si>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</si>
  <si>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</si>
  <si>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</si>
  <si>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</si>
  <si>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</si>
  <si>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</si>
  <si>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</si>
  <si>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</si>
  <si>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</si>
  <si>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</si>
  <si>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</si>
  <si>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</si>
  <si>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</si>
  <si>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</si>
  <si>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</si>
  <si>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</si>
  <si>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</si>
  <si>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</si>
  <si>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</si>
  <si>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</si>
  <si>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</si>
  <si>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</si>
  <si>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</si>
  <si>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</si>
  <si>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</si>
  <si>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</si>
  <si>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</si>
  <si>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</si>
  <si>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</si>
  <si>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</si>
  <si>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</si>
  <si>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</si>
  <si>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</si>
  <si>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</si>
  <si>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</si>
  <si>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</si>
  <si>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</si>
  <si>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</si>
  <si>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</si>
  <si>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</si>
  <si>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</si>
  <si>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</si>
  <si>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</si>
  <si>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</si>
  <si>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</si>
  <si>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</si>
  <si>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</si>
  <si>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</si>
  <si>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</si>
  <si>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</si>
  <si>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</si>
  <si>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</si>
  <si>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</si>
  <si>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</si>
  <si>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</si>
  <si>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</si>
  <si>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</si>
  <si>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</si>
  <si>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</si>
  <si>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</si>
  <si>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</si>
  <si>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</si>
  <si>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</si>
  <si>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</si>
  <si>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</si>
  <si>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</si>
  <si>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</si>
  <si>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</si>
  <si>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</si>
  <si>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</si>
  <si>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</si>
  <si>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</si>
  <si>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</si>
  <si>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</si>
  <si>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</si>
  <si>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</si>
  <si>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</si>
  <si>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</si>
  <si>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</si>
  <si>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</si>
  <si>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</si>
  <si>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</si>
  <si>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</si>
  <si>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</si>
  <si>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</si>
  <si>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</si>
  <si>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</si>
  <si>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</si>
  <si>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</si>
  <si>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</si>
  <si>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</si>
  <si>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</si>
  <si>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</si>
  <si>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</si>
  <si>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</si>
  <si>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</si>
  <si>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</si>
  <si>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</si>
  <si>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</si>
  <si>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</si>
  <si>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</si>
  <si>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</si>
  <si>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</si>
  <si>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</si>
  <si>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</si>
  <si>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</si>
  <si>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</si>
  <si>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</si>
  <si>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</si>
  <si>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</si>
  <si>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</si>
  <si>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</si>
  <si>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</si>
  <si>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</si>
  <si>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</si>
  <si>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</si>
  <si>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</si>
  <si>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</si>
  <si>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</si>
  <si>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</si>
  <si>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</si>
  <si>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</si>
  <si>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</si>
  <si>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</si>
  <si>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</si>
  <si>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</si>
  <si>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</si>
  <si>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</si>
  <si>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</si>
  <si>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</si>
  <si>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</si>
  <si>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</si>
  <si>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</si>
  <si>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</si>
  <si>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</si>
  <si>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</si>
  <si>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</si>
  <si>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</si>
  <si>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</si>
  <si>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</si>
  <si>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</si>
  <si>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</si>
  <si>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</si>
  <si>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</si>
  <si>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</si>
  <si>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</si>
  <si>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</si>
  <si>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</si>
  <si>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</si>
  <si>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</si>
  <si>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</si>
  <si>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</si>
  <si>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</si>
  <si>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</si>
  <si>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</si>
  <si>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</si>
  <si>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</si>
  <si>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</si>
  <si>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</si>
  <si>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</si>
  <si>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</si>
  <si>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</si>
  <si>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</si>
  <si>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</si>
  <si>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</si>
  <si>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</si>
  <si>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</si>
  <si>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</si>
  <si>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</si>
  <si>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</si>
  <si>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</si>
  <si>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</si>
  <si>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</si>
  <si>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</si>
  <si>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</si>
  <si>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</si>
  <si>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</si>
  <si>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</si>
  <si>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</si>
  <si>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</si>
  <si>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</si>
  <si>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</si>
  <si>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</si>
  <si>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</si>
  <si>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</si>
  <si>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</si>
  <si>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</si>
  <si>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</si>
  <si>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</si>
  <si>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</si>
  <si>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</si>
  <si>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</si>
  <si>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</si>
  <si>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</si>
  <si>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</si>
  <si>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</si>
  <si>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</si>
  <si>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</si>
  <si>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</si>
  <si>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</si>
  <si>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</si>
  <si>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</si>
  <si>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</si>
  <si>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</si>
  <si>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</si>
  <si>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</si>
  <si>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</si>
  <si>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</si>
  <si>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</si>
  <si>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</si>
  <si>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</si>
  <si>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</si>
  <si>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</si>
  <si>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</si>
  <si>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</si>
  <si>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</si>
  <si>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</si>
  <si>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</si>
  <si>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</si>
  <si>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</si>
  <si>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</si>
  <si>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</si>
  <si>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</si>
  <si>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</si>
  <si>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</si>
  <si>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</si>
  <si>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</si>
  <si>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</si>
  <si>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</si>
  <si>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</si>
  <si>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</si>
  <si>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</si>
  <si>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</si>
  <si>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</si>
  <si>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</si>
  <si>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</si>
  <si>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</si>
  <si>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</si>
  <si>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</si>
  <si>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</si>
  <si>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</si>
  <si>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</si>
  <si>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</si>
  <si>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</si>
  <si>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</si>
  <si>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</si>
  <si>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</si>
  <si>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</si>
  <si>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</si>
  <si>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</si>
  <si>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</si>
  <si>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</si>
  <si>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</si>
  <si>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</si>
  <si>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</si>
  <si>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</si>
  <si>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</si>
  <si>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</si>
  <si>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</si>
  <si>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</si>
  <si>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</si>
  <si>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</si>
  <si>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</si>
  <si>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</si>
  <si>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</si>
  <si>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</si>
  <si>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</si>
  <si>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</si>
  <si>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</si>
  <si>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</si>
  <si>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</si>
  <si>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</si>
  <si>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</si>
  <si>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</si>
  <si>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</si>
  <si>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</si>
  <si>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</si>
  <si>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</si>
  <si>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</si>
  <si>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</si>
  <si>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</si>
  <si>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</si>
  <si>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</si>
  <si>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</si>
  <si>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</si>
  <si>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</si>
  <si>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</si>
  <si>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</si>
  <si>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</si>
  <si>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</si>
  <si>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</si>
  <si>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</si>
  <si>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</si>
  <si>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</si>
  <si>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</si>
  <si>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</si>
  <si>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</si>
  <si>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</si>
  <si>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</si>
  <si>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</si>
  <si>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</si>
  <si>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</si>
  <si>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</si>
  <si>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</si>
  <si>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</si>
  <si>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</si>
  <si>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</si>
  <si>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</si>
  <si>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</si>
  <si>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</si>
  <si>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</si>
  <si>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</si>
  <si>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</si>
  <si>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</si>
  <si>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</si>
  <si>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</si>
  <si>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</si>
  <si>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</si>
  <si>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</si>
  <si>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</si>
  <si>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</si>
  <si>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</si>
  <si>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</si>
  <si>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</si>
  <si>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</si>
  <si>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</si>
  <si>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</si>
  <si>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</si>
  <si>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</si>
  <si>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</si>
  <si>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</si>
  <si>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</si>
  <si>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</si>
  <si>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</si>
  <si>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</si>
  <si>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</si>
  <si>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</si>
  <si>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</si>
  <si>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</si>
  <si>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</si>
  <si>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</si>
  <si>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</si>
  <si>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</si>
  <si>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</si>
  <si>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</si>
  <si>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</si>
  <si>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</si>
  <si>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</si>
  <si>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</si>
  <si>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</si>
  <si>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</si>
  <si>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</si>
  <si>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</si>
  <si>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</si>
  <si>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</si>
  <si>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</si>
  <si>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</si>
  <si>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</si>
  <si>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</si>
  <si>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</si>
  <si>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</si>
  <si>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</si>
  <si>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</si>
  <si>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</si>
  <si>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</si>
  <si>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</si>
  <si>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</si>
  <si>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</si>
  <si>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</si>
  <si>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</si>
  <si>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</si>
  <si>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</si>
  <si>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</si>
  <si>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</si>
  <si>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</si>
  <si>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</si>
  <si>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</si>
  <si>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</si>
  <si>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</si>
  <si>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</si>
  <si>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</si>
  <si>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</si>
  <si>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</si>
  <si>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</si>
  <si>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</si>
  <si>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</si>
  <si>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</si>
  <si>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</si>
  <si>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</si>
  <si>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</si>
  <si>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</si>
  <si>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</si>
  <si>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</si>
  <si>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</si>
  <si>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</si>
  <si>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</si>
  <si>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</si>
  <si>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</si>
  <si>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</si>
  <si>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</si>
  <si>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</si>
  <si>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</si>
  <si>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</si>
  <si>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</si>
  <si>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</si>
  <si>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</si>
  <si>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</si>
  <si>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</si>
  <si>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</si>
  <si>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</si>
  <si>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</si>
  <si>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</si>
  <si>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</si>
  <si>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</si>
  <si>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</si>
  <si>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</si>
  <si>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</si>
  <si>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</si>
  <si>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</si>
  <si>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</si>
  <si>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</si>
  <si>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</si>
  <si>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</si>
  <si>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</si>
  <si>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</si>
  <si>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</si>
  <si>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</si>
  <si>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</si>
  <si>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</si>
  <si>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</si>
  <si>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</si>
  <si>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</si>
  <si>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</si>
  <si>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</si>
  <si>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</si>
  <si>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</si>
  <si>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</si>
  <si>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</si>
  <si>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</si>
  <si>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</si>
  <si>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</si>
  <si>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</si>
  <si>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</si>
  <si>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</si>
  <si>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</si>
  <si>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</si>
  <si>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</si>
  <si>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</si>
  <si>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</si>
  <si>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</si>
  <si>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</si>
  <si>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</si>
  <si>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</si>
  <si>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</si>
  <si>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</si>
  <si>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</si>
  <si>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</si>
  <si>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</si>
  <si>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</si>
  <si>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</si>
  <si>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</si>
  <si>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</si>
  <si>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</si>
  <si>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</si>
  <si>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</si>
  <si>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</si>
  <si>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</si>
  <si>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</si>
  <si>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</si>
  <si>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</si>
  <si>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</si>
  <si>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</si>
  <si>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</si>
  <si>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</si>
  <si>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</si>
  <si>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</si>
  <si>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</si>
  <si>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</si>
  <si>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</si>
  <si>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</si>
  <si>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</si>
  <si>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</si>
  <si>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</si>
  <si>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</si>
  <si>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</si>
  <si>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</si>
  <si>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</si>
  <si>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</si>
  <si>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</si>
  <si>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</si>
  <si>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</si>
  <si>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</si>
  <si>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</si>
  <si>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</si>
  <si>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</si>
  <si>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</si>
  <si>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</si>
  <si>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</si>
  <si>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</si>
  <si>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</si>
  <si>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</si>
  <si>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</si>
  <si>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</si>
  <si>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</si>
  <si>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</si>
  <si>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</si>
  <si>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</si>
  <si>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</si>
  <si>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</si>
  <si>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</si>
  <si>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</si>
  <si>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</si>
  <si>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</si>
  <si>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</si>
  <si>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</si>
  <si>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</si>
  <si>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</si>
  <si>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</si>
  <si>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</si>
  <si>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</si>
  <si>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</si>
  <si>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</si>
  <si>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</si>
  <si>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</si>
  <si>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</si>
  <si>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</si>
  <si>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</si>
  <si>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</si>
  <si>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</si>
  <si>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</si>
  <si>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</si>
  <si>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</si>
  <si>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</si>
  <si>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</si>
  <si>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</si>
  <si>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</si>
  <si>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</si>
  <si>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</si>
  <si>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</si>
  <si>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</si>
  <si>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</si>
  <si>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</si>
  <si>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</si>
  <si>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</si>
  <si>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</si>
  <si>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</si>
  <si>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</si>
  <si>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</si>
  <si>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</si>
  <si>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</si>
  <si>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</si>
  <si>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</si>
  <si>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</si>
  <si>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</si>
  <si>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</si>
  <si>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</si>
  <si>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</si>
  <si>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</si>
  <si>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</si>
  <si>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</si>
  <si>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</si>
  <si>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</si>
  <si>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</si>
  <si>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</si>
  <si>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</si>
  <si>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</si>
  <si>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</si>
  <si>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</si>
  <si>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</si>
  <si>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</si>
  <si>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</si>
  <si>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</si>
  <si>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</si>
  <si>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</si>
  <si>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</si>
  <si>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</si>
  <si>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</si>
  <si>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</si>
  <si>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</si>
  <si>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</si>
  <si>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</si>
  <si>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</si>
  <si>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</si>
  <si>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</si>
  <si>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</si>
  <si>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</si>
  <si>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</si>
  <si>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</si>
  <si>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</si>
  <si>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</si>
  <si>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</si>
  <si>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</si>
  <si>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</si>
  <si>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</si>
  <si>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</si>
  <si>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</si>
  <si>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</si>
  <si>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</si>
  <si>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</si>
  <si>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</si>
  <si>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</si>
  <si>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</si>
  <si>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</si>
  <si>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</si>
  <si>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</si>
  <si>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</si>
  <si>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</si>
  <si>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</si>
  <si>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</si>
  <si>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</si>
  <si>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</si>
  <si>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</si>
  <si>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</si>
  <si>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</si>
  <si>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</si>
  <si>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</si>
  <si>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</si>
  <si>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</si>
  <si>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</si>
  <si>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</si>
  <si>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</si>
  <si>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</si>
  <si>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</si>
  <si>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</si>
  <si>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</si>
  <si>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</si>
  <si>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</si>
  <si>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</si>
  <si>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</si>
  <si>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</si>
  <si>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</si>
  <si>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</si>
  <si>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</si>
  <si>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</si>
  <si>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</si>
  <si>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</si>
  <si>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</si>
  <si>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</si>
  <si>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</si>
  <si>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</si>
  <si>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</si>
  <si>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</si>
  <si>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</si>
  <si>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</si>
  <si>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</si>
  <si>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</si>
  <si>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</si>
  <si>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</si>
  <si>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</si>
  <si>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</si>
  <si>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</si>
  <si>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</si>
  <si>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</si>
  <si>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</si>
  <si>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</si>
  <si>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</si>
  <si>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</si>
  <si>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</si>
  <si>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</si>
  <si>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</si>
  <si>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</si>
  <si>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</si>
  <si>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</si>
  <si>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</si>
  <si>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</si>
  <si>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</si>
  <si>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</si>
  <si>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</si>
  <si>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</si>
  <si>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</si>
  <si>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</si>
  <si>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</si>
  <si>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</si>
  <si>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</si>
  <si>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</si>
  <si>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</si>
  <si>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</si>
  <si>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</si>
  <si>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</si>
  <si>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</si>
  <si>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</si>
  <si>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</si>
  <si>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</si>
  <si>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</si>
  <si>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</si>
  <si>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</si>
  <si>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</si>
  <si>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</si>
  <si>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</si>
  <si>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</si>
  <si>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</si>
  <si>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</si>
  <si>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</si>
  <si>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</si>
  <si>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</si>
  <si>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</si>
  <si>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</si>
  <si>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</si>
  <si>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</si>
  <si>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</si>
  <si>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</si>
  <si>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</si>
  <si>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</si>
  <si>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</si>
  <si>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</si>
  <si>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</si>
  <si>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</si>
  <si>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</si>
  <si>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</si>
  <si>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</si>
  <si>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</si>
  <si>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</si>
  <si>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</si>
  <si>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</si>
  <si>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</si>
  <si>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</si>
  <si>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</si>
  <si>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</si>
  <si>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</si>
  <si>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</si>
  <si>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</si>
  <si>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</si>
  <si>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</si>
  <si>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</si>
  <si>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</si>
  <si>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</si>
  <si>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</si>
  <si>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</si>
  <si>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</si>
  <si>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</si>
  <si>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</si>
  <si>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</si>
  <si>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</si>
  <si>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</si>
  <si>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</si>
  <si>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</si>
  <si>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</si>
  <si>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</si>
  <si>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</si>
  <si>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</si>
  <si>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</si>
  <si>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</si>
  <si>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</si>
  <si>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</si>
  <si>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</si>
  <si>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</si>
  <si>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</si>
  <si>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</si>
  <si>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</si>
  <si>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</si>
  <si>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</si>
  <si>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</si>
  <si>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</si>
  <si>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</si>
  <si>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</si>
  <si>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</si>
  <si>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</si>
  <si>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</si>
  <si>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</si>
  <si>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</si>
  <si>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</si>
  <si>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</si>
  <si>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</si>
  <si>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</si>
  <si>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</si>
  <si>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</si>
  <si>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</si>
  <si>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</si>
  <si>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</si>
  <si>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</si>
  <si>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</si>
  <si>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</si>
  <si>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</si>
  <si>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</si>
  <si>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</si>
  <si>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</si>
  <si>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</si>
  <si>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</si>
  <si>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</si>
  <si>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</si>
  <si>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</si>
  <si>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</si>
  <si>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</si>
  <si>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</si>
  <si>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</si>
  <si>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</si>
  <si>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</si>
  <si>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</si>
  <si>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</si>
  <si>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</si>
  <si>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</si>
  <si>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</si>
  <si>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</si>
  <si>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</si>
  <si>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</si>
  <si>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</si>
  <si>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</si>
  <si>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</si>
  <si>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</si>
  <si>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</si>
  <si>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</si>
  <si>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</si>
  <si>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</si>
  <si>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</si>
  <si>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</si>
  <si>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</si>
  <si>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</si>
  <si>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</si>
  <si>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</si>
  <si>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</si>
  <si>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</si>
  <si>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</si>
  <si>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</si>
  <si>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</si>
  <si>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</si>
  <si>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</si>
  <si>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</si>
  <si>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</si>
  <si>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</si>
  <si>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</si>
  <si>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</si>
  <si>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</si>
  <si>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</si>
  <si>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</si>
  <si>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</si>
  <si>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</si>
  <si>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</si>
  <si>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</si>
  <si>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</si>
  <si>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</si>
  <si>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</si>
  <si>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</si>
  <si>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</si>
  <si>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</si>
  <si>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</si>
  <si>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</si>
  <si>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</si>
  <si>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</si>
  <si>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</si>
  <si>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</si>
  <si>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</si>
  <si>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</si>
  <si>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</si>
  <si>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</si>
  <si>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</si>
  <si>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</si>
  <si>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</si>
  <si>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</si>
  <si>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</si>
  <si>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</si>
  <si>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</si>
  <si>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</si>
  <si>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</si>
  <si>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</si>
  <si>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</si>
  <si>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</si>
  <si>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</si>
  <si>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</si>
  <si>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</si>
  <si>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</si>
  <si>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</si>
  <si>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</si>
  <si>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</si>
  <si>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</si>
  <si>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</si>
  <si>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</si>
  <si>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</si>
  <si>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</si>
  <si>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</si>
  <si>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</si>
  <si>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</si>
  <si>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</si>
  <si>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</si>
  <si>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</si>
  <si>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</si>
  <si>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</si>
  <si>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</si>
  <si>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</si>
  <si>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</si>
  <si>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</si>
  <si>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</si>
  <si>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</si>
  <si>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</si>
  <si>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</si>
  <si>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</si>
  <si>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</si>
  <si>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</si>
  <si>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</si>
  <si>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</si>
  <si>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</si>
  <si>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</si>
  <si>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</si>
  <si>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</si>
  <si>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</si>
  <si>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</si>
  <si>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</si>
  <si>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</si>
  <si>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</si>
  <si>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</si>
  <si>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</si>
  <si>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</si>
  <si>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</si>
  <si>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</si>
  <si>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</si>
  <si>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</si>
  <si>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</si>
  <si>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</si>
  <si>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</si>
  <si>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</si>
  <si>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</si>
  <si>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</si>
  <si>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</si>
  <si>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</si>
  <si>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</si>
  <si>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</si>
  <si>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</si>
  <si>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</si>
  <si>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</si>
  <si>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</si>
  <si>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</si>
  <si>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</si>
  <si>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</si>
  <si>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</si>
  <si>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</si>
  <si>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</si>
  <si>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</si>
  <si>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</si>
  <si>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</si>
  <si>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</si>
  <si>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</si>
  <si>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</si>
  <si>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</si>
  <si>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</si>
  <si>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</si>
  <si>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</si>
  <si>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</si>
  <si>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</si>
  <si>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</si>
  <si>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</si>
  <si>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</si>
  <si>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</si>
  <si>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</si>
  <si>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</si>
  <si>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</si>
  <si>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</si>
  <si>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</si>
  <si>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</si>
  <si>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</si>
  <si>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</si>
  <si>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</si>
  <si>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</si>
  <si>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</si>
  <si>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</si>
  <si>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</si>
  <si>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</si>
  <si>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</si>
  <si>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</si>
  <si>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</si>
  <si>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</si>
  <si>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</si>
  <si>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</si>
  <si>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</si>
  <si>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</si>
  <si>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</si>
  <si>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</si>
  <si>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</si>
  <si>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</si>
  <si>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</si>
  <si>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</si>
  <si>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</si>
  <si>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</si>
  <si>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</si>
  <si>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</si>
  <si>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</si>
  <si>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</si>
  <si>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</si>
  <si>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</si>
  <si>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</si>
  <si>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</si>
  <si>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</si>
  <si>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</si>
  <si>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</si>
  <si>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</si>
  <si>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</si>
  <si>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</si>
  <si>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</si>
  <si>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</si>
  <si>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</si>
  <si>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</si>
  <si>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</si>
  <si>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</si>
  <si>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</si>
  <si>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</si>
  <si>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</si>
  <si>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</si>
  <si>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</si>
  <si>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</si>
  <si>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</si>
  <si>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</si>
  <si>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</si>
  <si>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</si>
  <si>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</si>
  <si>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</si>
  <si>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</si>
  <si>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</si>
  <si>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</si>
  <si>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</si>
  <si>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</si>
  <si>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</si>
  <si>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</si>
  <si>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</si>
  <si>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</si>
  <si>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</si>
  <si>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</si>
  <si>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</si>
  <si>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</si>
  <si>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</si>
  <si>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</si>
  <si>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</si>
  <si>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</si>
  <si>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</si>
  <si>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</si>
  <si>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</si>
  <si>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</si>
  <si>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</si>
  <si>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</si>
  <si>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</si>
  <si>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</si>
  <si>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</si>
  <si>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</si>
  <si>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</si>
  <si>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</si>
  <si>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</si>
  <si>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</si>
  <si>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</si>
  <si>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</si>
  <si>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</si>
  <si>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</si>
  <si>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</si>
  <si>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</si>
  <si>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</si>
  <si>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</si>
  <si>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</si>
  <si>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</si>
  <si>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</si>
  <si>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</si>
  <si>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</si>
  <si>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</si>
  <si>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</si>
  <si>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</si>
  <si>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</si>
  <si>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</si>
  <si>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</si>
  <si>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</si>
  <si>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</si>
  <si>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</si>
  <si>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</si>
  <si>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</si>
  <si>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</si>
  <si>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</si>
  <si>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</si>
  <si>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</si>
  <si>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</si>
  <si>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</si>
  <si>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</si>
  <si>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</si>
  <si>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</si>
  <si>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</si>
  <si>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</si>
  <si>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</si>
  <si>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</si>
  <si>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</si>
  <si>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</si>
  <si>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</si>
  <si>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</si>
  <si>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</si>
  <si>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</si>
  <si>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</si>
  <si>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</si>
  <si>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</si>
  <si>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</si>
  <si>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</si>
  <si>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</si>
  <si>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</si>
  <si>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</si>
  <si>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</si>
  <si>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</si>
  <si>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</si>
  <si>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</si>
  <si>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</si>
  <si>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</si>
  <si>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</si>
  <si>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</si>
  <si>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</si>
  <si>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</si>
  <si>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</si>
  <si>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</si>
  <si>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</si>
  <si>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</si>
  <si>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</si>
  <si>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</si>
  <si>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</si>
  <si>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</si>
  <si>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</si>
  <si>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</si>
  <si>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</si>
  <si>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</si>
  <si>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</si>
  <si>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</si>
  <si>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</si>
  <si>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</si>
  <si>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</si>
  <si>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</si>
  <si>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</si>
  <si>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</si>
  <si>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</si>
  <si>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</si>
  <si>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</si>
  <si>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</si>
  <si>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</si>
  <si>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</si>
  <si>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</si>
  <si>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</si>
  <si>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</si>
  <si>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</si>
  <si>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</si>
  <si>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</si>
  <si>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</si>
  <si>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</si>
  <si>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</si>
  <si>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</si>
  <si>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</si>
  <si>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</si>
  <si>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</si>
  <si>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</si>
  <si>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</si>
  <si>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</si>
  <si>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</si>
  <si>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</si>
  <si>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</si>
  <si>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</si>
  <si>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</si>
  <si>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</si>
  <si>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</si>
  <si>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</si>
  <si>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</si>
  <si>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</si>
  <si>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</si>
  <si>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</si>
  <si>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</si>
  <si>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</si>
  <si>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</si>
  <si>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</si>
  <si>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</si>
  <si>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</si>
  <si>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</si>
  <si>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</si>
  <si>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</si>
  <si>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</si>
  <si>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</si>
  <si>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</si>
  <si>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</si>
  <si>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</si>
  <si>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</si>
  <si>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</si>
  <si>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</si>
  <si>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</si>
  <si>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</si>
  <si>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</si>
  <si>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</si>
  <si>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</si>
  <si>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</si>
  <si>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</si>
  <si>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</si>
  <si>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</si>
  <si>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</si>
  <si>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</si>
  <si>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</si>
  <si>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</si>
  <si>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</si>
  <si>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</si>
  <si>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</si>
  <si>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</si>
  <si>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</si>
  <si>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</si>
  <si>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</si>
  <si>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</si>
  <si>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</si>
  <si>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</si>
  <si>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</si>
  <si>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</si>
  <si>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</si>
  <si>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</si>
  <si>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</si>
  <si>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</si>
  <si>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</si>
  <si>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</si>
  <si>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</si>
  <si>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</si>
  <si>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</si>
  <si>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</si>
  <si>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</si>
  <si>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</si>
  <si>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</si>
  <si>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</si>
  <si>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</si>
  <si>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</si>
  <si>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</si>
  <si>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</si>
  <si>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</si>
  <si>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</si>
  <si>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</si>
  <si>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</si>
  <si>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</si>
  <si>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</si>
  <si>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</si>
  <si>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</si>
  <si>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</si>
  <si>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</si>
  <si>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</si>
  <si>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</si>
  <si>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</si>
  <si>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</si>
  <si>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</si>
  <si>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</si>
  <si>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</si>
  <si>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</si>
  <si>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</si>
  <si>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</si>
  <si>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</si>
  <si>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</si>
  <si>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</si>
  <si>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</si>
  <si>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</si>
  <si>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</si>
  <si>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</si>
  <si>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</si>
  <si>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</si>
  <si>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</si>
  <si>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</si>
  <si>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</si>
  <si>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</si>
  <si>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</si>
  <si>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</si>
  <si>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</si>
  <si>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</si>
  <si>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</si>
  <si>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</si>
  <si>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</si>
  <si>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</si>
  <si>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</si>
  <si>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</si>
  <si>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</si>
  <si>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</si>
  <si>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</si>
  <si>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</si>
  <si>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</si>
  <si>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</si>
  <si>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</si>
  <si>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</si>
  <si>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</si>
  <si>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</si>
  <si>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</si>
  <si>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</si>
  <si>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</si>
  <si>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</si>
  <si>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</si>
  <si>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</si>
  <si>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</si>
  <si>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</si>
  <si>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</si>
  <si>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</si>
  <si>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</si>
  <si>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</si>
  <si>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</si>
  <si>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</si>
  <si>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</si>
  <si>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</si>
  <si>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</si>
  <si>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</si>
  <si>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</si>
  <si>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</si>
  <si>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</si>
  <si>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</si>
  <si>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</si>
  <si>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</si>
  <si>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</si>
  <si>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</si>
  <si>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</si>
  <si>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</si>
  <si>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</si>
  <si>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</si>
  <si>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</si>
  <si>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</si>
  <si>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</si>
  <si>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</si>
  <si>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</si>
  <si>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</si>
  <si>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</si>
  <si>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</si>
  <si>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</si>
  <si>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</si>
  <si>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</si>
  <si>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</si>
  <si>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</si>
  <si>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</si>
  <si>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</si>
  <si>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</si>
  <si>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</si>
  <si>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</si>
  <si>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</si>
  <si>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</si>
  <si>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</si>
  <si>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</si>
  <si>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</si>
  <si>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</si>
  <si>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</si>
  <si>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</si>
  <si>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</si>
  <si>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</si>
  <si>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</si>
  <si>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</si>
  <si>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</si>
  <si>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</si>
  <si>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</si>
  <si>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</si>
  <si>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</si>
  <si>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</si>
  <si>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</si>
  <si>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</si>
  <si>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</si>
  <si>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</si>
  <si>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</si>
  <si>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</si>
  <si>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</si>
  <si>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</si>
  <si>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</si>
  <si>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</si>
  <si>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</si>
  <si>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</si>
  <si>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</si>
  <si>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</si>
  <si>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</si>
  <si>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</si>
  <si>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</si>
  <si>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</si>
  <si>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</si>
  <si>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</si>
  <si>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</si>
  <si>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</si>
  <si>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</si>
  <si>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</si>
  <si>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</si>
  <si>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</si>
  <si>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</si>
  <si>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</si>
  <si>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</si>
  <si>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</si>
  <si>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</si>
  <si>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</si>
  <si>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</si>
  <si>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</si>
  <si>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</si>
  <si>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</si>
  <si>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</si>
  <si>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</si>
  <si>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</si>
  <si>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</si>
  <si>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</si>
  <si>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</si>
  <si>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</si>
  <si>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</si>
  <si>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</si>
  <si>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</si>
  <si>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</si>
  <si>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</si>
  <si>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</si>
  <si>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</si>
  <si>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</si>
  <si>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</si>
  <si>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</si>
  <si>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</si>
  <si>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</si>
  <si>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</si>
  <si>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</si>
  <si>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</si>
  <si>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</si>
  <si>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</si>
  <si>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</si>
  <si>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</si>
  <si>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</si>
  <si>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</si>
  <si>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</si>
  <si>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</si>
  <si>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</si>
  <si>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</si>
  <si>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</si>
  <si>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</si>
  <si>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</si>
  <si>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</si>
  <si>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</si>
  <si>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</si>
  <si>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</si>
  <si>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</si>
  <si>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</si>
  <si>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</si>
  <si>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</si>
  <si>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</si>
  <si>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</si>
  <si>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</si>
  <si>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</si>
  <si>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</si>
  <si>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</si>
  <si>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</si>
  <si>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</si>
  <si>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</si>
  <si>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</si>
  <si>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</si>
  <si>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</si>
  <si>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</si>
  <si>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</si>
  <si>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</si>
  <si>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</si>
  <si>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</si>
  <si>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</si>
  <si>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</si>
  <si>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</si>
  <si>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</si>
  <si>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</si>
  <si>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</si>
  <si>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</si>
  <si>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</si>
  <si>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</si>
  <si>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</si>
  <si>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</si>
  <si>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</si>
  <si>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</si>
  <si>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</si>
  <si>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</si>
  <si>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</si>
  <si>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</si>
  <si>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</si>
  <si>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</si>
  <si>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</si>
  <si>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</si>
  <si>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</si>
  <si>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</si>
  <si>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</si>
  <si>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</si>
  <si>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</si>
  <si>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</si>
  <si>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</si>
  <si>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</si>
  <si>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</si>
  <si>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</si>
  <si>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</si>
  <si>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</si>
  <si>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</si>
  <si>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</si>
  <si>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</si>
  <si>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</si>
  <si>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</si>
  <si>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</si>
  <si>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</si>
  <si>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</si>
  <si>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</si>
  <si>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</si>
  <si>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</si>
  <si>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</si>
  <si>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</si>
  <si>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</si>
  <si>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</si>
  <si>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</si>
  <si>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</si>
  <si>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</si>
  <si>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</si>
  <si>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</si>
  <si>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</si>
  <si>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</si>
  <si>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</si>
  <si>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</si>
  <si>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</si>
  <si>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</si>
  <si>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</si>
  <si>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</si>
  <si>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</si>
  <si>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</si>
  <si>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</si>
  <si>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</si>
  <si>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</si>
  <si>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</si>
  <si>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</si>
  <si>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</si>
  <si>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</si>
  <si>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</si>
  <si>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</si>
  <si>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</si>
  <si>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</si>
  <si>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</si>
  <si>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</si>
  <si>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</si>
  <si>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</si>
  <si>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</si>
  <si>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</si>
  <si>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</si>
  <si>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</si>
  <si>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</si>
  <si>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</si>
  <si>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</si>
  <si>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</si>
  <si>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</si>
  <si>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</si>
  <si>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</si>
  <si>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</si>
  <si>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</si>
  <si>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</si>
  <si>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</si>
  <si>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</si>
  <si>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</si>
  <si>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</si>
  <si>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</si>
  <si>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</si>
  <si>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</si>
  <si>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</si>
  <si>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</si>
  <si>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</si>
  <si>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</si>
  <si>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</si>
  <si>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</si>
  <si>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</si>
  <si>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</si>
  <si>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</si>
  <si>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</si>
  <si>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</si>
  <si>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</si>
  <si>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</si>
  <si>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</si>
  <si>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</si>
  <si>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</si>
  <si>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</si>
  <si>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</si>
  <si>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</si>
  <si>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</si>
  <si>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</si>
  <si>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</si>
  <si>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</si>
  <si>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</si>
  <si>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</si>
  <si>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</si>
  <si>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</si>
  <si>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</si>
  <si>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</si>
  <si>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</si>
  <si>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</si>
  <si>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</si>
  <si>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</si>
  <si>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</si>
  <si>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</si>
  <si>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</si>
  <si>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</si>
  <si>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</si>
  <si>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</si>
  <si>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</si>
  <si>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</si>
  <si>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</si>
  <si>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</si>
  <si>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</si>
  <si>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</si>
  <si>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</si>
  <si>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</si>
  <si>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</si>
  <si>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</si>
  <si>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</si>
  <si>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</si>
  <si>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</si>
  <si>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</si>
  <si>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</si>
  <si>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</si>
  <si>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</si>
  <si>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</si>
  <si>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</si>
  <si>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</si>
  <si>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</si>
  <si>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</si>
  <si>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</si>
  <si>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</si>
  <si>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</si>
  <si>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</si>
  <si>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</si>
  <si>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</si>
  <si>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</si>
  <si>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</si>
  <si>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</si>
  <si>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</si>
  <si>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</si>
  <si>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</si>
  <si>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</si>
  <si>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</si>
  <si>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</si>
  <si>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</si>
  <si>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</si>
  <si>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</si>
  <si>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</si>
  <si>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</si>
  <si>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</si>
  <si>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</si>
  <si>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</si>
  <si>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</si>
  <si>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</si>
  <si>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</si>
  <si>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</si>
  <si>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</si>
  <si>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</si>
  <si>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</si>
  <si>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</si>
  <si>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</si>
  <si>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</si>
  <si>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</si>
  <si>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</si>
  <si>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</si>
  <si>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</si>
  <si>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</si>
  <si>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</si>
  <si>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</si>
  <si>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</si>
  <si>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</si>
  <si>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</si>
  <si>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</si>
  <si>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</si>
  <si>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</si>
  <si>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</si>
  <si>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</si>
  <si>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</si>
  <si>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</si>
  <si>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</si>
  <si>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</si>
  <si>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</si>
  <si>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</si>
  <si>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</si>
  <si>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</si>
  <si>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</si>
  <si>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</si>
  <si>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</si>
  <si>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</si>
  <si>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</si>
  <si>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</si>
  <si>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</si>
  <si>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</si>
  <si>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</si>
  <si>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</si>
  <si>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</si>
  <si>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</si>
  <si>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</si>
  <si>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</si>
  <si>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</si>
  <si>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</si>
  <si>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</si>
  <si>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</si>
  <si>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</si>
  <si>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</si>
  <si>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</si>
  <si>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</si>
  <si>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</si>
  <si>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</si>
  <si>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</si>
  <si>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</si>
  <si>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</si>
  <si>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</si>
  <si>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</si>
  <si>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</si>
  <si>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</si>
  <si>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</si>
  <si>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</si>
  <si>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</si>
  <si>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</si>
  <si>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</si>
  <si>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</si>
  <si>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</si>
  <si>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</si>
  <si>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</si>
  <si>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</si>
  <si>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</si>
  <si>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</si>
  <si>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</si>
  <si>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</si>
  <si>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</si>
  <si>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</si>
  <si>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</si>
  <si>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</si>
  <si>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</si>
  <si>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</si>
  <si>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</si>
  <si>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</si>
  <si>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</si>
  <si>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</si>
  <si>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</si>
  <si>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</si>
  <si>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</si>
  <si>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</si>
  <si>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</si>
  <si>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</si>
  <si>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</si>
  <si>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</si>
  <si>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</si>
  <si>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</si>
  <si>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</si>
  <si>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</si>
  <si>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</si>
  <si>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</si>
  <si>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</si>
  <si>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</si>
  <si>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</si>
  <si>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</si>
  <si>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</si>
  <si>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</si>
  <si>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</si>
  <si>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</si>
  <si>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</si>
  <si>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</si>
  <si>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</si>
  <si>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</si>
  <si>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</si>
  <si>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</si>
  <si>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</si>
  <si>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</si>
  <si>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</si>
  <si>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</si>
  <si>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</si>
  <si>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</si>
  <si>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</si>
  <si>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</si>
  <si>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</si>
  <si>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</si>
  <si>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</si>
  <si>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</si>
  <si>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</si>
  <si>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</si>
  <si>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</si>
  <si>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</si>
  <si>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</si>
  <si>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</si>
  <si>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</si>
  <si>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</si>
  <si>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</si>
  <si>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</si>
  <si>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</si>
  <si>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</si>
  <si>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</si>
  <si>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</si>
  <si>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</si>
  <si>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</si>
  <si>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</si>
  <si>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</si>
  <si>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</si>
  <si>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</si>
  <si>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</si>
  <si>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</si>
  <si>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</si>
  <si>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</si>
  <si>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</si>
  <si>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</si>
  <si>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</si>
  <si>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</si>
  <si>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</si>
  <si>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</si>
  <si>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</si>
  <si>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</si>
  <si>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</si>
  <si>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</si>
  <si>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</si>
  <si>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</si>
  <si>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</si>
  <si>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</si>
  <si>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</si>
  <si>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</si>
  <si>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</si>
  <si>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</si>
  <si>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</si>
  <si>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</si>
  <si>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</si>
  <si>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</si>
  <si>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</si>
  <si>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</si>
  <si>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</si>
  <si>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</si>
  <si>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</si>
  <si>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</si>
  <si>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</si>
  <si>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</si>
  <si>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</si>
  <si>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</si>
  <si>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</si>
  <si>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</si>
  <si>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</si>
  <si>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</si>
  <si>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</si>
  <si>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</si>
  <si>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</si>
  <si>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</si>
  <si>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</si>
  <si>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</si>
  <si>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</si>
  <si>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</si>
  <si>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</si>
  <si>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</si>
  <si>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</si>
  <si>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</si>
  <si>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</si>
  <si>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</si>
  <si>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</si>
  <si>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</si>
  <si>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</si>
  <si>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</si>
  <si>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</si>
  <si>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</si>
  <si>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</si>
  <si>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</si>
  <si>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</si>
  <si>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</si>
  <si>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</si>
  <si>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</si>
  <si>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</si>
  <si>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</si>
  <si>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</si>
  <si>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</si>
  <si>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</si>
  <si>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</si>
  <si>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</si>
  <si>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</si>
  <si>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</si>
  <si>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</si>
  <si>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</si>
  <si>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</si>
  <si>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</si>
  <si>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</si>
  <si>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</si>
  <si>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</si>
  <si>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</si>
  <si>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</si>
  <si>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</si>
  <si>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</si>
  <si>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</si>
  <si>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</si>
  <si>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</si>
  <si>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</si>
  <si>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</si>
  <si>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</si>
  <si>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</si>
  <si>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</si>
  <si>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</si>
  <si>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</si>
  <si>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</si>
  <si>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</si>
  <si>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</si>
  <si>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</si>
  <si>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</si>
  <si>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</si>
  <si>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</si>
  <si>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</si>
  <si>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</si>
  <si>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</si>
  <si>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</si>
  <si>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</si>
  <si>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</si>
  <si>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</si>
  <si>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</si>
  <si>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</si>
  <si>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</si>
  <si>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</si>
  <si>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</si>
  <si>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</si>
  <si>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</si>
  <si>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</si>
  <si>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</si>
  <si>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</si>
  <si>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</si>
  <si>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</si>
  <si>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</si>
  <si>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</si>
  <si>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</si>
  <si>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</si>
  <si>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</si>
  <si>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</si>
  <si>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</si>
  <si>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</si>
  <si>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</si>
  <si>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</si>
  <si>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</si>
  <si>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</si>
  <si>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</si>
  <si>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</si>
  <si>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</si>
  <si>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</si>
  <si>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</si>
  <si>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</si>
  <si>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</si>
  <si>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</si>
  <si>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</si>
  <si>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</si>
  <si>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</si>
  <si>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</si>
  <si>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</si>
  <si>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</si>
  <si>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</si>
  <si>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</si>
  <si>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</si>
  <si>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</si>
  <si>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</si>
  <si>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</si>
  <si>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</si>
  <si>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</si>
  <si>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</si>
  <si>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</si>
  <si>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</si>
  <si>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</si>
  <si>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</si>
  <si>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</si>
  <si>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</si>
  <si>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</si>
  <si>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</si>
  <si>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</si>
  <si>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</si>
  <si>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</si>
  <si>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</si>
  <si>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</si>
  <si>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</si>
  <si>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</si>
  <si>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</si>
  <si>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</si>
  <si>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</si>
  <si>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</si>
  <si>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</si>
  <si>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</si>
  <si>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</si>
  <si>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</si>
  <si>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</si>
  <si>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</si>
  <si>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</si>
  <si>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</si>
  <si>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</si>
  <si>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</si>
  <si>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</si>
  <si>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</si>
  <si>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</si>
  <si>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</si>
  <si>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</si>
  <si>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</si>
  <si>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</si>
  <si>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</si>
  <si>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</si>
  <si>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</si>
  <si>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</si>
  <si>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</si>
  <si>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</si>
  <si>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</si>
  <si>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</si>
  <si>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</si>
  <si>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</si>
  <si>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</si>
  <si>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</si>
  <si>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</si>
  <si>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</si>
  <si>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</si>
  <si>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</si>
  <si>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</si>
  <si>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</si>
  <si>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</si>
  <si>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</si>
  <si>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</si>
  <si>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</si>
  <si>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</si>
  <si>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</si>
  <si>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</si>
  <si>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</si>
  <si>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</si>
  <si>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</si>
  <si>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</si>
  <si>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</si>
  <si>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</si>
  <si>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</si>
  <si>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</si>
  <si>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</si>
  <si>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</si>
  <si>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</si>
  <si>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</si>
  <si>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</si>
  <si>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</si>
  <si>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</si>
  <si>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</si>
  <si>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</si>
  <si>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</si>
  <si>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</si>
  <si>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</si>
  <si>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</si>
  <si>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</si>
  <si>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</si>
  <si>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</si>
  <si>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</si>
  <si>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</si>
  <si>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</si>
  <si>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</si>
  <si>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</si>
  <si>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</si>
  <si>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</si>
  <si>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</si>
  <si>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</si>
  <si>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</si>
  <si>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</si>
  <si>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</si>
  <si>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</si>
  <si>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</si>
  <si>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</si>
  <si>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</si>
  <si>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</si>
  <si>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</si>
  <si>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</si>
  <si>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</si>
  <si>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</si>
  <si>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</si>
  <si>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</si>
  <si>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</si>
  <si>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</si>
  <si>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</si>
  <si>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</si>
  <si>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</si>
  <si>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</si>
  <si>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</si>
  <si>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</si>
  <si>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</si>
  <si>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</si>
  <si>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</si>
  <si>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</si>
  <si>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</si>
  <si>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</si>
  <si>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</si>
  <si>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</si>
  <si>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</si>
  <si>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</si>
  <si>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</si>
  <si>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</si>
  <si>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</si>
  <si>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</si>
  <si>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</si>
  <si>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</si>
  <si>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</si>
  <si>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</si>
  <si>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</si>
  <si>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</si>
  <si>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</si>
  <si>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</si>
  <si>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</si>
  <si>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</si>
  <si>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</si>
  <si>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</si>
  <si>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</si>
  <si>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</si>
  <si>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</si>
  <si>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</si>
  <si>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</si>
  <si>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</si>
  <si>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</si>
  <si>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</si>
  <si>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</si>
  <si>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</si>
  <si>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</si>
  <si>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</si>
  <si>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</si>
  <si>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</si>
  <si>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</si>
  <si>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</si>
  <si>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</si>
  <si>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</si>
  <si>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</si>
  <si>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</si>
  <si>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</si>
  <si>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</si>
  <si>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</si>
  <si>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</si>
  <si>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</si>
  <si>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</si>
  <si>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</si>
  <si>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</si>
  <si>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</si>
  <si>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</si>
  <si>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</si>
  <si>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</si>
  <si>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</si>
  <si>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</si>
  <si>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</si>
  <si>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</si>
  <si>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</si>
  <si>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</si>
  <si>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</si>
  <si>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</si>
  <si>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</si>
  <si>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</si>
  <si>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</si>
  <si>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</si>
  <si>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</si>
  <si>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</si>
  <si>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</si>
  <si>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</si>
  <si>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</si>
  <si>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</si>
  <si>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</si>
  <si>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</si>
  <si>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</si>
  <si>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</si>
  <si>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</si>
  <si>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</si>
  <si>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</si>
  <si>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</si>
  <si>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</si>
  <si>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</si>
  <si>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</si>
  <si>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</si>
  <si>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</si>
  <si>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</si>
  <si>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</si>
  <si>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</si>
  <si>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</si>
  <si>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</si>
  <si>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</si>
  <si>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</si>
  <si>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</si>
  <si>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</si>
  <si>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</si>
  <si>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</si>
  <si>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</si>
  <si>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</si>
  <si>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</si>
  <si>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</si>
  <si>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</si>
  <si>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</si>
  <si>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</si>
  <si>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</si>
  <si>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</si>
  <si>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</si>
  <si>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</si>
  <si>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</si>
  <si>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</si>
  <si>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</si>
  <si>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</si>
  <si>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</si>
  <si>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</si>
  <si>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</si>
  <si>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</si>
  <si>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</si>
  <si>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</si>
  <si>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</si>
  <si>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</si>
  <si>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</si>
  <si>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</si>
  <si>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</si>
  <si>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</si>
  <si>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</si>
  <si>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</si>
  <si>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</si>
  <si>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</si>
  <si>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</si>
  <si>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</si>
  <si>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</si>
  <si>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</si>
  <si>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</si>
  <si>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</si>
  <si>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</si>
  <si>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</si>
  <si>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</si>
  <si>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</si>
  <si>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</si>
  <si>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</si>
  <si>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</si>
  <si>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</si>
  <si>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</si>
  <si>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</si>
  <si>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</si>
  <si>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</si>
  <si>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</si>
  <si>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</si>
  <si>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</si>
  <si>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</si>
  <si>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</si>
  <si>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</si>
  <si>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</si>
  <si>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</si>
  <si>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</si>
  <si>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</si>
  <si>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</si>
  <si>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</si>
  <si>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</si>
  <si>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</si>
  <si>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</si>
  <si>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</si>
  <si>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</si>
  <si>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</si>
  <si>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</si>
  <si>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</si>
  <si>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</si>
  <si>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</si>
  <si>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</si>
  <si>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</si>
  <si>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</si>
  <si>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</si>
  <si>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</si>
  <si>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</si>
  <si>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</si>
  <si>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</si>
  <si>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</si>
  <si>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</si>
  <si>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</si>
  <si>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</si>
  <si>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</si>
  <si>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</si>
  <si>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</si>
  <si>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</si>
  <si>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</si>
  <si>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</si>
  <si>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</si>
  <si>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</si>
  <si>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</si>
  <si>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</si>
  <si>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</si>
  <si>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</si>
  <si>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</si>
  <si>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</si>
  <si>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</si>
  <si>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</si>
  <si>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</si>
  <si>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</si>
  <si>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</si>
  <si>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</si>
  <si>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</si>
  <si>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</si>
  <si>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</si>
  <si>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</si>
  <si>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</si>
  <si>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</si>
  <si>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</si>
  <si>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</si>
  <si>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</si>
  <si>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</si>
  <si>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</si>
  <si>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</si>
  <si>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</si>
  <si>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</si>
  <si>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</si>
  <si>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</si>
  <si>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</si>
  <si>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</si>
  <si>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</si>
  <si>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</si>
  <si>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</si>
  <si>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</si>
  <si>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</si>
  <si>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</si>
  <si>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</si>
  <si>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</si>
  <si>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</si>
  <si>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</si>
  <si>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</si>
  <si>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</si>
  <si>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</si>
  <si>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</si>
  <si>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</si>
  <si>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</si>
  <si>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</si>
  <si>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</si>
  <si>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</si>
  <si>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</si>
  <si>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</si>
  <si>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</si>
  <si>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</si>
  <si>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</si>
  <si>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</si>
  <si>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</si>
  <si>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</si>
  <si>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</si>
  <si>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</si>
  <si>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</si>
  <si>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</si>
  <si>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</si>
  <si>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</si>
  <si>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</si>
  <si>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</si>
  <si>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</si>
  <si>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</si>
  <si>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</si>
  <si>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</si>
  <si>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</si>
  <si>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</si>
  <si>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</si>
  <si>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</si>
  <si>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</si>
  <si>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</si>
  <si>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</si>
  <si>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</si>
  <si>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</si>
  <si>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</si>
  <si>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</si>
  <si>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</si>
  <si>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</si>
  <si>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</si>
  <si>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</si>
  <si>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</si>
  <si>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</si>
  <si>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</si>
  <si>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</si>
  <si>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</si>
  <si>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</si>
  <si>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</si>
  <si>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</si>
  <si>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</si>
  <si>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</si>
  <si>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</si>
  <si>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</si>
  <si>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</si>
  <si>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</si>
  <si>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</si>
  <si>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</si>
  <si>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</si>
  <si>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</si>
  <si>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</si>
  <si>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</si>
  <si>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</si>
  <si>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</si>
  <si>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</si>
  <si>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</si>
  <si>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</si>
  <si>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</si>
  <si>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</si>
  <si>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</si>
  <si>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</si>
  <si>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</si>
  <si>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</si>
  <si>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</si>
  <si>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</si>
  <si>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</si>
  <si>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</si>
  <si>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</si>
  <si>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</si>
  <si>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</si>
  <si>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</si>
  <si>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</si>
  <si>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</si>
  <si>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</si>
  <si>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</si>
  <si>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</si>
  <si>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</si>
  <si>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</si>
  <si>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</si>
  <si>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</si>
  <si>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</si>
  <si>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</si>
  <si>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</si>
  <si>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</si>
  <si>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</si>
  <si>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</si>
  <si>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</si>
  <si>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</si>
  <si>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</si>
  <si>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</si>
  <si>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</si>
  <si>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</si>
  <si>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</si>
  <si>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</si>
  <si>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</si>
  <si>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</si>
  <si>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</si>
  <si>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</si>
  <si>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</si>
  <si>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</si>
  <si>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</si>
  <si>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</si>
  <si>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</si>
  <si>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</si>
  <si>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</si>
  <si>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</si>
  <si>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</si>
  <si>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</si>
  <si>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</si>
  <si>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</si>
  <si>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</si>
  <si>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</si>
  <si>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</si>
  <si>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</si>
  <si>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</si>
  <si>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</si>
  <si>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</si>
  <si>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</si>
  <si>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</si>
  <si>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</si>
  <si>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</si>
  <si>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</si>
  <si>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</si>
  <si>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</si>
  <si>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</si>
  <si>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</si>
  <si>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</si>
  <si>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</si>
  <si>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</si>
  <si>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</si>
  <si>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</si>
  <si>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</si>
  <si>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</si>
  <si>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</si>
  <si>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</si>
  <si>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</si>
  <si>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</si>
  <si>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</si>
  <si>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</si>
  <si>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</si>
  <si>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</si>
  <si>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</si>
  <si>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</si>
  <si>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</si>
  <si>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</si>
  <si>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</si>
  <si>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</si>
  <si>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</si>
  <si>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</si>
  <si>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</si>
  <si>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</si>
  <si>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</si>
  <si>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</si>
  <si>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</si>
  <si>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</si>
  <si>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</si>
  <si>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</si>
  <si>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</si>
  <si>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</si>
  <si>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</si>
  <si>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</si>
  <si>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</si>
  <si>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</si>
  <si>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</si>
  <si>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</si>
  <si>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</si>
  <si>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</si>
  <si>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</si>
  <si>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</si>
  <si>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</si>
  <si>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</si>
  <si>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</si>
  <si>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</si>
  <si>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</si>
  <si>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</si>
  <si>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</si>
  <si>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</si>
  <si>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</si>
  <si>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</si>
  <si>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</si>
  <si>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</si>
  <si>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</si>
  <si>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</si>
  <si>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</si>
  <si>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</si>
  <si>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</si>
  <si>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</si>
  <si>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</si>
  <si>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</si>
  <si>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</si>
  <si>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</si>
  <si>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</si>
  <si>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</si>
  <si>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</si>
  <si>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</si>
  <si>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</si>
  <si>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</si>
  <si>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</si>
  <si>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</si>
  <si>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</si>
  <si>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</si>
  <si>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</si>
  <si>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</si>
  <si>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</si>
  <si>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</si>
  <si>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</si>
  <si>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</si>
  <si>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</si>
  <si>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</si>
  <si>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</si>
  <si>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</si>
  <si>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</si>
  <si>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</si>
  <si>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</si>
  <si>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</si>
  <si>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</si>
  <si>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</si>
  <si>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</si>
  <si>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</si>
  <si>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</si>
  <si>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</si>
  <si>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</si>
  <si>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</si>
  <si>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</si>
  <si>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</si>
  <si>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</si>
  <si>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</si>
  <si>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</si>
  <si>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</si>
  <si>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</si>
  <si>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</si>
  <si>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</si>
  <si>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</si>
  <si>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</si>
  <si>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</si>
  <si>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</si>
  <si>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</si>
  <si>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</si>
  <si>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</si>
  <si>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</si>
  <si>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</si>
  <si>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</si>
  <si>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</si>
  <si>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</si>
  <si>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</si>
  <si>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</si>
  <si>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</si>
  <si>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</si>
  <si>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</si>
  <si>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</si>
  <si>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</si>
  <si>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</si>
  <si>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</si>
  <si>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</si>
  <si>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</si>
  <si>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</si>
  <si>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</si>
  <si>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</si>
  <si>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</si>
  <si>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</si>
  <si>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</si>
  <si>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</si>
  <si>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</si>
  <si>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</si>
  <si>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</si>
  <si>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</si>
  <si>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</si>
  <si>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</si>
  <si>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</si>
  <si>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</si>
  <si>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</si>
  <si>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</si>
  <si>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</si>
  <si>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</si>
  <si>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</si>
  <si>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</si>
  <si>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</si>
  <si>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</si>
  <si>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</si>
  <si>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</si>
  <si>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</si>
  <si>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</si>
  <si>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</si>
  <si>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</si>
  <si>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</si>
  <si>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</si>
  <si>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</si>
  <si>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</si>
  <si>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</si>
  <si>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</si>
  <si>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</si>
  <si>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</si>
  <si>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</si>
  <si>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</si>
  <si>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</si>
  <si>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</si>
  <si>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</si>
  <si>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</si>
  <si>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</si>
  <si>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</si>
  <si>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</si>
  <si>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</si>
  <si>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</si>
  <si>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</si>
  <si>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</si>
  <si>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</si>
  <si>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</si>
  <si>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</si>
  <si>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</si>
  <si>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</si>
  <si>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</si>
  <si>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</si>
  <si>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</si>
  <si>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</si>
  <si>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</si>
  <si>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</si>
  <si>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</si>
  <si>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</si>
  <si>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</si>
  <si>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</si>
  <si>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</si>
  <si>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</si>
  <si>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</si>
  <si>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</si>
  <si>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</si>
  <si>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</si>
  <si>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</si>
  <si>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</si>
  <si>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</si>
  <si>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</si>
  <si>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</si>
  <si>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</si>
  <si>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</si>
  <si>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</si>
  <si>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</si>
  <si>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</si>
  <si>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</si>
  <si>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</si>
  <si>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</si>
  <si>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</si>
  <si>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</si>
  <si>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</si>
  <si>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</si>
  <si>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</si>
  <si>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</si>
  <si>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</si>
  <si>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</si>
  <si>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</si>
  <si>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</si>
  <si>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</si>
  <si>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</si>
  <si>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</si>
  <si>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</si>
  <si>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</si>
  <si>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</si>
  <si>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</si>
  <si>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</si>
  <si>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</si>
  <si>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</si>
  <si>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</si>
  <si>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</si>
  <si>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</si>
  <si>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</si>
  <si>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</si>
  <si>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</si>
  <si>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</si>
  <si>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</si>
  <si>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</si>
  <si>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</si>
  <si>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</si>
  <si>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</si>
  <si>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</si>
  <si>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</si>
  <si>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</si>
  <si>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</si>
  <si>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</si>
  <si>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</si>
  <si>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</si>
  <si>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</si>
  <si>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</si>
  <si>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</si>
  <si>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</si>
  <si>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</si>
  <si>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</si>
  <si>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</si>
  <si>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</si>
  <si>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</si>
  <si>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</si>
  <si>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</si>
  <si>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</si>
  <si>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</si>
  <si>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</si>
  <si>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</si>
  <si>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</si>
  <si>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</si>
  <si>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</si>
  <si>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</si>
  <si>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</si>
  <si>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</si>
  <si>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</si>
  <si>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</si>
  <si>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</si>
  <si>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</si>
  <si>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</si>
  <si>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</si>
  <si>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</si>
  <si>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</si>
  <si>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</si>
  <si>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</si>
  <si>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</si>
  <si>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</si>
  <si>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</si>
  <si>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</si>
  <si>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</si>
  <si>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</si>
  <si>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</si>
  <si>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</si>
  <si>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</si>
  <si>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</si>
  <si>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</si>
  <si>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</si>
  <si>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</si>
  <si>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</si>
  <si>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</si>
  <si>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</si>
  <si>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</si>
  <si>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</si>
  <si>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</si>
  <si>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</si>
  <si>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</si>
  <si>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</si>
  <si>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</si>
  <si>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</si>
  <si>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</si>
  <si>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</si>
  <si>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</si>
  <si>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</si>
  <si>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</si>
  <si>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</si>
  <si>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</si>
  <si>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</si>
  <si>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</si>
  <si>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</si>
  <si>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</si>
  <si>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</si>
  <si>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</si>
  <si>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</si>
  <si>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</si>
  <si>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</si>
  <si>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</si>
  <si>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</si>
  <si>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</si>
  <si>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</si>
  <si>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</si>
  <si>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</si>
  <si>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</si>
  <si>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</si>
  <si>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</si>
  <si>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</si>
  <si>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</si>
  <si>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</si>
  <si>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</si>
  <si>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</si>
  <si>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</si>
  <si>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</si>
  <si>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</si>
  <si>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</si>
  <si>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</si>
  <si>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</si>
  <si>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</si>
  <si>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</si>
  <si>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</si>
  <si>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</si>
  <si>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</si>
  <si>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</si>
  <si>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</si>
  <si>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</si>
  <si>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</si>
  <si>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</si>
  <si>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</si>
  <si>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</si>
  <si>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</si>
  <si>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</si>
  <si>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</si>
  <si>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</si>
  <si>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</si>
  <si>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</si>
  <si>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</si>
  <si>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</si>
  <si>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</si>
  <si>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</si>
  <si>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</si>
  <si>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</si>
  <si>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</si>
  <si>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</si>
  <si>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</si>
  <si>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</si>
  <si>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</si>
  <si>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</si>
  <si>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</si>
  <si>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</si>
  <si>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</si>
  <si>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</si>
  <si>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</si>
  <si>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</si>
  <si>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</si>
  <si>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</si>
  <si>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</si>
  <si>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</si>
  <si>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</si>
  <si>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</si>
  <si>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</si>
  <si>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</si>
  <si>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</si>
  <si>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</si>
  <si>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</si>
  <si>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</si>
  <si>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</si>
  <si>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</si>
  <si>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</si>
  <si>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</si>
  <si>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</si>
  <si>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</si>
  <si>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</si>
  <si>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</si>
  <si>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</si>
  <si>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</si>
  <si>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</si>
  <si>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</si>
  <si>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</si>
  <si>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</si>
  <si>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</si>
  <si>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</si>
  <si>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</si>
  <si>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</si>
  <si>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</si>
  <si>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</si>
  <si>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</si>
  <si>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</si>
  <si>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</si>
  <si>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</si>
  <si>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</si>
  <si>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</si>
  <si>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</si>
  <si>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</si>
  <si>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</si>
  <si>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</si>
  <si>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</si>
  <si>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</si>
  <si>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</si>
  <si>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</si>
  <si>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</si>
  <si>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</si>
  <si>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</si>
  <si>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</si>
  <si>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</si>
  <si>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</si>
  <si>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</si>
  <si>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</si>
  <si>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</si>
  <si>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</si>
  <si>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</si>
  <si>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</si>
  <si>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</si>
  <si>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</si>
  <si>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</si>
  <si>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</si>
  <si>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</si>
  <si>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</si>
  <si>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</si>
  <si>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</si>
  <si>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</si>
  <si>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</si>
  <si>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</si>
  <si>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</si>
  <si>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</si>
  <si>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</si>
  <si>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</si>
  <si>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</si>
  <si>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</si>
  <si>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</si>
  <si>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</si>
  <si>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</si>
  <si>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</si>
  <si>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</si>
  <si>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</si>
  <si>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</si>
  <si>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</si>
  <si>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</si>
  <si>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</si>
  <si>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</si>
  <si>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</si>
  <si>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</si>
  <si>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</si>
  <si>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</si>
  <si>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</si>
  <si>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</si>
  <si>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</si>
  <si>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</si>
  <si>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</si>
  <si>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</si>
  <si>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</si>
  <si>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</si>
  <si>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</si>
  <si>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</si>
  <si>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</si>
  <si>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</si>
  <si>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</si>
  <si>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</si>
  <si>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</si>
  <si>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</si>
  <si>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</si>
  <si>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</si>
  <si>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</si>
  <si>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</si>
  <si>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</si>
  <si>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</si>
  <si>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</si>
  <si>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</si>
  <si>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</si>
  <si>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</si>
  <si>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</si>
  <si>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</si>
  <si>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</si>
  <si>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</si>
  <si>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</si>
  <si>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</si>
  <si>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</si>
  <si>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</si>
  <si>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</si>
  <si>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</si>
  <si>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</si>
  <si>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</si>
  <si>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</si>
  <si>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</si>
  <si>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</si>
  <si>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</si>
  <si>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</si>
  <si>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</si>
  <si>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</si>
  <si>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</si>
  <si>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</si>
  <si>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</si>
  <si>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</si>
  <si>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</si>
  <si>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</si>
  <si>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</si>
  <si>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</si>
  <si>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</si>
  <si>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</si>
  <si>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</si>
  <si>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</si>
  <si>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</si>
  <si>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</si>
  <si>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</si>
  <si>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</si>
  <si>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</si>
  <si>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</si>
  <si>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</si>
  <si>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</si>
  <si>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</si>
  <si>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</si>
  <si>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</si>
  <si>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</si>
  <si>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</si>
  <si>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</si>
  <si>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</si>
  <si>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</si>
  <si>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</si>
  <si>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</si>
  <si>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</si>
  <si>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</si>
  <si>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</si>
  <si>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</si>
  <si>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</si>
  <si>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</si>
  <si>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</si>
  <si>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</si>
  <si>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</si>
  <si>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</si>
  <si>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</si>
  <si>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</si>
  <si>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</si>
  <si>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</si>
  <si>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</si>
  <si>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</si>
  <si>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</si>
  <si>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</si>
  <si>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</si>
  <si>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</si>
  <si>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</si>
  <si>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</si>
  <si>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</si>
  <si>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</si>
  <si>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</si>
  <si>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</si>
  <si>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</si>
  <si>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</si>
  <si>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</si>
  <si>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</si>
  <si>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</si>
  <si>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</si>
  <si>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</si>
  <si>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</si>
  <si>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</si>
  <si>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</si>
  <si>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</si>
  <si>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</si>
  <si>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</si>
  <si>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</si>
  <si>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</si>
  <si>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</si>
  <si>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</si>
  <si>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</si>
  <si>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</si>
  <si>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</si>
  <si>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</si>
  <si>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</si>
  <si>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</si>
  <si>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</si>
  <si>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</si>
  <si>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</si>
  <si>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</si>
  <si>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</si>
  <si>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</si>
  <si>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</si>
  <si>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</si>
  <si>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</si>
  <si>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</si>
  <si>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</si>
  <si>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</si>
  <si>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</si>
  <si>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</si>
  <si>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</si>
  <si>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</si>
  <si>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</si>
  <si>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</si>
  <si>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</si>
  <si>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</si>
  <si>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</si>
  <si>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</si>
  <si>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</si>
  <si>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</si>
  <si>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</si>
  <si>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</si>
  <si>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</si>
  <si>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</si>
  <si>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</si>
  <si>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</si>
  <si>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</si>
  <si>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</si>
  <si>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</si>
  <si>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</si>
  <si>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</si>
  <si>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</si>
  <si>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</si>
  <si>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</si>
  <si>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</si>
  <si>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</si>
  <si>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</si>
  <si>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</si>
  <si>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</si>
  <si>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</si>
  <si>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</si>
  <si>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</si>
  <si>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</si>
  <si>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</si>
  <si>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</si>
  <si>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</si>
  <si>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</si>
  <si>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</si>
  <si>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</si>
  <si>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</si>
  <si>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</si>
  <si>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</si>
  <si>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</si>
  <si>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</si>
  <si>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</si>
  <si>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</si>
  <si>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</si>
  <si>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</si>
  <si>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</si>
  <si>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</si>
  <si>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</si>
  <si>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</si>
  <si>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</si>
  <si>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</si>
  <si>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</si>
  <si>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</si>
  <si>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</si>
  <si>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</si>
  <si>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</si>
  <si>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</si>
  <si>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</si>
  <si>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</si>
  <si>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</si>
  <si>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</si>
  <si>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</si>
  <si>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</si>
  <si>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</si>
  <si>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</si>
  <si>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</si>
  <si>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</si>
  <si>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</si>
  <si>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</si>
  <si>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</si>
  <si>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</si>
  <si>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</si>
  <si>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</si>
  <si>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</si>
  <si>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</si>
  <si>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</si>
  <si>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</si>
  <si>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</si>
  <si>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</si>
  <si>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</si>
  <si>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</si>
  <si>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</si>
  <si>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</si>
  <si>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</si>
  <si>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</si>
  <si>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</si>
  <si>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</si>
  <si>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</si>
  <si>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</si>
  <si>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</si>
  <si>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</si>
  <si>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</si>
  <si>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</si>
  <si>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</si>
  <si>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</si>
  <si>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</si>
  <si>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</si>
  <si>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</si>
  <si>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</si>
  <si>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</si>
  <si>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</si>
  <si>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</si>
  <si>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</si>
  <si>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</si>
  <si>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</si>
  <si>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</si>
  <si>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</si>
  <si>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</si>
  <si>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</si>
  <si>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</si>
  <si>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</si>
  <si>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</si>
  <si>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</si>
  <si>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</si>
  <si>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</si>
  <si>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</si>
  <si>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</si>
  <si>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</si>
  <si>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</si>
  <si>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</si>
  <si>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</si>
  <si>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</si>
  <si>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</si>
  <si>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</si>
  <si>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</si>
  <si>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</si>
  <si>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</si>
  <si>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</si>
  <si>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</si>
  <si>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</si>
  <si>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</si>
  <si>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</si>
  <si>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</si>
  <si>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</si>
  <si>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</si>
  <si>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</si>
  <si>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</si>
  <si>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</si>
  <si>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</si>
  <si>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</si>
  <si>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</si>
  <si>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</si>
  <si>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</si>
  <si>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</si>
  <si>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</si>
  <si>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</si>
  <si>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</si>
  <si>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</si>
  <si>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</si>
  <si>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</si>
  <si>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</si>
  <si>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</si>
  <si>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</si>
  <si>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</si>
  <si>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</si>
  <si>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</si>
  <si>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</si>
  <si>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</si>
  <si>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</si>
  <si>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</si>
  <si>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</si>
  <si>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</si>
  <si>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</si>
  <si>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</si>
  <si>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</si>
  <si>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</si>
  <si>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</si>
  <si>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</si>
  <si>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</si>
  <si>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</si>
  <si>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</si>
  <si>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</si>
  <si>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</si>
  <si>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</si>
  <si>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</si>
  <si>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</si>
  <si>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</si>
  <si>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</si>
  <si>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</si>
  <si>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</si>
  <si>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</si>
  <si>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</si>
  <si>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</si>
  <si>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</si>
  <si>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</si>
  <si>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</si>
  <si>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</si>
  <si>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</si>
  <si>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</si>
  <si>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</si>
  <si>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</si>
  <si>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</si>
  <si>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</si>
  <si>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</si>
  <si>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</si>
  <si>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</si>
  <si>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</si>
  <si>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</si>
  <si>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</si>
  <si>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</si>
  <si>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</si>
  <si>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</si>
  <si>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</si>
  <si>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</si>
  <si>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</si>
  <si>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</si>
  <si>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</si>
  <si>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</si>
  <si>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</si>
  <si>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</si>
  <si>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</si>
  <si>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</si>
  <si>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</si>
  <si>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</si>
  <si>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</si>
  <si>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</si>
  <si>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</si>
  <si>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</si>
  <si>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</si>
  <si>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</si>
  <si>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</si>
  <si>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</si>
  <si>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</si>
  <si>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</si>
  <si>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</si>
  <si>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</si>
  <si>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</si>
  <si>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</si>
  <si>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</si>
  <si>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</si>
  <si>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</si>
  <si>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</si>
  <si>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</si>
  <si>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</si>
  <si>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</si>
  <si>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</si>
  <si>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</si>
  <si>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</si>
  <si>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</si>
  <si>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</si>
  <si>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</si>
  <si>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</si>
  <si>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</si>
  <si>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</si>
  <si>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</si>
  <si>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</si>
  <si>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</si>
  <si>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</si>
  <si>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</si>
  <si>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</si>
  <si>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</si>
  <si>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</si>
  <si>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</si>
  <si>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</si>
  <si>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</si>
  <si>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</si>
  <si>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</si>
  <si>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</si>
  <si>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</si>
  <si>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</si>
  <si>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</si>
  <si>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</si>
  <si>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</si>
  <si>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</si>
  <si>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</si>
  <si>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</si>
  <si>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</si>
  <si>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</si>
  <si>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</si>
  <si>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</si>
  <si>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</si>
  <si>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</si>
  <si>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</si>
  <si>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</si>
  <si>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</si>
  <si>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</si>
  <si>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</si>
  <si>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</si>
  <si>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</si>
  <si>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</si>
  <si>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</si>
  <si>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</si>
  <si>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</si>
  <si>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</si>
  <si>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</si>
  <si>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</si>
  <si>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</si>
  <si>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</si>
  <si>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</si>
  <si>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</si>
  <si>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</si>
  <si>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</si>
  <si>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</si>
  <si>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</si>
  <si>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</si>
  <si>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</si>
  <si>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</si>
  <si>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</si>
  <si>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</si>
  <si>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</si>
  <si>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</si>
  <si>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</si>
  <si>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</si>
  <si>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</si>
  <si>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</si>
  <si>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</si>
  <si>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</si>
  <si>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</si>
  <si>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</si>
  <si>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</si>
  <si>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</si>
  <si>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</si>
  <si>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</si>
  <si>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</si>
  <si>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</si>
  <si>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</si>
  <si>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</si>
  <si>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</si>
  <si>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</si>
  <si>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</si>
  <si>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</si>
  <si>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</si>
  <si>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</si>
  <si>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</si>
  <si>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</si>
  <si>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</si>
  <si>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</si>
  <si>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</si>
  <si>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</si>
  <si>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</si>
  <si>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</si>
  <si>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</si>
  <si>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</si>
  <si>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</si>
  <si>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</si>
  <si>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</si>
  <si>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</si>
  <si>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</si>
  <si>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</si>
  <si>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</si>
  <si>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</si>
  <si>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</si>
  <si>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</si>
  <si>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</si>
  <si>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</si>
  <si>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</si>
  <si>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</si>
  <si>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</si>
  <si>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</si>
  <si>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</si>
  <si>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</si>
  <si>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</si>
  <si>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</si>
  <si>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</si>
  <si>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</si>
  <si>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</si>
  <si>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</si>
  <si>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</si>
  <si>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</si>
  <si>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</si>
  <si>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</si>
  <si>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</si>
  <si>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</si>
  <si>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</si>
  <si>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</si>
  <si>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</si>
  <si>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</si>
  <si>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</si>
  <si>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</si>
  <si>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</si>
  <si>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</si>
  <si>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</si>
  <si>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</si>
  <si>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</si>
  <si>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</si>
  <si>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</si>
  <si>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</si>
  <si>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</si>
  <si>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</si>
  <si>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</si>
  <si>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</si>
  <si>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</si>
  <si>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</si>
  <si>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</si>
  <si>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</si>
  <si>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</si>
  <si>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</si>
  <si>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</si>
  <si>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</si>
  <si>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</si>
  <si>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</si>
  <si>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</si>
  <si>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</si>
  <si>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</si>
  <si>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</si>
  <si>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</si>
  <si>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</si>
  <si>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</si>
  <si>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</si>
  <si>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</si>
  <si>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</si>
  <si>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</si>
  <si>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</si>
  <si>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</si>
  <si>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</si>
  <si>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</si>
  <si>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</si>
  <si>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</si>
  <si>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</si>
  <si>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</si>
  <si>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</si>
  <si>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</si>
  <si>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</si>
  <si>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</si>
  <si>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</si>
  <si>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</si>
  <si>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</si>
  <si>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</si>
  <si>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</si>
  <si>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</si>
  <si>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</si>
  <si>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</si>
  <si>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</si>
  <si>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</si>
  <si>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</si>
  <si>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</si>
  <si>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</si>
  <si>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</si>
  <si>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</si>
  <si>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</si>
  <si>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</si>
  <si>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</si>
  <si>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</si>
  <si>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</si>
  <si>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</si>
  <si>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</si>
  <si>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</si>
  <si>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</si>
  <si>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</si>
  <si>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</si>
  <si>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</si>
  <si>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</si>
  <si>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</si>
  <si>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</si>
  <si>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</si>
  <si>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</si>
  <si>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</si>
  <si>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</si>
  <si>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</si>
  <si>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</si>
  <si>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</si>
  <si>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</si>
  <si>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</si>
  <si>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</si>
  <si>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</si>
  <si>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</si>
  <si>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</si>
  <si>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</si>
  <si>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</si>
  <si>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</si>
  <si>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</si>
  <si>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</si>
  <si>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</si>
  <si>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</si>
  <si>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</si>
  <si>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</si>
  <si>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</si>
  <si>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</si>
  <si>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</si>
  <si>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</si>
  <si>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</si>
  <si>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</si>
  <si>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</si>
  <si>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</si>
  <si>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</si>
  <si>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</si>
  <si>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</si>
  <si>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</si>
  <si>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</si>
  <si>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</si>
  <si>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</si>
  <si>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</si>
  <si>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</si>
  <si>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</si>
  <si>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</si>
  <si>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</si>
  <si>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</si>
  <si>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</si>
  <si>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</si>
  <si>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</si>
  <si>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</si>
  <si>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</si>
  <si>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</si>
  <si>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</si>
  <si>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</si>
  <si>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</si>
  <si>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</si>
  <si>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</si>
  <si>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</si>
  <si>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</si>
  <si>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</si>
  <si>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</si>
  <si>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</si>
  <si>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</si>
  <si>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</si>
  <si>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</si>
  <si>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</si>
  <si>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</si>
  <si>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</si>
  <si>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</si>
  <si>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</si>
  <si>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</si>
  <si>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</si>
  <si>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</si>
  <si>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</si>
  <si>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</si>
  <si>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</si>
  <si>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</si>
  <si>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</si>
  <si>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</si>
  <si>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</si>
  <si>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</si>
  <si>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</si>
  <si>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</si>
  <si>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</si>
  <si>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</si>
  <si>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</si>
  <si>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</si>
  <si>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</si>
  <si>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</si>
  <si>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</si>
  <si>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</si>
  <si>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</si>
  <si>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</si>
  <si>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</si>
  <si>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</si>
  <si>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</si>
  <si>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</si>
  <si>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</si>
  <si>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</si>
  <si>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</si>
  <si>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</si>
  <si>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</si>
  <si>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</si>
  <si>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</si>
  <si>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</si>
  <si>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</si>
  <si>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</si>
  <si>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</si>
  <si>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</si>
  <si>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</si>
  <si>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</si>
  <si>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</si>
  <si>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</si>
  <si>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</si>
  <si>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</si>
  <si>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</si>
  <si>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</si>
  <si>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</si>
  <si>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</si>
  <si>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</si>
  <si>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</si>
  <si>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</si>
  <si>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</si>
  <si>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</si>
  <si>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</si>
  <si>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</si>
  <si>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</si>
  <si>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</si>
  <si>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</si>
  <si>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</si>
  <si>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</si>
  <si>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</si>
  <si>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</si>
  <si>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</si>
  <si>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</si>
  <si>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</si>
  <si>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</si>
  <si>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</si>
  <si>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</si>
  <si>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</si>
  <si>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</si>
  <si>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</si>
  <si>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</si>
  <si>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</si>
  <si>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</si>
  <si>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</si>
  <si>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</si>
  <si>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</si>
  <si>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</si>
  <si>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</si>
  <si>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</si>
  <si>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</si>
  <si>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</si>
  <si>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</si>
  <si>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</si>
  <si>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</si>
  <si>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</si>
  <si>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</si>
  <si>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</si>
  <si>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</si>
  <si>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</si>
  <si>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</si>
  <si>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</si>
  <si>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</si>
  <si>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</si>
  <si>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</si>
  <si>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</si>
  <si>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</si>
  <si>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</si>
  <si>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</si>
  <si>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</si>
  <si>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</si>
  <si>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</si>
  <si>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</si>
  <si>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</si>
  <si>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</si>
  <si>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</si>
  <si>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</si>
  <si>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</si>
  <si>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</si>
  <si>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</si>
  <si>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</si>
  <si>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</si>
  <si>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</si>
  <si>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</si>
  <si>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</si>
  <si>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</si>
  <si>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</si>
  <si>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</si>
  <si>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</si>
  <si>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</si>
  <si>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</si>
  <si>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</si>
  <si>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</si>
  <si>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</si>
  <si>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</si>
  <si>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</si>
  <si>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</si>
  <si>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</si>
  <si>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</si>
  <si>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</si>
  <si>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</si>
  <si>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</si>
  <si>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</si>
  <si>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</si>
  <si>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</si>
  <si>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</si>
  <si>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</si>
  <si>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</si>
  <si>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</si>
  <si>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</si>
  <si>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</si>
  <si>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</si>
  <si>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</si>
  <si>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</si>
  <si>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</si>
  <si>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</si>
  <si>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</si>
  <si>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</si>
  <si>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</si>
  <si>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</si>
  <si>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</si>
  <si>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</si>
  <si>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</si>
  <si>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</si>
  <si>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</si>
  <si>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</si>
  <si>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</si>
  <si>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</si>
  <si>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</si>
  <si>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</si>
  <si>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</si>
  <si>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</si>
  <si>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</si>
  <si>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</si>
  <si>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</si>
  <si>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</si>
  <si>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</si>
  <si>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</si>
  <si>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</si>
  <si>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</si>
  <si>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</si>
  <si>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</si>
  <si>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</si>
  <si>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</si>
  <si>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</si>
  <si>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</si>
  <si>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</si>
  <si>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</si>
  <si>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</si>
  <si>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</si>
  <si>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</si>
  <si>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</si>
  <si>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</si>
  <si>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</si>
  <si>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</si>
  <si>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</si>
  <si>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</si>
  <si>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</si>
  <si>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</si>
  <si>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</si>
  <si>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</si>
  <si>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</si>
  <si>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</si>
  <si>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</si>
  <si>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</si>
  <si>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</si>
  <si>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</si>
  <si>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</si>
  <si>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</si>
  <si>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</si>
  <si>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</si>
  <si>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</si>
  <si>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</si>
  <si>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</si>
  <si>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</si>
  <si>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</si>
  <si>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</si>
  <si>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</si>
  <si>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</si>
  <si>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</si>
  <si>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</si>
  <si>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</si>
  <si>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</si>
  <si>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</si>
  <si>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</si>
  <si>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</si>
  <si>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</si>
  <si>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</si>
  <si>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</si>
  <si>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</si>
  <si>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</si>
  <si>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</si>
  <si>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</si>
  <si>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</si>
  <si>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</si>
  <si>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</si>
  <si>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</si>
  <si>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</si>
  <si>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</si>
  <si>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</si>
  <si>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</si>
  <si>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</si>
  <si>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</si>
  <si>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</si>
  <si>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</si>
  <si>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</si>
  <si>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</si>
  <si>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</si>
  <si>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</si>
  <si>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</si>
  <si>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</si>
  <si>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</si>
  <si>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</si>
  <si>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</si>
  <si>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</si>
  <si>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</si>
  <si>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</si>
  <si>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</si>
  <si>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</si>
  <si>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</si>
  <si>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</si>
  <si>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</si>
  <si>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</si>
  <si>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</si>
  <si>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</si>
  <si>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</si>
  <si>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</si>
  <si>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</si>
  <si>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</si>
  <si>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</si>
  <si>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</si>
  <si>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</si>
  <si>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</si>
  <si>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</si>
  <si>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</si>
  <si>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</si>
  <si>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</si>
  <si>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</si>
  <si>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</si>
  <si>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</si>
  <si>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</si>
  <si>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</si>
  <si>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</si>
  <si>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</si>
  <si>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</si>
  <si>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</si>
  <si>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</si>
  <si>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</si>
  <si>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</si>
  <si>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</si>
  <si>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</si>
  <si>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</si>
  <si>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</si>
  <si>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</si>
  <si>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</si>
  <si>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</si>
  <si>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</si>
  <si>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</si>
  <si>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</si>
  <si>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</si>
  <si>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</si>
  <si>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</si>
  <si>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</si>
  <si>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</si>
  <si>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</si>
  <si>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</si>
  <si>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</si>
  <si>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</si>
  <si>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</si>
  <si>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</si>
  <si>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</si>
  <si>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</si>
  <si>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</si>
  <si>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</si>
  <si>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</si>
  <si>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</si>
  <si>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</si>
  <si>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</si>
  <si>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</si>
  <si>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</si>
  <si>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</si>
  <si>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</si>
  <si>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</si>
  <si>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</si>
  <si>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</si>
  <si>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</si>
  <si>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</si>
  <si>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</si>
  <si>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</si>
  <si>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</si>
  <si>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</si>
  <si>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</si>
  <si>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</si>
  <si>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</si>
  <si>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</si>
  <si>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</si>
  <si>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</si>
  <si>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</si>
  <si>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</si>
  <si>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</si>
  <si>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</si>
  <si>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</si>
  <si>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</si>
  <si>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</si>
  <si>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</si>
  <si>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</si>
  <si>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</si>
  <si>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</si>
  <si>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</si>
  <si>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</si>
  <si>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</si>
  <si>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</si>
  <si>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</si>
  <si>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</si>
  <si>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</si>
  <si>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</si>
  <si>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</si>
  <si>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</si>
  <si>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</si>
  <si>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</si>
  <si>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</si>
  <si>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</si>
  <si>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</si>
  <si>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</si>
  <si>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</si>
  <si>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</si>
  <si>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</si>
  <si>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</si>
  <si>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</si>
  <si>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</si>
  <si>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</si>
  <si>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</si>
  <si>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</si>
  <si>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</si>
  <si>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</si>
  <si>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</si>
  <si>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</si>
  <si>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</si>
  <si>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</si>
  <si>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</si>
  <si>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</si>
  <si>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</si>
  <si>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</si>
  <si>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</si>
  <si>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</si>
  <si>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</si>
  <si>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</si>
  <si>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</si>
  <si>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</si>
  <si>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</si>
  <si>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</si>
  <si>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</si>
  <si>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</si>
  <si>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</si>
  <si>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</si>
  <si>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</si>
  <si>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</si>
  <si>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</si>
  <si>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</si>
  <si>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</si>
  <si>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</si>
  <si>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</si>
  <si>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</si>
  <si>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</si>
  <si>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</si>
  <si>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</si>
  <si>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</si>
  <si>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</si>
  <si>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</si>
  <si>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</si>
  <si>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</si>
  <si>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</si>
  <si>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</si>
  <si>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</si>
  <si>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</si>
  <si>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</si>
  <si>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</si>
  <si>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</si>
  <si>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</si>
  <si>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</si>
  <si>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</si>
  <si>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</si>
  <si>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</si>
  <si>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</si>
  <si>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</si>
  <si>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</si>
  <si>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</si>
  <si>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</si>
  <si>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</si>
  <si>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</si>
  <si>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</si>
  <si>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</si>
  <si>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</si>
  <si>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</si>
  <si>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</si>
  <si>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</si>
  <si>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</si>
  <si>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</si>
  <si>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</si>
  <si>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</si>
  <si>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</si>
  <si>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</si>
  <si>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</si>
  <si>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</si>
  <si>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</si>
  <si>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</si>
  <si>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</si>
  <si>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</si>
  <si>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</si>
  <si>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</si>
  <si>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</si>
  <si>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</si>
  <si>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</si>
  <si>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</si>
  <si>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</si>
  <si>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</si>
  <si>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</si>
  <si>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</si>
  <si>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</si>
  <si>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</si>
  <si>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</si>
  <si>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</si>
  <si>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</si>
  <si>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</si>
  <si>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</si>
  <si>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</si>
  <si>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</si>
  <si>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</si>
  <si>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</si>
  <si>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</si>
  <si>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</si>
  <si>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</si>
  <si>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</si>
  <si>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</si>
  <si>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</si>
  <si>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</si>
  <si>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</si>
  <si>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</si>
  <si>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</si>
  <si>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</si>
  <si>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</si>
  <si>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</si>
  <si>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</si>
  <si>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</si>
  <si>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</si>
  <si>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</si>
  <si>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</si>
  <si>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</si>
  <si>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</si>
  <si>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</si>
  <si>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</si>
  <si>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</si>
  <si>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</si>
  <si>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</si>
  <si>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</si>
  <si>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</si>
  <si>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</si>
  <si>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</si>
  <si>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</si>
  <si>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</si>
  <si>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</si>
  <si>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</si>
  <si>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</si>
  <si>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</si>
  <si>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</si>
  <si>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</si>
  <si>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</si>
  <si>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</si>
  <si>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</si>
  <si>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</si>
  <si>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</si>
  <si>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</si>
  <si>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</si>
  <si>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</si>
  <si>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</si>
  <si>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</si>
  <si>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</si>
  <si>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</si>
  <si>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</si>
  <si>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</si>
  <si>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</si>
  <si>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</si>
  <si>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</si>
  <si>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</si>
  <si>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</si>
  <si>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</si>
  <si>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</si>
  <si>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</si>
  <si>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</si>
  <si>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</si>
  <si>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</si>
  <si>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</si>
  <si>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</si>
  <si>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</si>
  <si>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</si>
  <si>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</si>
  <si>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</si>
  <si>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</si>
  <si>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</si>
  <si>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</si>
  <si>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</si>
  <si>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</si>
  <si>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</si>
  <si>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</si>
  <si>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</si>
  <si>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</si>
  <si>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</si>
  <si>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</si>
  <si>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</si>
  <si>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</si>
  <si>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</si>
  <si>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</si>
  <si>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</si>
  <si>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</si>
  <si>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</si>
  <si>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</si>
  <si>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</si>
  <si>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</si>
  <si>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</si>
  <si>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</si>
  <si>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</si>
  <si>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</si>
  <si>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</si>
  <si>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</si>
  <si>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</si>
  <si>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</si>
  <si>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</si>
  <si>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</si>
  <si>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</si>
  <si>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</si>
  <si>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</si>
  <si>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</si>
  <si>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</si>
  <si>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</si>
  <si>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</si>
  <si>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</si>
  <si>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</si>
  <si>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</si>
  <si>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</si>
  <si>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</si>
  <si>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</si>
  <si>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</si>
  <si>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</si>
  <si>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</si>
  <si>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</si>
  <si>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</si>
  <si>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</si>
  <si>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</si>
  <si>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</si>
  <si>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</si>
  <si>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</si>
  <si>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</si>
  <si>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</si>
  <si>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</si>
  <si>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</si>
  <si>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</si>
  <si>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</si>
  <si>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</si>
  <si>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</si>
  <si>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</si>
  <si>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</si>
  <si>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</si>
  <si>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</si>
  <si>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</si>
  <si>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</si>
  <si>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</si>
  <si>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</si>
  <si>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</si>
  <si>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</si>
  <si>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</si>
  <si>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</si>
  <si>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</si>
  <si>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</si>
  <si>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</si>
  <si>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</si>
  <si>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</si>
  <si>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</si>
  <si>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</si>
  <si>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</si>
  <si>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</si>
  <si>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</si>
  <si>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</si>
  <si>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</si>
  <si>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</si>
  <si>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</si>
  <si>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</si>
  <si>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</si>
  <si>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</si>
  <si>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</si>
  <si>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</si>
  <si>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</si>
  <si>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</si>
  <si>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</si>
  <si>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</si>
  <si>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</si>
  <si>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</si>
  <si>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</si>
  <si>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</si>
  <si>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</si>
  <si>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</si>
  <si>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</si>
  <si>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</si>
  <si>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</si>
  <si>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</si>
  <si>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</si>
  <si>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</si>
  <si>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</si>
  <si>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</si>
  <si>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</si>
  <si>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</si>
  <si>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</si>
  <si>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</si>
  <si>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</si>
  <si>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</si>
  <si>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</si>
  <si>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</si>
  <si>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</si>
  <si>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</si>
  <si>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</si>
  <si>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</si>
  <si>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</si>
  <si>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</si>
  <si>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</si>
  <si>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</si>
  <si>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</si>
  <si>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</si>
  <si>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</si>
  <si>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</si>
  <si>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</si>
  <si>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</si>
  <si>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</si>
  <si>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</si>
  <si>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</si>
  <si>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</si>
  <si>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</si>
  <si>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</si>
  <si>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</si>
  <si>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</si>
  <si>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</si>
  <si>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</si>
  <si>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</si>
  <si>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</si>
  <si>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</si>
  <si>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</si>
  <si>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</si>
  <si>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</si>
  <si>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</si>
  <si>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</si>
  <si>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</si>
  <si>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</si>
  <si>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</si>
  <si>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</si>
  <si>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</si>
  <si>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</si>
  <si>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</si>
  <si>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</si>
  <si>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</si>
  <si>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</si>
  <si>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</si>
  <si>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</si>
  <si>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</si>
  <si>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</si>
  <si>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</si>
  <si>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</si>
  <si>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</si>
  <si>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</si>
  <si>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</si>
  <si>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</si>
  <si>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</si>
  <si>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</si>
  <si>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</si>
  <si>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</si>
  <si>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</si>
  <si>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</si>
  <si>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</si>
  <si>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</si>
  <si>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</si>
  <si>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</si>
  <si>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</si>
  <si>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</si>
  <si>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</si>
  <si>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</si>
  <si>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</si>
  <si>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</si>
  <si>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</si>
  <si>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</si>
  <si>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</si>
  <si>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</si>
  <si>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</si>
  <si>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</si>
  <si>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</si>
  <si>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</si>
  <si>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</si>
  <si>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</si>
  <si>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</si>
  <si>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</si>
  <si>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</si>
  <si>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</si>
  <si>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</si>
  <si>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</si>
  <si>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</si>
  <si>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</si>
  <si>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</si>
  <si>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</si>
  <si>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</si>
  <si>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</si>
  <si>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</si>
  <si>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</si>
  <si>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</si>
  <si>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</si>
  <si>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</si>
  <si>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</si>
  <si>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</si>
  <si>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</si>
  <si>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</si>
  <si>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</si>
  <si>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</si>
  <si>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</si>
  <si>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</si>
  <si>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</si>
  <si>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</si>
  <si>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</si>
  <si>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</si>
  <si>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</si>
  <si>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</si>
  <si>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</si>
  <si>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</si>
  <si>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</si>
  <si>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</si>
  <si>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</si>
  <si>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</si>
  <si>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</si>
  <si>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</si>
  <si>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</si>
  <si>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</si>
  <si>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</si>
  <si>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</si>
  <si>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</si>
  <si>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</si>
  <si>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</si>
  <si>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</si>
  <si>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</si>
  <si>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</si>
  <si>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</si>
  <si>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</si>
  <si>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</si>
  <si>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</si>
  <si>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</si>
  <si>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</si>
  <si>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</si>
  <si>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</si>
  <si>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</si>
  <si>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</si>
  <si>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</si>
  <si>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</si>
  <si>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</si>
  <si>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</si>
  <si>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</si>
  <si>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</si>
  <si>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</si>
  <si>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</si>
  <si>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</si>
  <si>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</si>
  <si>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</si>
  <si>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</si>
  <si>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</si>
  <si>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</si>
  <si>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</si>
  <si>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</si>
  <si>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</si>
  <si>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</si>
  <si>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</si>
  <si>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</si>
  <si>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</si>
  <si>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</si>
  <si>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</si>
  <si>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</si>
  <si>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</si>
  <si>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</si>
  <si>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</si>
  <si>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</si>
  <si>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</si>
  <si>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</si>
  <si>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</si>
  <si>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</si>
  <si>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</si>
  <si>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</si>
  <si>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</si>
  <si>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</si>
  <si>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</si>
  <si>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</si>
  <si>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</si>
  <si>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</si>
  <si>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</si>
  <si>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</si>
  <si>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</si>
  <si>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</si>
  <si>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</si>
  <si>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</si>
  <si>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</si>
  <si>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</si>
  <si>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</si>
  <si>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</si>
  <si>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</si>
  <si>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</si>
  <si>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</si>
  <si>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</si>
  <si>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</si>
  <si>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</si>
  <si>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</si>
  <si>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</si>
  <si>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</si>
  <si>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</si>
  <si>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</si>
  <si>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</si>
  <si>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</si>
  <si>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</si>
  <si>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</si>
  <si>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</si>
  <si>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</si>
  <si>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</si>
  <si>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</si>
  <si>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</si>
  <si>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</si>
  <si>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</si>
  <si>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</si>
  <si>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</si>
  <si>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</si>
  <si>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</si>
  <si>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</si>
  <si>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</si>
  <si>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</si>
  <si>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</si>
  <si>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</si>
  <si>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</si>
  <si>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</si>
  <si>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</si>
  <si>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</si>
  <si>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</si>
  <si>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</si>
  <si>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</si>
  <si>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</si>
  <si>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</si>
  <si>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</si>
  <si>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</si>
  <si>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</si>
  <si>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</si>
  <si>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</si>
  <si>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</si>
  <si>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</si>
  <si>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</si>
  <si>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</si>
  <si>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</si>
  <si>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</si>
  <si>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</si>
  <si>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</si>
  <si>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</si>
  <si>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</si>
  <si>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</si>
  <si>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</si>
  <si>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</si>
  <si>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</si>
  <si>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</si>
  <si>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</si>
  <si>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</si>
  <si>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</si>
  <si>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</si>
  <si>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</si>
  <si>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</si>
  <si>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</si>
  <si>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</si>
  <si>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</si>
  <si>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</si>
  <si>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</si>
  <si>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</si>
  <si>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</si>
  <si>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</si>
  <si>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</si>
  <si>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</si>
  <si>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</si>
  <si>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</si>
  <si>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</si>
  <si>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</si>
  <si>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</si>
  <si>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</si>
  <si>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</si>
  <si>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</si>
  <si>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</si>
  <si>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</si>
  <si>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</si>
  <si>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</si>
  <si>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</si>
  <si>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</si>
  <si>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</si>
  <si>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</si>
  <si>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</si>
  <si>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</si>
  <si>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</si>
  <si>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</si>
  <si>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</si>
  <si>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</si>
  <si>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</si>
  <si>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</si>
  <si>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</si>
  <si>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</si>
  <si>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</si>
  <si>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</si>
  <si>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</si>
  <si>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</si>
  <si>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</si>
  <si>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</si>
  <si>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</si>
  <si>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</si>
  <si>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</si>
  <si>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</si>
  <si>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</si>
  <si>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</si>
  <si>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</si>
  <si>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</si>
  <si>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</si>
  <si>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</si>
  <si>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</si>
  <si>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</si>
  <si>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</si>
  <si>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</si>
  <si>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</si>
  <si>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</si>
  <si>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</si>
  <si>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</si>
  <si>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</si>
  <si>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</si>
  <si>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</si>
  <si>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</si>
  <si>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</si>
  <si>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</si>
  <si>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</si>
  <si>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</si>
  <si>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</si>
  <si>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</si>
  <si>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</si>
  <si>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</si>
  <si>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</si>
  <si>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</si>
  <si>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</si>
  <si>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</si>
  <si>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</si>
  <si>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</si>
  <si>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</si>
  <si>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</si>
  <si>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</si>
  <si>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</si>
  <si>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</si>
  <si>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</si>
  <si>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</si>
  <si>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</si>
  <si>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</si>
  <si>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</si>
  <si>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</si>
  <si>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</si>
  <si>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</si>
  <si>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</si>
  <si>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</si>
  <si>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</si>
  <si>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</si>
  <si>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</si>
  <si>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</si>
  <si>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</si>
  <si>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</si>
  <si>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</si>
  <si>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</si>
  <si>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</si>
  <si>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</si>
  <si>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</si>
  <si>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</si>
  <si>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</si>
  <si>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</si>
  <si>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</si>
  <si>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</si>
  <si>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</si>
  <si>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</si>
  <si>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</si>
  <si>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</si>
  <si>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</si>
  <si>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</si>
  <si>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</si>
  <si>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</si>
  <si>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</si>
  <si>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</si>
  <si>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</si>
  <si>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</si>
  <si>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</si>
  <si>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</si>
  <si>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</si>
  <si>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</si>
  <si>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</si>
  <si>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</si>
  <si>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</si>
  <si>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</si>
  <si>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</si>
  <si>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</si>
  <si>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</si>
  <si>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</si>
  <si>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</si>
  <si>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</si>
  <si>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</si>
  <si>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</si>
  <si>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</si>
  <si>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</si>
  <si>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</si>
  <si>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</si>
  <si>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</si>
  <si>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</si>
  <si>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</si>
  <si>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</si>
  <si>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</si>
  <si>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</si>
  <si>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</si>
  <si>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</si>
  <si>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</si>
  <si>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</si>
  <si>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</si>
  <si>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</si>
  <si>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</si>
  <si>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</si>
  <si>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</si>
  <si>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</si>
  <si>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</si>
  <si>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</si>
  <si>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</si>
  <si>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</si>
  <si>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</si>
  <si>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</si>
  <si>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</si>
  <si>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</si>
  <si>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</si>
  <si>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</si>
  <si>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</si>
  <si>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</si>
  <si>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</si>
  <si>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</si>
  <si>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</si>
  <si>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</si>
  <si>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</si>
  <si>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</si>
  <si>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</si>
  <si>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</si>
  <si>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</si>
  <si>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</si>
  <si>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</si>
  <si>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</si>
  <si>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</si>
  <si>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</si>
  <si>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</si>
  <si>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</si>
  <si>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</si>
  <si>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</si>
  <si>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</si>
  <si>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</si>
  <si>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</si>
  <si>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</si>
  <si>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</si>
  <si>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</si>
  <si>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</si>
  <si>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</si>
  <si>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</si>
  <si>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</si>
  <si>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</si>
  <si>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</si>
  <si>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</si>
  <si>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</si>
  <si>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</si>
  <si>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</si>
  <si>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</si>
  <si>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</si>
  <si>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</si>
  <si>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</si>
  <si>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</si>
  <si>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</si>
  <si>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</si>
  <si>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</si>
  <si>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</si>
  <si>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</si>
  <si>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</si>
  <si>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</si>
  <si>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</si>
  <si>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</si>
  <si>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</si>
  <si>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</si>
  <si>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</si>
  <si>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</si>
  <si>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</si>
  <si>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</si>
  <si>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</si>
  <si>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</si>
  <si>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</si>
  <si>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</si>
  <si>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</si>
  <si>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</si>
  <si>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</si>
  <si>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</si>
  <si>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</si>
  <si>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</si>
  <si>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</si>
  <si>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</si>
  <si>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</si>
  <si>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</si>
  <si>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</si>
  <si>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</si>
  <si>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</si>
  <si>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</si>
  <si>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</si>
  <si>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</si>
  <si>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</si>
  <si>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</si>
  <si>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</si>
  <si>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</si>
  <si>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</si>
  <si>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</si>
  <si>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</si>
  <si>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</si>
  <si>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</si>
  <si>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</si>
  <si>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</si>
  <si>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</si>
  <si>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</si>
  <si>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</si>
  <si>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</si>
  <si>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</si>
  <si>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</si>
  <si>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</si>
  <si>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</si>
  <si>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</si>
  <si>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</si>
  <si>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</si>
  <si>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</si>
  <si>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</si>
  <si>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</si>
  <si>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</si>
  <si>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</si>
  <si>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</si>
  <si>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</si>
  <si>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</si>
  <si>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</si>
  <si>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</si>
  <si>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</si>
  <si>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</si>
  <si>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</si>
  <si>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</si>
  <si>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</si>
  <si>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</si>
  <si>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</si>
  <si>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</si>
  <si>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</si>
  <si>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</si>
  <si>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</si>
  <si>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</si>
  <si>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</si>
  <si>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</si>
  <si>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</si>
  <si>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</si>
  <si>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</si>
  <si>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</si>
  <si>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</si>
  <si>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</si>
  <si>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</si>
  <si>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</si>
  <si>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</si>
  <si>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</si>
  <si>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</si>
  <si>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</si>
  <si>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</si>
  <si>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</si>
  <si>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</si>
  <si>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</si>
  <si>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</si>
  <si>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</si>
  <si>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</si>
  <si>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</si>
  <si>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</si>
  <si>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</si>
  <si>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</si>
  <si>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</si>
  <si>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</si>
  <si>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</si>
  <si>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</si>
  <si>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</si>
  <si>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</si>
  <si>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</si>
  <si>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</si>
  <si>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</si>
  <si>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</si>
  <si>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</si>
  <si>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</si>
  <si>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</si>
  <si>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</si>
  <si>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</si>
  <si>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</si>
  <si>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</si>
  <si>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</si>
  <si>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</si>
  <si>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</si>
  <si>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</si>
  <si>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</si>
  <si>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</si>
  <si>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</si>
  <si>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</si>
  <si>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</si>
  <si>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</si>
  <si>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</si>
  <si>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</si>
  <si>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</si>
  <si>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</si>
  <si>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</si>
  <si>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</si>
  <si>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</si>
  <si>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</si>
  <si>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</si>
  <si>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</si>
  <si>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</si>
  <si>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</si>
  <si>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</si>
  <si>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</si>
  <si>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</si>
  <si>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</si>
  <si>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</si>
  <si>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</si>
  <si>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</si>
  <si>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</si>
  <si>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</si>
  <si>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</si>
  <si>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</si>
  <si>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</si>
  <si>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</si>
  <si>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</si>
  <si>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</si>
  <si>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</si>
  <si>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</si>
  <si>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</si>
  <si>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</si>
  <si>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</si>
  <si>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</si>
  <si>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</si>
  <si>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</si>
  <si>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</si>
  <si>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</si>
  <si>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</si>
  <si>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</si>
  <si>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</si>
  <si>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</si>
  <si>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</si>
  <si>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</si>
  <si>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</si>
  <si>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</si>
  <si>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</si>
  <si>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</si>
  <si>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</si>
  <si>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</si>
  <si>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</si>
  <si>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</si>
  <si>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</si>
  <si>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</si>
  <si>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</si>
  <si>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</si>
  <si>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</si>
  <si>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</si>
  <si>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</si>
  <si>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</si>
  <si>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</si>
  <si>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</si>
  <si>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</si>
  <si>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</si>
  <si>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</si>
  <si>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</si>
  <si>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</si>
  <si>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</si>
  <si>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</si>
  <si>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</si>
  <si>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</si>
  <si>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</si>
  <si>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</si>
  <si>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</si>
  <si>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</si>
  <si>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</si>
  <si>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</si>
  <si>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</si>
  <si>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</si>
  <si>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</si>
  <si>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</si>
  <si>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</si>
  <si>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</si>
  <si>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</si>
  <si>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</si>
  <si>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</si>
  <si>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</si>
  <si>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</si>
  <si>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</si>
  <si>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</si>
  <si>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</si>
  <si>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</si>
  <si>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</si>
  <si>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</si>
  <si>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</si>
  <si>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</si>
  <si>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</si>
  <si>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</si>
  <si>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</si>
  <si>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</si>
  <si>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</si>
  <si>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</si>
  <si>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</si>
  <si>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</si>
  <si>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</si>
  <si>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</si>
  <si>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</si>
  <si>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</si>
  <si>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</si>
  <si>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</si>
  <si>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</si>
  <si>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</si>
  <si>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</si>
  <si>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</si>
  <si>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</si>
  <si>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</si>
  <si>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</si>
  <si>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</si>
  <si>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</si>
  <si>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</si>
  <si>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</si>
  <si>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</si>
  <si>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</si>
  <si>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</si>
  <si>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</si>
  <si>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</si>
  <si>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</si>
  <si>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</si>
  <si>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</si>
  <si>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</si>
  <si>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</si>
  <si>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</si>
  <si>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</si>
  <si>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</si>
  <si>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</si>
  <si>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</si>
  <si>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</si>
  <si>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</si>
  <si>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</si>
  <si>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</si>
  <si>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</si>
  <si>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</si>
  <si>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</si>
  <si>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</si>
  <si>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</si>
  <si>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</si>
  <si>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</si>
  <si>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</si>
  <si>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</si>
  <si>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</si>
  <si>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</si>
  <si>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</si>
  <si>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</si>
  <si>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</si>
  <si>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</si>
  <si>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</si>
  <si>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</si>
  <si>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</si>
  <si>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</si>
  <si>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</si>
  <si>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</si>
  <si>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</si>
  <si>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</si>
  <si>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</si>
  <si>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</si>
  <si>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</si>
  <si>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</si>
  <si>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</si>
  <si>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</si>
  <si>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</si>
  <si>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</si>
  <si>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</si>
  <si>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</si>
  <si>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</si>
  <si>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</si>
  <si>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</si>
  <si>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</si>
  <si>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</si>
  <si>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</si>
  <si>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</si>
  <si>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</si>
  <si>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</si>
  <si>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</si>
  <si>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</si>
  <si>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</si>
  <si>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</si>
  <si>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</si>
  <si>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</si>
  <si>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</si>
  <si>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</si>
  <si>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</si>
  <si>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</si>
  <si>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</si>
  <si>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</si>
  <si>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</si>
  <si>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</si>
  <si>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</si>
  <si>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</si>
  <si>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</si>
  <si>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</si>
  <si>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</si>
  <si>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</si>
  <si>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</si>
  <si>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</si>
  <si>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</si>
  <si>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</si>
  <si>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</si>
  <si>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</si>
  <si>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</si>
  <si>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</si>
  <si>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</si>
  <si>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</si>
  <si>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</si>
  <si>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</si>
  <si>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</si>
  <si>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</si>
  <si>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</si>
  <si>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</si>
  <si>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</si>
  <si>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</si>
  <si>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</si>
  <si>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</si>
  <si>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</si>
  <si>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</si>
  <si>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</si>
  <si>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</si>
  <si>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</si>
  <si>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</si>
  <si>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</si>
  <si>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</si>
  <si>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</si>
  <si>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</si>
  <si>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</si>
  <si>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</si>
  <si>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</si>
  <si>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</si>
  <si>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</si>
  <si>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</si>
  <si>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</si>
  <si>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</si>
  <si>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</si>
  <si>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</si>
  <si>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</si>
  <si>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</si>
  <si>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</si>
  <si>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</si>
  <si>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</si>
  <si>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</si>
  <si>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</si>
  <si>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</si>
  <si>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</si>
  <si>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</si>
  <si>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</si>
  <si>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</si>
  <si>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</si>
  <si>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</si>
  <si>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</si>
  <si>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</si>
  <si>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</si>
  <si>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</si>
  <si>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</si>
  <si>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</si>
  <si>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</si>
  <si>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</si>
  <si>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</si>
  <si>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</si>
  <si>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</si>
  <si>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</si>
  <si>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</si>
  <si>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</si>
  <si>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</si>
  <si>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</si>
  <si>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</si>
  <si>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</si>
  <si>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</si>
  <si>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</si>
  <si>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</si>
  <si>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</si>
  <si>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</si>
  <si>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</si>
  <si>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</si>
  <si>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</si>
  <si>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</si>
  <si>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</si>
  <si>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</si>
  <si>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</si>
  <si>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</si>
  <si>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</si>
  <si>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</si>
  <si>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</si>
  <si>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</si>
  <si>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</si>
  <si>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</si>
  <si>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</si>
  <si>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</si>
  <si>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</si>
  <si>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</si>
  <si>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</si>
  <si>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</si>
  <si>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</si>
  <si>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</si>
  <si>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</si>
  <si>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</si>
  <si>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</si>
  <si>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</si>
  <si>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</si>
  <si>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</si>
  <si>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</si>
  <si>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</si>
  <si>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</si>
  <si>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</si>
  <si>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</si>
  <si>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</si>
  <si>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</si>
  <si>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</si>
  <si>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</si>
  <si>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</si>
  <si>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</si>
  <si>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</si>
  <si>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</si>
  <si>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</si>
  <si>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</si>
  <si>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</si>
  <si>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</si>
  <si>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</si>
  <si>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</si>
  <si>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</si>
  <si>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</si>
  <si>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</si>
  <si>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</si>
  <si>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</si>
  <si>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</si>
  <si>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</si>
  <si>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</si>
  <si>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</si>
  <si>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</si>
  <si>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</si>
  <si>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</si>
  <si>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</si>
  <si>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</si>
  <si>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</si>
  <si>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</si>
  <si>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</si>
  <si>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</si>
  <si>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</si>
  <si>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</si>
  <si>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</si>
  <si>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</si>
  <si>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</si>
  <si>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</si>
  <si>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</si>
  <si>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</si>
  <si>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</si>
  <si>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</si>
  <si>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</si>
  <si>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</si>
  <si>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</si>
  <si>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</si>
  <si>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</si>
  <si>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</si>
  <si>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</si>
  <si>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</si>
  <si>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</si>
  <si>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</si>
  <si>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</si>
  <si>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</si>
  <si>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</si>
  <si>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</si>
  <si>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</si>
  <si>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</si>
  <si>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</si>
  <si>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</si>
  <si>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</si>
  <si>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</si>
  <si>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</si>
  <si>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</si>
  <si>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</si>
  <si>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</si>
  <si>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</si>
  <si>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</si>
  <si>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</si>
  <si>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</si>
  <si>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</si>
  <si>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</si>
  <si>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</si>
  <si>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</si>
  <si>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</si>
  <si>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</si>
  <si>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</si>
  <si>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</si>
  <si>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</si>
  <si>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</si>
  <si>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</si>
  <si>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</si>
  <si>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</si>
  <si>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</si>
  <si>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</si>
  <si>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</si>
  <si>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</si>
  <si>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</si>
  <si>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</si>
  <si>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</si>
  <si>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</si>
  <si>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</si>
  <si>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</si>
  <si>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</si>
  <si>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</si>
  <si>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</si>
  <si>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</si>
  <si>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</si>
  <si>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</si>
  <si>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</si>
  <si>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</si>
  <si>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</si>
  <si>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</si>
  <si>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</si>
  <si>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</si>
  <si>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</si>
  <si>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</si>
  <si>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</si>
  <si>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</si>
  <si>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</si>
  <si>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</si>
  <si>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</si>
  <si>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</si>
  <si>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</si>
  <si>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</si>
  <si>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</si>
  <si>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</si>
  <si>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</si>
  <si>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</si>
  <si>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</si>
  <si>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</si>
  <si>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</si>
  <si>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</si>
  <si>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</si>
  <si>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</si>
  <si>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</si>
  <si>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</si>
  <si>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</si>
  <si>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</si>
  <si>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</si>
  <si>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</si>
  <si>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</si>
  <si>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</si>
  <si>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</si>
  <si>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</si>
  <si>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</si>
  <si>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</si>
  <si>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</si>
  <si>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</si>
  <si>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</si>
  <si>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</si>
  <si>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</si>
  <si>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</si>
  <si>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</si>
  <si>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</si>
  <si>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</si>
  <si>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</si>
  <si>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</si>
  <si>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</si>
  <si>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</si>
  <si>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</si>
  <si>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</si>
  <si>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</si>
  <si>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</si>
  <si>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</si>
  <si>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</si>
  <si>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</si>
  <si>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</si>
  <si>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</si>
  <si>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</si>
  <si>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</si>
  <si>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</si>
  <si>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</si>
  <si>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</si>
  <si>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</si>
  <si>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</si>
  <si>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</si>
  <si>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</si>
  <si>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</si>
  <si>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</si>
  <si>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</si>
  <si>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</si>
  <si>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</si>
  <si>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</si>
  <si>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</si>
  <si>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</si>
  <si>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</si>
  <si>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</si>
  <si>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</si>
  <si>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</si>
  <si>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</si>
  <si>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</si>
  <si>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</si>
  <si>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</si>
  <si>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</si>
  <si>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</si>
  <si>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</si>
  <si>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</si>
  <si>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</si>
  <si>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</si>
  <si>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</si>
  <si>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</si>
  <si>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</si>
  <si>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</si>
  <si>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</si>
  <si>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</si>
  <si>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</si>
  <si>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</si>
  <si>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</si>
  <si>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</si>
  <si>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</si>
  <si>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</si>
  <si>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</si>
  <si>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</si>
  <si>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</si>
  <si>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</si>
  <si>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</si>
  <si>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</si>
  <si>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</si>
  <si>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</si>
  <si>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</si>
  <si>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</si>
  <si>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</si>
  <si>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</si>
  <si>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</si>
  <si>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</si>
  <si>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</si>
  <si>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</si>
  <si>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</si>
  <si>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</si>
  <si>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</si>
  <si>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</si>
  <si>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</si>
  <si>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</si>
  <si>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</si>
  <si>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</si>
  <si>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</si>
  <si>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</si>
  <si>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</si>
  <si>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</si>
  <si>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</si>
  <si>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</si>
  <si>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</si>
  <si>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</si>
  <si>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</si>
  <si>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</si>
  <si>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</si>
  <si>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</si>
  <si>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</si>
  <si>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</si>
  <si>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</si>
  <si>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</si>
  <si>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</si>
  <si>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</si>
  <si>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</si>
  <si>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</si>
  <si>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</si>
  <si>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</si>
  <si>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</si>
  <si>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</si>
  <si>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</si>
  <si>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</si>
  <si>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</si>
  <si>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</si>
  <si>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</si>
  <si>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</si>
  <si>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</si>
  <si>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</si>
  <si>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</si>
  <si>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</si>
  <si>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</si>
  <si>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</si>
  <si>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</si>
  <si>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</si>
  <si>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</si>
  <si>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</si>
  <si>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</si>
  <si>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</si>
  <si>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</si>
  <si>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</si>
  <si>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</si>
  <si>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</si>
  <si>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</si>
  <si>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</si>
  <si>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</si>
  <si>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</si>
  <si>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</si>
  <si>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</si>
  <si>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</si>
  <si>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</si>
  <si>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</si>
  <si>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</si>
  <si>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</si>
  <si>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</si>
  <si>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</si>
  <si>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</si>
  <si>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</si>
  <si>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</si>
  <si>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</si>
  <si>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</si>
  <si>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</si>
  <si>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</si>
  <si>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</si>
  <si>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</si>
  <si>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</si>
  <si>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</si>
  <si>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</si>
  <si>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</si>
  <si>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</si>
  <si>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</si>
  <si>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</si>
  <si>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</si>
  <si>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</si>
  <si>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</si>
  <si>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</si>
  <si>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</si>
  <si>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</si>
  <si>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</si>
  <si>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</si>
  <si>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</si>
  <si>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</si>
  <si>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</si>
  <si>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</si>
  <si>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</si>
  <si>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</si>
  <si>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</si>
  <si>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</si>
  <si>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</si>
  <si>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</si>
  <si>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</si>
  <si>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</si>
  <si>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</si>
  <si>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</si>
  <si>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</si>
  <si>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</si>
  <si>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</si>
  <si>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</si>
  <si>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</si>
  <si>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</si>
  <si>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</si>
  <si>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</si>
  <si>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</si>
  <si>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</si>
  <si>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</si>
  <si>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</si>
  <si>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</si>
  <si>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</si>
  <si>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</si>
  <si>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</si>
  <si>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</si>
  <si>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</si>
  <si>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</si>
  <si>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</si>
  <si>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</si>
  <si>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</si>
  <si>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</si>
  <si>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</si>
  <si>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</si>
  <si>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</si>
  <si>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</si>
  <si>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</si>
  <si>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</si>
  <si>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</si>
  <si>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</si>
  <si>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</si>
  <si>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</si>
  <si>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</si>
  <si>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</si>
  <si>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</si>
  <si>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</si>
  <si>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</si>
  <si>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</si>
  <si>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</si>
  <si>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</si>
  <si>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</si>
  <si>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</si>
  <si>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</si>
  <si>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</si>
  <si>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</si>
  <si>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</si>
  <si>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</si>
  <si>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</si>
  <si>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</si>
  <si>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</si>
  <si>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</si>
  <si>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</si>
  <si>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</si>
  <si>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</si>
  <si>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</si>
  <si>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</si>
  <si>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</si>
  <si>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</si>
  <si>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</si>
  <si>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</si>
  <si>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</si>
  <si>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</si>
  <si>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</si>
  <si>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</si>
  <si>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</si>
  <si>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</si>
  <si>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</si>
  <si>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</si>
  <si>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</si>
  <si>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</si>
  <si>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</si>
  <si>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</si>
  <si>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</si>
  <si>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</si>
  <si>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</si>
  <si>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</si>
  <si>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</si>
  <si>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</si>
  <si>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</si>
  <si>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</si>
  <si>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</si>
  <si>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</si>
  <si>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</si>
  <si>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</si>
  <si>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</si>
  <si>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</si>
  <si>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</si>
  <si>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</si>
  <si>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</si>
  <si>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</si>
  <si>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</si>
  <si>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</si>
  <si>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</si>
  <si>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</si>
  <si>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</si>
  <si>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</si>
  <si>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</si>
  <si>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</si>
  <si>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</si>
  <si>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</si>
  <si>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</si>
  <si>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</si>
  <si>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</si>
  <si>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</si>
  <si>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</si>
  <si>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</si>
  <si>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</si>
  <si>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</si>
  <si>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</si>
  <si>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</si>
  <si>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</si>
  <si>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</si>
  <si>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</si>
  <si>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</si>
  <si>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</si>
  <si>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</si>
  <si>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</si>
  <si>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</si>
  <si>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</si>
  <si>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</si>
  <si>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</si>
  <si>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</si>
  <si>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</si>
  <si>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</si>
  <si>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</si>
  <si>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</si>
  <si>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</si>
  <si>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</si>
  <si>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</si>
  <si>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</si>
  <si>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</si>
  <si>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</si>
  <si>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</si>
  <si>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</si>
  <si>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</si>
  <si>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</si>
  <si>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</si>
  <si>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</si>
  <si>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</si>
  <si>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</si>
  <si>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</si>
  <si>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</si>
  <si>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</si>
  <si>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</si>
  <si>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</si>
  <si>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</si>
  <si>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</si>
  <si>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</si>
  <si>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</si>
  <si>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</si>
  <si>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</si>
  <si>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</si>
  <si>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</si>
  <si>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</si>
  <si>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</si>
  <si>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</si>
  <si>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</si>
  <si>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</si>
  <si>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</si>
  <si>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</si>
  <si>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</si>
  <si>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</si>
  <si>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</si>
  <si>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</si>
  <si>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</si>
  <si>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</si>
  <si>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</si>
  <si>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</si>
  <si>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</si>
  <si>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</si>
  <si>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</si>
  <si>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</si>
  <si>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</si>
  <si>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</si>
  <si>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</si>
  <si>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</si>
  <si>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</si>
  <si>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</si>
  <si>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</si>
  <si>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</si>
  <si>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</si>
  <si>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</si>
  <si>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</si>
  <si>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</si>
  <si>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</si>
  <si>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</si>
  <si>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</si>
  <si>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</si>
  <si>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</si>
  <si>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</si>
  <si>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</si>
  <si>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</si>
  <si>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</si>
  <si>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</si>
  <si>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</si>
  <si>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</si>
  <si>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</si>
  <si>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</si>
  <si>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</si>
  <si>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</si>
  <si>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</si>
  <si>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</si>
  <si>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</si>
  <si>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</si>
  <si>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</si>
  <si>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</si>
  <si>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</si>
  <si>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</si>
  <si>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</si>
  <si>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</si>
  <si>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</si>
  <si>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</si>
  <si>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</si>
  <si>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</si>
  <si>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</si>
  <si>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</si>
  <si>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</si>
  <si>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</si>
  <si>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</si>
  <si>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</si>
  <si>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</si>
  <si>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</si>
  <si>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</si>
  <si>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</si>
  <si>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</si>
  <si>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</si>
  <si>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</si>
  <si>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</si>
  <si>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</si>
  <si>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</si>
  <si>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</si>
  <si>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</si>
  <si>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</si>
  <si>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</si>
  <si>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</si>
  <si>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</si>
  <si>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</si>
  <si>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</si>
  <si>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</si>
  <si>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</si>
  <si>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</si>
  <si>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</si>
  <si>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</si>
  <si>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</si>
  <si>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</si>
  <si>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</si>
  <si>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</si>
  <si>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</si>
  <si>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</si>
  <si>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</si>
  <si>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</si>
  <si>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</si>
  <si>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</si>
  <si>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</si>
  <si>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</si>
  <si>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</si>
  <si>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</si>
  <si>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</si>
  <si>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</si>
  <si>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</si>
  <si>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</si>
  <si>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</si>
  <si>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</si>
  <si>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</si>
  <si>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</si>
  <si>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</si>
  <si>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</si>
  <si>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</si>
  <si>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</si>
  <si>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</si>
  <si>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</si>
  <si>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</si>
  <si>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</si>
  <si>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</si>
  <si>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</si>
  <si>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</si>
  <si>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</si>
  <si>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</si>
  <si>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</si>
  <si>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</si>
  <si>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</si>
  <si>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</si>
  <si>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</si>
  <si>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</si>
  <si>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</si>
  <si>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</si>
  <si>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</si>
  <si>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</si>
  <si>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</si>
  <si>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</si>
  <si>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</si>
  <si>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</si>
  <si>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</si>
  <si>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</si>
  <si>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</si>
  <si>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</si>
  <si>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</si>
  <si>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</si>
  <si>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</si>
  <si>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</si>
  <si>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</si>
  <si>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</si>
  <si>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</si>
  <si>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</si>
  <si>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</si>
  <si>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</si>
  <si>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</si>
  <si>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</si>
  <si>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</si>
  <si>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</si>
  <si>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</si>
  <si>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</si>
  <si>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</si>
  <si>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</si>
  <si>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</si>
  <si>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</si>
  <si>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</si>
  <si>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</si>
  <si>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</si>
  <si>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</si>
  <si>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</si>
  <si>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</si>
  <si>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</si>
  <si>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</si>
  <si>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</si>
  <si>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</si>
  <si>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</si>
  <si>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</si>
  <si>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</si>
  <si>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</si>
  <si>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</si>
  <si>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</si>
  <si>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</si>
  <si>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</si>
  <si>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</si>
  <si>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</si>
  <si>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</si>
  <si>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</si>
  <si>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</si>
  <si>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</si>
  <si>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</si>
  <si>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</si>
  <si>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</si>
  <si>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</si>
  <si>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</si>
  <si>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</si>
  <si>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</si>
  <si>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</si>
  <si>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</si>
  <si>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</si>
  <si>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</si>
  <si>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</si>
  <si>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</si>
  <si>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</si>
  <si>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</si>
  <si>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</si>
  <si>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</si>
  <si>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</si>
  <si>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</si>
  <si>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</si>
  <si>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</si>
  <si>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</si>
  <si>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</si>
  <si>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</si>
  <si>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</si>
  <si>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</si>
  <si>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</si>
  <si>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</si>
  <si>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</si>
  <si>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</si>
  <si>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</si>
  <si>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</si>
  <si>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</si>
  <si>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</si>
  <si>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</si>
  <si>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</si>
  <si>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</si>
  <si>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</si>
  <si>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</si>
  <si>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</si>
  <si>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</si>
  <si>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</si>
  <si>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</si>
  <si>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</si>
  <si>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</si>
  <si>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</si>
  <si>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</si>
  <si>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</si>
  <si>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</si>
  <si>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</si>
  <si>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</si>
  <si>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</si>
  <si>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</si>
  <si>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</si>
  <si>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</si>
  <si>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</si>
  <si>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</si>
  <si>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</si>
  <si>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</si>
  <si>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</si>
  <si>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</si>
  <si>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</si>
  <si>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</si>
  <si>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</si>
  <si>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</si>
  <si>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</si>
  <si>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</si>
  <si>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</si>
  <si>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</si>
  <si>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</si>
  <si>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</si>
  <si>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</si>
  <si>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</si>
  <si>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</si>
  <si>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</si>
  <si>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</si>
  <si>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</si>
  <si>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</si>
  <si>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</si>
  <si>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</si>
  <si>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</si>
  <si>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</si>
  <si>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</si>
  <si>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</si>
  <si>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</si>
  <si>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</si>
  <si>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</si>
  <si>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</si>
  <si>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</si>
  <si>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</si>
  <si>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</si>
  <si>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</si>
  <si>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</si>
  <si>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</si>
  <si>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</si>
  <si>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</si>
  <si>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</si>
  <si>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</si>
  <si>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</si>
  <si>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</si>
  <si>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</si>
  <si>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</si>
  <si>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</si>
  <si>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</si>
  <si>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</si>
  <si>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</si>
  <si>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</si>
  <si>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</si>
  <si>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</si>
  <si>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</si>
  <si>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</si>
  <si>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</si>
  <si>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</si>
  <si>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</si>
  <si>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</si>
  <si>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</si>
  <si>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</si>
  <si>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</si>
  <si>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</si>
  <si>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</si>
  <si>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</si>
  <si>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</si>
  <si>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</si>
  <si>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</si>
  <si>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</si>
  <si>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</si>
  <si>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</si>
  <si>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</si>
  <si>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</si>
  <si>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</si>
  <si>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</si>
  <si>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</si>
  <si>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</si>
  <si>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</si>
  <si>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</si>
  <si>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</si>
  <si>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</si>
  <si>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</si>
  <si>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</si>
  <si>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</si>
  <si>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</si>
  <si>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</si>
  <si>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</si>
  <si>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</si>
  <si>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</si>
  <si>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</si>
  <si>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</si>
  <si>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</si>
  <si>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</si>
  <si>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</si>
  <si>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</si>
  <si>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</si>
  <si>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</si>
  <si>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</si>
  <si>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</si>
  <si>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</si>
  <si>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</si>
  <si>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</si>
  <si>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</si>
  <si>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</si>
  <si>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</si>
  <si>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</si>
  <si>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</si>
  <si>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</si>
  <si>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</si>
  <si>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</si>
  <si>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</si>
  <si>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</si>
  <si>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</si>
  <si>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</si>
  <si>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</si>
  <si>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</si>
  <si>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</si>
  <si>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</si>
  <si>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</si>
  <si>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</si>
  <si>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</si>
  <si>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</si>
  <si>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</si>
  <si>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</si>
  <si>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</si>
  <si>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</si>
  <si>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</si>
  <si>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</si>
  <si>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</si>
  <si>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</si>
  <si>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</si>
  <si>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</si>
  <si>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</si>
  <si>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</si>
  <si>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</si>
  <si>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</si>
  <si>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</si>
  <si>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</si>
  <si>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</si>
  <si>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</si>
  <si>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</si>
  <si>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</si>
  <si>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</si>
  <si>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</si>
  <si>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</si>
  <si>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</si>
  <si>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</si>
  <si>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</si>
  <si>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</si>
  <si>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</si>
  <si>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</si>
  <si>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</si>
  <si>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</si>
  <si>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</si>
  <si>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</si>
  <si>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</si>
  <si>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</si>
  <si>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</si>
  <si>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</si>
  <si>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</si>
  <si>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</si>
  <si>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</si>
  <si>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</si>
  <si>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</si>
  <si>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</si>
  <si>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</si>
  <si>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</si>
  <si>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</si>
  <si>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</si>
  <si>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</si>
  <si>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</si>
  <si>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</si>
  <si>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</si>
  <si>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</si>
  <si>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</si>
  <si>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</si>
  <si>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</si>
  <si>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</si>
  <si>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</si>
  <si>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</si>
  <si>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</si>
  <si>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</si>
  <si>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</si>
  <si>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</si>
  <si>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</si>
  <si>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</si>
  <si>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</si>
  <si>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</si>
  <si>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</si>
  <si>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</si>
  <si>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</si>
  <si>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</si>
  <si>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</si>
  <si>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</si>
  <si>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</si>
  <si>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</si>
  <si>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</si>
  <si>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</si>
  <si>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</si>
  <si>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</si>
  <si>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</si>
  <si>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</si>
  <si>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</si>
  <si>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</si>
  <si>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</si>
  <si>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</si>
  <si>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</si>
  <si>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</si>
  <si>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</si>
  <si>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</si>
  <si>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</si>
  <si>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</si>
  <si>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</si>
  <si>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</si>
  <si>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</si>
  <si>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</si>
  <si>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</si>
  <si>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</si>
  <si>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</si>
  <si>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</si>
  <si>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</si>
  <si>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</si>
  <si>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</si>
  <si>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</si>
  <si>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</si>
  <si>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</si>
  <si>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</si>
  <si>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</si>
  <si>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</si>
  <si>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</si>
  <si>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</si>
  <si>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</si>
  <si>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</si>
  <si>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</si>
  <si>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</si>
  <si>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</si>
  <si>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</si>
  <si>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</si>
  <si>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</si>
  <si>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</si>
  <si>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</si>
  <si>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</si>
  <si>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</si>
  <si>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</si>
  <si>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</si>
  <si>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</si>
  <si>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</si>
  <si>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</si>
  <si>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</si>
  <si>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</si>
  <si>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</si>
  <si>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</si>
  <si>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</si>
  <si>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</si>
  <si>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</si>
  <si>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</si>
  <si>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</si>
  <si>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</si>
  <si>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</si>
  <si>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</si>
  <si>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</si>
  <si>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</si>
  <si>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</si>
  <si>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</si>
  <si>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</si>
  <si>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</si>
  <si>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</si>
  <si>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</si>
  <si>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</si>
  <si>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</si>
  <si>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</si>
  <si>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</si>
  <si>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</si>
  <si>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</si>
  <si>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</si>
  <si>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</si>
  <si>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</si>
  <si>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</si>
  <si>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</si>
  <si>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</si>
  <si>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</si>
  <si>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</si>
  <si>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</si>
  <si>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</si>
  <si>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</si>
  <si>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</si>
  <si>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</si>
  <si>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</si>
  <si>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</si>
  <si>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</si>
  <si>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</si>
  <si>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</si>
  <si>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</si>
  <si>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</si>
  <si>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</si>
  <si>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</si>
  <si>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</si>
  <si>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</si>
  <si>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</si>
  <si>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</si>
  <si>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</si>
  <si>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</si>
  <si>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</si>
  <si>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</si>
  <si>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</si>
  <si>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</si>
  <si>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</si>
  <si>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</si>
  <si>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</si>
  <si>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</si>
  <si>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</si>
  <si>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</si>
  <si>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</si>
  <si>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</si>
  <si>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</si>
  <si>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</si>
  <si>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</si>
  <si>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</si>
  <si>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</si>
  <si>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</si>
  <si>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</si>
  <si>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</si>
  <si>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</si>
  <si>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</si>
  <si>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</si>
  <si>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</si>
  <si>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</si>
  <si>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</si>
  <si>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</si>
  <si>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</si>
  <si>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</si>
  <si>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</si>
  <si>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</si>
  <si>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</si>
  <si>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</si>
  <si>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</si>
  <si>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</si>
  <si>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</si>
  <si>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</si>
  <si>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</si>
  <si>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</si>
  <si>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</si>
  <si>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</si>
  <si>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</si>
  <si>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</si>
  <si>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</si>
  <si>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</si>
  <si>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</si>
  <si>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</si>
  <si>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</si>
  <si>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</si>
  <si>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</si>
  <si>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</si>
  <si>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</si>
  <si>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</si>
  <si>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</si>
  <si>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</si>
  <si>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</si>
  <si>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</si>
  <si>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</si>
  <si>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</si>
  <si>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</si>
  <si>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</si>
  <si>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</si>
  <si>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</si>
  <si>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</si>
  <si>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</si>
  <si>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</si>
  <si>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</si>
  <si>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</si>
  <si>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</si>
  <si>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</si>
  <si>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</si>
  <si>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</si>
  <si>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</si>
  <si>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</si>
  <si>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</si>
  <si>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</si>
  <si>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</si>
  <si>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</si>
  <si>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</si>
  <si>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</si>
  <si>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</si>
  <si>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</si>
  <si>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</si>
  <si>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</si>
  <si>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</si>
  <si>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</si>
  <si>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</si>
  <si>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</si>
  <si>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</si>
  <si>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</si>
  <si>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</si>
  <si>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</si>
  <si>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</si>
  <si>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</si>
  <si>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</si>
  <si>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</si>
  <si>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</si>
  <si>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</si>
  <si>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</si>
  <si>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</si>
  <si>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</si>
  <si>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</si>
  <si>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</si>
  <si>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</si>
  <si>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</si>
  <si>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</si>
  <si>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</si>
  <si>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</si>
  <si>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</si>
  <si>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</si>
  <si>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</si>
  <si>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</si>
  <si>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</si>
  <si>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</si>
  <si>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</si>
  <si>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</si>
  <si>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</si>
  <si>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</si>
  <si>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</si>
  <si>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</si>
  <si>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</si>
  <si>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</si>
  <si>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</si>
  <si>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</si>
  <si>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</si>
  <si>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</si>
  <si>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</si>
  <si>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</si>
  <si>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</si>
  <si>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</si>
  <si>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</si>
  <si>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</si>
  <si>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</si>
  <si>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</si>
  <si>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</si>
  <si>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</si>
  <si>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</si>
  <si>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</si>
  <si>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</si>
  <si>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</si>
  <si>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</si>
  <si>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</si>
  <si>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</si>
  <si>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</si>
  <si>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</si>
  <si>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</si>
  <si>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</si>
  <si>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</si>
  <si>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</si>
  <si>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</si>
  <si>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</si>
  <si>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</si>
  <si>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</si>
  <si>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</si>
  <si>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</si>
  <si>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</si>
  <si>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</si>
  <si>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</si>
  <si>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</si>
  <si>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</si>
  <si>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</si>
  <si>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</si>
  <si>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</si>
  <si>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</si>
  <si>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</si>
  <si>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</si>
  <si>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</si>
  <si>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</si>
  <si>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</si>
  <si>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</si>
  <si>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</si>
  <si>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</si>
  <si>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</si>
  <si>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</si>
  <si>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</si>
  <si>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</si>
  <si>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</si>
  <si>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</si>
  <si>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</si>
  <si>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</si>
  <si>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</si>
  <si>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</si>
  <si>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</si>
  <si>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</si>
  <si>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</si>
  <si>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</si>
  <si>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</si>
  <si>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</si>
  <si>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</si>
  <si>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</si>
  <si>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</si>
  <si>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</si>
  <si>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</si>
  <si>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</si>
  <si>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</si>
  <si>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</si>
  <si>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</si>
  <si>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</si>
  <si>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</si>
  <si>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</si>
  <si>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</si>
  <si>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</si>
  <si>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</si>
  <si>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</si>
  <si>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</si>
  <si>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</si>
  <si>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</si>
  <si>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</si>
  <si>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</si>
  <si>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</si>
  <si>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</si>
  <si>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</si>
  <si>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</si>
  <si>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</si>
  <si>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</si>
  <si>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</si>
  <si>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</si>
  <si>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</si>
  <si>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</si>
  <si>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</si>
  <si>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</si>
  <si>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</si>
  <si>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</si>
  <si>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</si>
  <si>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</si>
  <si>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</si>
  <si>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</si>
  <si>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</si>
  <si>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</si>
  <si>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</si>
  <si>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</si>
  <si>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</si>
  <si>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</si>
  <si>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</si>
  <si>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</si>
  <si>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</si>
  <si>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</si>
  <si>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</si>
  <si>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</si>
  <si>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</si>
  <si>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</si>
  <si>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</si>
  <si>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</si>
  <si>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</si>
  <si>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</si>
  <si>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</si>
  <si>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</si>
  <si>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</si>
  <si>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</si>
  <si>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</si>
  <si>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</si>
  <si>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</si>
  <si>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</si>
  <si>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</si>
  <si>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</si>
  <si>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</si>
  <si>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</si>
  <si>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</si>
  <si>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</si>
  <si>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</si>
  <si>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</si>
  <si>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</si>
  <si>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</si>
  <si>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</si>
  <si>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</si>
  <si>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</si>
  <si>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</si>
  <si>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</si>
  <si>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</si>
  <si>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</si>
  <si>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</si>
  <si>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</si>
  <si>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</si>
  <si>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</si>
  <si>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</si>
  <si>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</si>
  <si>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</si>
  <si>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</si>
  <si>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</si>
  <si>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</si>
  <si>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</si>
  <si>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</si>
  <si>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</si>
  <si>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</si>
  <si>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</si>
  <si>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</si>
  <si>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</si>
  <si>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</si>
  <si>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</si>
  <si>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</si>
  <si>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</si>
  <si>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</si>
  <si>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</si>
  <si>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</si>
  <si>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</si>
  <si>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</si>
  <si>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</si>
  <si>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</si>
  <si>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</si>
  <si>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</si>
  <si>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</si>
  <si>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</si>
  <si>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</si>
  <si>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</si>
  <si>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</si>
  <si>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</si>
  <si>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</si>
  <si>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</si>
  <si>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</si>
  <si>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</si>
  <si>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</si>
  <si>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</si>
  <si>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</si>
  <si>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</si>
  <si>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</si>
  <si>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</si>
  <si>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</si>
  <si>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</si>
  <si>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</si>
  <si>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</si>
  <si>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</si>
  <si>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</si>
  <si>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</si>
  <si>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</si>
  <si>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</si>
  <si>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</si>
  <si>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</si>
  <si>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</si>
  <si>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</si>
  <si>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</si>
  <si>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</si>
  <si>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</si>
  <si>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</si>
  <si>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</si>
  <si>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</si>
  <si>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</si>
  <si>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</si>
  <si>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</si>
  <si>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</si>
  <si>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</si>
  <si>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</si>
  <si>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</si>
  <si>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</si>
  <si>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</si>
  <si>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</si>
  <si>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</si>
  <si>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</si>
  <si>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</si>
  <si>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</si>
  <si>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</si>
  <si>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</si>
  <si>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</si>
  <si>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</si>
  <si>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</si>
  <si>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</si>
  <si>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</si>
  <si>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</si>
  <si>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</si>
  <si>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</si>
  <si>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</si>
  <si>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</si>
  <si>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</si>
  <si>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</si>
  <si>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</si>
  <si>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</si>
  <si>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</si>
  <si>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</si>
  <si>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</si>
  <si>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</si>
  <si>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</si>
  <si>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</si>
  <si>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</si>
  <si>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</si>
  <si>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</si>
  <si>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</si>
  <si>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</si>
  <si>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</si>
  <si>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</si>
  <si>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</si>
  <si>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</si>
  <si>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</si>
  <si>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</si>
  <si>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</si>
  <si>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</si>
  <si>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</si>
  <si>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</si>
  <si>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</si>
  <si>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</si>
  <si>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</si>
  <si>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</si>
  <si>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</si>
  <si>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</si>
  <si>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</si>
  <si>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</si>
  <si>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</si>
  <si>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</si>
  <si>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</si>
  <si>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</si>
  <si>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</si>
  <si>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</si>
  <si>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</si>
  <si>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</si>
  <si>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</si>
  <si>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</si>
  <si>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</si>
  <si>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</si>
  <si>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</si>
  <si>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</si>
  <si>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</si>
  <si>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</si>
  <si>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</si>
  <si>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</si>
  <si>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</si>
  <si>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</si>
  <si>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</si>
  <si>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</si>
  <si>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</si>
  <si>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</si>
  <si>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</si>
  <si>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</si>
  <si>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</si>
  <si>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</si>
  <si>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</si>
  <si>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</si>
  <si>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</si>
  <si>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</si>
  <si>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</si>
  <si>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</si>
  <si>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</si>
  <si>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</si>
  <si>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</si>
  <si>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</si>
  <si>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</si>
  <si>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</si>
  <si>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</si>
  <si>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</si>
  <si>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</si>
  <si>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</si>
  <si>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</si>
  <si>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</si>
  <si>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</si>
  <si>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</si>
  <si>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</si>
  <si>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</si>
  <si>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</si>
  <si>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</si>
  <si>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</si>
  <si>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</si>
  <si>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</si>
  <si>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</si>
  <si>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</si>
  <si>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</si>
  <si>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</si>
  <si>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</si>
  <si>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</si>
  <si>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</si>
  <si>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</si>
  <si>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</si>
  <si>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</si>
  <si>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</si>
  <si>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</si>
  <si>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</si>
  <si>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</si>
  <si>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</si>
  <si>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</si>
  <si>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</si>
  <si>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</si>
  <si>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</si>
  <si>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</si>
  <si>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</si>
  <si>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</si>
  <si>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</si>
  <si>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</si>
  <si>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</si>
  <si>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</si>
  <si>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</si>
  <si>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</si>
  <si>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</si>
  <si>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</si>
  <si>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</si>
  <si>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</si>
  <si>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</si>
  <si>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</si>
  <si>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</si>
  <si>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</si>
  <si>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</si>
  <si>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</si>
  <si>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</si>
  <si>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</si>
  <si>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</si>
  <si>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</si>
  <si>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</si>
  <si>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</si>
  <si>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</si>
  <si>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</si>
  <si>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</si>
  <si>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</si>
  <si>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</si>
  <si>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</si>
  <si>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</si>
  <si>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</si>
  <si>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</si>
  <si>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</si>
  <si>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</si>
  <si>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</si>
  <si>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</si>
  <si>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</si>
  <si>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</si>
  <si>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</si>
  <si>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</si>
  <si>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</si>
  <si>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</si>
  <si>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</si>
  <si>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</si>
  <si>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</si>
  <si>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</si>
  <si>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</si>
  <si>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</si>
  <si>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</si>
  <si>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</si>
  <si>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</si>
  <si>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</si>
  <si>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</si>
  <si>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</si>
  <si>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</si>
  <si>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</si>
  <si>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</si>
  <si>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</si>
  <si>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</si>
  <si>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</si>
  <si>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</si>
  <si>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</si>
  <si>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</si>
  <si>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</si>
  <si>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</si>
  <si>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</si>
  <si>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</si>
  <si>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</si>
  <si>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</si>
  <si>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</si>
  <si>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</si>
  <si>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</si>
  <si>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</si>
  <si>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</si>
  <si>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</si>
  <si>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</si>
  <si>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</si>
  <si>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</si>
  <si>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</si>
  <si>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</si>
  <si>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</si>
  <si>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</si>
  <si>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</si>
  <si>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</si>
  <si>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</si>
  <si>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</si>
  <si>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</si>
  <si>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</si>
  <si>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</si>
  <si>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</si>
  <si>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</si>
  <si>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</si>
  <si>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</si>
  <si>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</si>
  <si>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</si>
  <si>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</si>
  <si>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</si>
  <si>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</si>
  <si>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</si>
  <si>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</si>
  <si>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</si>
  <si>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</si>
  <si>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</si>
  <si>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</si>
  <si>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</si>
  <si>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</si>
  <si>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</si>
  <si>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</si>
  <si>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</si>
  <si>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</si>
  <si>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</si>
  <si>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</si>
  <si>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</si>
  <si>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</si>
  <si>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</si>
  <si>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</si>
  <si>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</si>
  <si>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</si>
  <si>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</si>
  <si>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</si>
  <si>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</si>
  <si>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</si>
  <si>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</si>
  <si>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</si>
  <si>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</si>
  <si>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</si>
  <si>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</si>
  <si>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</si>
  <si>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</si>
  <si>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</si>
  <si>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</si>
  <si>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</si>
  <si>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</si>
  <si>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</si>
  <si>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</si>
  <si>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</si>
  <si>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</si>
  <si>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</si>
  <si>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</si>
  <si>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</si>
  <si>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</si>
  <si>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</si>
  <si>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</si>
  <si>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</si>
  <si>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</si>
  <si>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</si>
  <si>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</si>
  <si>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</si>
  <si>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</si>
  <si>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</si>
  <si>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</si>
  <si>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</si>
  <si>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</si>
  <si>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</si>
  <si>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</si>
  <si>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</si>
  <si>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</si>
  <si>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</si>
  <si>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</si>
  <si>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</si>
  <si>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</si>
  <si>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</si>
  <si>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</si>
  <si>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</si>
  <si>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</si>
  <si>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</si>
  <si>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</si>
  <si>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</si>
  <si>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</si>
  <si>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</si>
  <si>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</si>
  <si>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</si>
  <si>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</si>
  <si>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</si>
  <si>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</si>
  <si>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</si>
  <si>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</si>
  <si>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</si>
  <si>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</si>
  <si>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</si>
  <si>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</si>
  <si>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</si>
  <si>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</si>
  <si>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</si>
  <si>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</si>
  <si>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</si>
  <si>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</si>
  <si>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</si>
  <si>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</si>
  <si>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</si>
  <si>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</si>
  <si>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</si>
  <si>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</si>
  <si>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</si>
  <si>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</si>
  <si>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</si>
  <si>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</si>
  <si>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</si>
  <si>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</si>
  <si>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</si>
  <si>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</si>
  <si>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</si>
  <si>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</si>
  <si>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</si>
  <si>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</si>
  <si>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</si>
  <si>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</si>
  <si>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</si>
  <si>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</si>
  <si>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</si>
  <si>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</si>
  <si>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</si>
  <si>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</si>
  <si>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</si>
  <si>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</si>
  <si>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</si>
  <si>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</si>
  <si>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</si>
  <si>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</si>
  <si>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</si>
  <si>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</si>
  <si>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</si>
  <si>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</si>
  <si>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</si>
  <si>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</si>
  <si>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</si>
  <si>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</si>
  <si>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</si>
  <si>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</si>
  <si>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</si>
  <si>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</si>
  <si>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</si>
  <si>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</si>
  <si>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</si>
  <si>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</si>
  <si>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</si>
  <si>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</si>
  <si>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</si>
  <si>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</si>
  <si>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</si>
  <si>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</si>
  <si>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</si>
  <si>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</si>
  <si>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</si>
  <si>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</si>
  <si>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</si>
  <si>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</si>
  <si>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</si>
  <si>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</si>
  <si>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</si>
  <si>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</si>
  <si>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</si>
  <si>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</si>
  <si>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</si>
  <si>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</si>
  <si>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</si>
  <si>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</si>
  <si>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</si>
  <si>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</si>
  <si>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</si>
  <si>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</si>
  <si>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</si>
  <si>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</si>
  <si>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</si>
  <si>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</si>
  <si>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</si>
  <si>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</si>
  <si>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</si>
  <si>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</si>
  <si>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</si>
  <si>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</si>
  <si>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</si>
  <si>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</si>
  <si>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</si>
  <si>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</si>
  <si>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</si>
  <si>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</si>
  <si>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</si>
  <si>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</si>
  <si>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</si>
  <si>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</si>
  <si>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</si>
  <si>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</si>
  <si>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</si>
  <si>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</si>
  <si>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</si>
  <si>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</si>
  <si>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</si>
  <si>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</si>
  <si>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</si>
  <si>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</si>
  <si>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</si>
  <si>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</si>
  <si>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</si>
  <si>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</si>
  <si>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</si>
  <si>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</si>
  <si>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</si>
  <si>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</si>
  <si>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</si>
  <si>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</si>
  <si>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</si>
  <si>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</si>
  <si>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</si>
  <si>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</si>
  <si>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</si>
  <si>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</si>
  <si>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</si>
  <si>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</si>
  <si>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</si>
  <si>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</si>
  <si>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</si>
  <si>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</si>
  <si>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</si>
  <si>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</si>
  <si>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</si>
  <si>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</si>
  <si>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</si>
  <si>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</si>
  <si>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</si>
  <si>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</si>
  <si>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</si>
  <si>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</si>
  <si>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</si>
  <si>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</si>
  <si>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</si>
  <si>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</si>
  <si>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</si>
  <si>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</si>
  <si>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</si>
  <si>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</si>
  <si>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</si>
  <si>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</si>
  <si>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</si>
  <si>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</si>
  <si>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</si>
  <si>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</si>
  <si>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</si>
  <si>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</si>
  <si>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</si>
  <si>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</si>
  <si>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</si>
  <si>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</si>
  <si>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</si>
  <si>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</si>
  <si>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</si>
  <si>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</si>
  <si>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</si>
  <si>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</si>
  <si>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</si>
  <si>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</si>
  <si>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</si>
  <si>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</si>
  <si>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</si>
  <si>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</si>
  <si>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</si>
  <si>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</si>
  <si>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</si>
  <si>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</si>
  <si>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</si>
  <si>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</si>
  <si>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</si>
  <si>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</si>
  <si>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</si>
  <si>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</si>
  <si>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</si>
  <si>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</si>
  <si>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</si>
  <si>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</si>
  <si>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</si>
  <si>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</si>
  <si>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</si>
  <si>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</si>
  <si>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</si>
  <si>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</si>
  <si>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</si>
  <si>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</si>
  <si>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</si>
  <si>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</si>
  <si>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</si>
  <si>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</si>
  <si>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</si>
  <si>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</si>
  <si>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</si>
  <si>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</si>
  <si>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</si>
  <si>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</si>
  <si>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</si>
  <si>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</si>
  <si>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</si>
  <si>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</si>
  <si>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</si>
  <si>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</si>
  <si>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</si>
  <si>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</si>
  <si>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</si>
  <si>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</si>
  <si>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</si>
  <si>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</si>
  <si>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</si>
  <si>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</si>
  <si>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</si>
  <si>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</si>
  <si>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</si>
  <si>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</si>
  <si>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</si>
  <si>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</si>
  <si>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</si>
  <si>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</si>
  <si>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</si>
  <si>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</si>
  <si>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</si>
  <si>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</si>
  <si>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</si>
  <si>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</si>
  <si>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</si>
  <si>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</si>
  <si>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</si>
  <si>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</si>
  <si>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</si>
  <si>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</si>
  <si>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</si>
  <si>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</si>
  <si>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</si>
  <si>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</si>
  <si>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</si>
  <si>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</si>
  <si>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</si>
  <si>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</si>
  <si>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</si>
  <si>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</si>
  <si>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</si>
  <si>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</si>
  <si>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</si>
  <si>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</si>
  <si>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</si>
  <si>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</si>
  <si>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</si>
  <si>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</si>
  <si>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</si>
  <si>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</si>
  <si>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</si>
  <si>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</si>
  <si>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</si>
  <si>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</si>
  <si>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</si>
  <si>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</si>
  <si>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</si>
  <si>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</si>
  <si>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</si>
  <si>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</si>
  <si>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</si>
  <si>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</si>
  <si>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</si>
  <si>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</si>
  <si>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</si>
  <si>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</si>
  <si>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</si>
  <si>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</si>
  <si>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</si>
  <si>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</si>
  <si>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</si>
  <si>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</si>
  <si>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</si>
  <si>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</si>
  <si>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</si>
  <si>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</si>
  <si>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</si>
  <si>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</si>
  <si>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</si>
  <si>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</si>
  <si>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</si>
  <si>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</si>
  <si>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</si>
  <si>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</si>
  <si>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</si>
  <si>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</si>
  <si>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</si>
  <si>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</si>
  <si>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</si>
  <si>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</si>
  <si>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</si>
  <si>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</si>
  <si>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</si>
  <si>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</si>
  <si>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</si>
  <si>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</si>
  <si>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</si>
  <si>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</si>
  <si>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</si>
  <si>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</si>
  <si>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</si>
  <si>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</si>
  <si>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</si>
  <si>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</si>
  <si>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</si>
  <si>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</si>
  <si>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</si>
  <si>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</si>
  <si>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</si>
  <si>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</si>
  <si>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</si>
  <si>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</si>
  <si>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</si>
  <si>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</si>
  <si>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</si>
  <si>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</si>
  <si>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</si>
  <si>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</si>
  <si>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</si>
  <si>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</si>
  <si>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</si>
  <si>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</si>
  <si>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</si>
  <si>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</si>
  <si>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</si>
  <si>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</si>
  <si>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</si>
  <si>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</si>
  <si>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</si>
  <si>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</si>
  <si>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</si>
  <si>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</si>
  <si>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</si>
  <si>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</si>
  <si>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</si>
  <si>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</si>
  <si>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</si>
  <si>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</si>
  <si>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</si>
  <si>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</si>
  <si>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</si>
  <si>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</si>
  <si>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</si>
  <si>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</si>
  <si>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</si>
  <si>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</si>
  <si>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</si>
  <si>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</si>
  <si>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</si>
  <si>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</si>
  <si>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</si>
  <si>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</si>
  <si>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</si>
  <si>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</si>
  <si>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</si>
  <si>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</si>
  <si>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</si>
  <si>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</si>
  <si>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</si>
  <si>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</si>
  <si>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</si>
  <si>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</si>
  <si>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</si>
  <si>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</si>
  <si>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</si>
  <si>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</si>
  <si>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</si>
  <si>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</si>
  <si>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</si>
  <si>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</si>
  <si>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</si>
  <si>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</si>
  <si>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</si>
  <si>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</si>
  <si>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</si>
  <si>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</si>
  <si>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</si>
  <si>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</si>
  <si>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</si>
  <si>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</si>
  <si>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</si>
  <si>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</si>
  <si>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</si>
  <si>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</si>
  <si>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</si>
  <si>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</si>
  <si>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</si>
  <si>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</si>
  <si>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</si>
  <si>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</si>
  <si>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</si>
  <si>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</si>
  <si>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</si>
  <si>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</si>
  <si>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</si>
  <si>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</si>
  <si>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</si>
  <si>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</si>
  <si>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</si>
  <si>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</si>
  <si>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</si>
  <si>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</si>
  <si>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</si>
  <si>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</si>
  <si>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</si>
  <si>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</si>
  <si>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</si>
  <si>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</si>
  <si>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</si>
  <si>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</si>
  <si>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</si>
  <si>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</si>
  <si>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</si>
  <si>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</si>
  <si>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</si>
  <si>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</si>
  <si>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</si>
  <si>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</si>
  <si>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</si>
  <si>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</si>
  <si>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</si>
  <si>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</si>
  <si>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</si>
  <si>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</si>
  <si>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</si>
  <si>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</si>
  <si>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</si>
  <si>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</si>
  <si>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</si>
  <si>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</si>
  <si>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</si>
  <si>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</si>
  <si>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</si>
  <si>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</si>
  <si>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</si>
  <si>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</si>
  <si>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</si>
  <si>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</si>
  <si>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</si>
  <si>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</si>
  <si>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</si>
  <si>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</si>
  <si>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</si>
  <si>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</si>
  <si>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</si>
  <si>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</si>
  <si>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</si>
  <si>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</si>
  <si>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</si>
  <si>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</si>
  <si>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</si>
  <si>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</si>
  <si>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</si>
  <si>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</si>
  <si>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</si>
  <si>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</si>
  <si>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</si>
  <si>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</si>
  <si>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</si>
  <si>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</si>
  <si>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</si>
  <si>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</si>
  <si>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</si>
  <si>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</si>
  <si>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</si>
  <si>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</si>
  <si>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</si>
  <si>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</si>
  <si>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</si>
  <si>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</si>
  <si>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</si>
  <si>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</si>
  <si>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</si>
  <si>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</si>
  <si>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</si>
  <si>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</si>
  <si>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</si>
  <si>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</si>
  <si>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</si>
  <si>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</si>
  <si>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</si>
  <si>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</si>
  <si>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</si>
  <si>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</si>
  <si>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</si>
  <si>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</si>
  <si>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</si>
  <si>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</si>
  <si>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</si>
  <si>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</si>
  <si>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</si>
  <si>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</si>
  <si>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</si>
  <si>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</si>
  <si>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</si>
  <si>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</si>
  <si>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</si>
  <si>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</si>
  <si>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</si>
  <si>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</si>
  <si>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</si>
  <si>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</si>
  <si>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</si>
  <si>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</si>
  <si>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</si>
  <si>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</si>
  <si>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</si>
  <si>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</si>
  <si>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</si>
  <si>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</si>
  <si>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</si>
  <si>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</si>
  <si>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</si>
  <si>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</si>
  <si>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</si>
  <si>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</si>
  <si>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</si>
  <si>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</si>
  <si>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</si>
  <si>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</si>
  <si>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</si>
  <si>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</si>
  <si>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</si>
  <si>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</si>
  <si>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</si>
  <si>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</si>
  <si>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</si>
  <si>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</si>
  <si>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</si>
  <si>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</si>
  <si>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</si>
  <si>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</si>
  <si>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</si>
  <si>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</si>
  <si>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</si>
  <si>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</si>
  <si>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</si>
  <si>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</si>
  <si>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</si>
  <si>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</si>
  <si>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</si>
  <si>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</si>
  <si>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</si>
  <si>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</si>
  <si>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</si>
  <si>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</si>
  <si>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</si>
  <si>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</si>
  <si>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</si>
  <si>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</si>
  <si>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</si>
  <si>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</si>
  <si>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</si>
  <si>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</si>
  <si>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</si>
  <si>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</si>
  <si>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</si>
  <si>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</si>
  <si>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</si>
  <si>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</si>
  <si>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</si>
  <si>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</si>
  <si>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</si>
  <si>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</si>
  <si>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</si>
  <si>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</si>
  <si>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</si>
  <si>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</si>
  <si>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</si>
  <si>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</si>
  <si>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</si>
  <si>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</si>
  <si>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</si>
  <si>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</si>
  <si>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</si>
  <si>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</si>
  <si>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</si>
  <si>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</si>
  <si>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</si>
  <si>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</si>
  <si>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</si>
  <si>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</si>
  <si>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</si>
  <si>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</si>
  <si>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</si>
  <si>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</si>
  <si>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</si>
  <si>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</si>
  <si>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</si>
  <si>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</si>
  <si>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</si>
  <si>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</si>
  <si>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</si>
  <si>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</si>
  <si>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</si>
  <si>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</si>
  <si>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</si>
  <si>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</si>
  <si>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</si>
  <si>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</si>
  <si>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</si>
  <si>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</si>
  <si>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</si>
  <si>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</si>
  <si>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</si>
  <si>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</si>
  <si>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</si>
  <si>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</si>
  <si>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</si>
  <si>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</si>
  <si>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</si>
  <si>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</si>
  <si>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</si>
  <si>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</si>
  <si>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</si>
  <si>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</si>
  <si>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</si>
  <si>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</si>
  <si>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</si>
  <si>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</si>
  <si>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</si>
  <si>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</si>
  <si>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</si>
  <si>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</si>
  <si>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</si>
  <si>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</si>
  <si>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</si>
  <si>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</si>
  <si>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</si>
  <si>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</si>
  <si>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</si>
  <si>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</si>
  <si>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</si>
  <si>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</si>
  <si>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</si>
  <si>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</si>
  <si>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</si>
  <si>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</si>
  <si>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</si>
  <si>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</si>
  <si>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</si>
  <si>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</si>
  <si>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</si>
  <si>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</si>
  <si>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</si>
  <si>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</si>
  <si>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</si>
  <si>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</si>
  <si>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</si>
  <si>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</si>
  <si>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</si>
  <si>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</si>
  <si>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</si>
  <si>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</si>
  <si>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</si>
  <si>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</si>
  <si>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</si>
  <si>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</si>
  <si>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</si>
  <si>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</si>
  <si>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</si>
  <si>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</si>
  <si>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</si>
  <si>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</si>
  <si>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</si>
  <si>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</si>
  <si>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</si>
  <si>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</si>
  <si>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</si>
  <si>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</si>
  <si>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</si>
  <si>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</si>
  <si>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</si>
  <si>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</si>
  <si>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</si>
  <si>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</si>
  <si>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</si>
  <si>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</si>
  <si>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</si>
  <si>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</si>
  <si>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</si>
  <si>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</si>
  <si>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</si>
  <si>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</si>
  <si>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</si>
  <si>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</si>
  <si>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</si>
  <si>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</si>
  <si>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</si>
  <si>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</si>
  <si>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</si>
  <si>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</si>
  <si>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</si>
  <si>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</si>
  <si>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</si>
  <si>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</si>
  <si>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</si>
  <si>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</si>
  <si>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</si>
  <si>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</si>
  <si>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</si>
  <si>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</si>
  <si>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</si>
  <si>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</si>
  <si>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</si>
  <si>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</si>
  <si>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</si>
  <si>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</si>
  <si>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</si>
  <si>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</si>
  <si>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</si>
  <si>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</si>
  <si>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</si>
  <si>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</si>
  <si>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</si>
  <si>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</si>
  <si>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</si>
  <si>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</si>
  <si>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</si>
  <si>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</si>
  <si>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</si>
  <si>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</si>
  <si>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</si>
  <si>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</si>
  <si>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</si>
  <si>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</si>
  <si>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</si>
  <si>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</si>
  <si>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</si>
  <si>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</si>
  <si>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</si>
  <si>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</si>
  <si>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</si>
  <si>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</si>
  <si>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</si>
  <si>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</si>
  <si>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</si>
  <si>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</si>
  <si>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</si>
  <si>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</si>
  <si>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</si>
  <si>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</si>
  <si>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</si>
  <si>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</si>
  <si>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</si>
  <si>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</si>
  <si>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</si>
  <si>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</si>
  <si>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</si>
  <si>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</si>
  <si>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</si>
  <si>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</si>
  <si>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</si>
  <si>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</si>
  <si>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</si>
  <si>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</si>
  <si>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</si>
  <si>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</si>
  <si>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</si>
  <si>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</si>
  <si>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</si>
  <si>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</si>
  <si>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</si>
  <si>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</si>
  <si>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</si>
  <si>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</si>
  <si>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</si>
  <si>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</si>
  <si>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</si>
  <si>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</si>
  <si>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</si>
  <si>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</si>
  <si>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</si>
  <si>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</si>
  <si>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</si>
  <si>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</si>
  <si>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</si>
  <si>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</si>
  <si>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</si>
  <si>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</si>
  <si>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</si>
  <si>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</si>
  <si>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</si>
  <si>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</si>
  <si>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</si>
  <si>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</si>
  <si>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</si>
  <si>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</si>
  <si>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</si>
  <si>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</si>
  <si>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</si>
  <si>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</si>
  <si>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</si>
  <si>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</si>
  <si>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</si>
  <si>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</si>
  <si>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</si>
  <si>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</si>
  <si>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</si>
  <si>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</si>
  <si>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</si>
  <si>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</si>
  <si>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</si>
  <si>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</si>
  <si>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</si>
  <si>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</si>
  <si>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</si>
  <si>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</si>
  <si>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</si>
  <si>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</si>
  <si>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</si>
  <si>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</si>
  <si>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</si>
  <si>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</si>
  <si>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</si>
  <si>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</si>
  <si>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</si>
  <si>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</si>
  <si>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</si>
  <si>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</si>
  <si>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</si>
  <si>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</si>
  <si>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</si>
  <si>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</si>
  <si>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</si>
  <si>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</si>
  <si>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</si>
  <si>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</si>
  <si>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</si>
  <si>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</si>
  <si>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</si>
  <si>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</si>
  <si>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</si>
  <si>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</si>
  <si>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</si>
  <si>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</si>
  <si>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</si>
  <si>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</si>
  <si>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</si>
  <si>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</si>
  <si>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</si>
  <si>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</si>
  <si>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</si>
  <si>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</si>
  <si>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</si>
  <si>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</si>
  <si>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</si>
  <si>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</si>
  <si>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</si>
  <si>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</si>
  <si>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</si>
  <si>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</si>
  <si>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</si>
  <si>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</si>
  <si>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</si>
  <si>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</si>
  <si>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</si>
  <si>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</si>
  <si>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</si>
  <si>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</si>
  <si>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</si>
  <si>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</si>
  <si>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</si>
  <si>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</si>
  <si>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</si>
  <si>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</si>
  <si>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</si>
  <si>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</si>
  <si>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</si>
  <si>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</si>
  <si>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</si>
  <si>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</si>
  <si>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</si>
  <si>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</si>
  <si>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</si>
  <si>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</si>
  <si>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</si>
  <si>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</si>
  <si>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</si>
  <si>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</si>
  <si>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</si>
  <si>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</si>
  <si>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</si>
  <si>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</si>
  <si>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</si>
  <si>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</si>
  <si>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</si>
  <si>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</si>
  <si>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</si>
  <si>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</si>
  <si>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</si>
  <si>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</si>
  <si>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</si>
  <si>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</si>
  <si>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</si>
  <si>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</si>
  <si>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</si>
  <si>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</si>
  <si>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</si>
  <si>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</si>
  <si>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</si>
  <si>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</si>
  <si>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</si>
  <si>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</si>
  <si>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</si>
  <si>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</si>
  <si>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</si>
  <si>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</si>
  <si>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</si>
  <si>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</si>
  <si>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</si>
  <si>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</si>
  <si>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</si>
  <si>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</si>
  <si>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</si>
  <si>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</si>
  <si>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</si>
  <si>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</si>
  <si>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</si>
  <si>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</si>
  <si>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</si>
  <si>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</si>
  <si>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</si>
  <si>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</si>
  <si>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</si>
  <si>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</si>
  <si>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</si>
  <si>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</si>
  <si>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</si>
  <si>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</si>
  <si>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</si>
  <si>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</si>
  <si>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</si>
  <si>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</si>
  <si>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</si>
  <si>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</si>
  <si>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</si>
  <si>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</si>
  <si>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</si>
  <si>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</si>
  <si>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</si>
  <si>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</si>
  <si>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</si>
  <si>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</si>
  <si>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</si>
  <si>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</si>
  <si>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</si>
  <si>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</si>
  <si>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</si>
  <si>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</si>
  <si>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</si>
  <si>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</si>
  <si>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</si>
  <si>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</si>
  <si>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</si>
  <si>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</si>
  <si>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</si>
  <si>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</si>
  <si>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</si>
  <si>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</si>
  <si>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</si>
  <si>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</si>
  <si>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</si>
  <si>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</si>
  <si>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</si>
  <si>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</si>
  <si>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</si>
  <si>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</si>
  <si>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</si>
  <si>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</si>
  <si>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</si>
  <si>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</si>
  <si>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</si>
  <si>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</si>
  <si>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</si>
  <si>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</si>
  <si>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</si>
  <si>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</si>
  <si>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</si>
  <si>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</si>
  <si>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</si>
  <si>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</si>
  <si>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</si>
  <si>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</si>
  <si>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</si>
  <si>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</si>
  <si>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</si>
  <si>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</si>
  <si>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</si>
  <si>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</si>
  <si>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</si>
  <si>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</si>
  <si>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</si>
  <si>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</si>
  <si>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</si>
  <si>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</si>
  <si>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</si>
  <si>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</si>
  <si>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</si>
  <si>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</si>
  <si>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</si>
  <si>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</si>
  <si>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</si>
  <si>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</si>
  <si>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</si>
  <si>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</si>
  <si>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</si>
  <si>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</si>
  <si>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</si>
  <si>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</si>
  <si>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</si>
  <si>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</si>
  <si>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</si>
  <si>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</si>
  <si>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</si>
  <si>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</si>
  <si>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</si>
  <si>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</si>
  <si>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</si>
  <si>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</si>
  <si>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</si>
  <si>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</si>
  <si>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</si>
  <si>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</si>
  <si>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</si>
  <si>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</si>
  <si>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</si>
  <si>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</si>
  <si>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</si>
  <si>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</si>
  <si>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</si>
  <si>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</si>
  <si>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</si>
  <si>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</si>
  <si>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</si>
  <si>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</si>
  <si>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</si>
  <si>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</si>
  <si>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</si>
  <si>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</si>
  <si>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</si>
  <si>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</si>
  <si>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</si>
  <si>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</si>
  <si>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</si>
  <si>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</si>
  <si>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</si>
  <si>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</si>
  <si>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</si>
  <si>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</si>
  <si>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</si>
  <si>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</si>
  <si>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</si>
  <si>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</si>
  <si>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</si>
  <si>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</si>
  <si>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</si>
  <si>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</si>
  <si>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</si>
  <si>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</si>
  <si>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</si>
  <si>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</si>
  <si>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</si>
  <si>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</si>
  <si>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</si>
  <si>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</si>
  <si>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</si>
  <si>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</si>
  <si>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</si>
  <si>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</si>
  <si>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</si>
  <si>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</si>
  <si>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</si>
  <si>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</si>
  <si>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</si>
  <si>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</si>
  <si>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</si>
  <si>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</si>
  <si>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</si>
  <si>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</si>
  <si>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</si>
  <si>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</si>
  <si>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</si>
  <si>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</si>
  <si>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</si>
  <si>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</si>
  <si>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</si>
  <si>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</si>
  <si>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</si>
  <si>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</si>
  <si>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</si>
  <si>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</si>
  <si>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</si>
  <si>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</si>
  <si>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</si>
  <si>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</si>
  <si>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</si>
  <si>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</si>
  <si>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</si>
  <si>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</si>
  <si>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</si>
  <si>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</si>
  <si>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</si>
  <si>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</si>
  <si>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</si>
  <si>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</si>
  <si>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</si>
  <si>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</si>
  <si>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</si>
  <si>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</si>
  <si>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</si>
  <si>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</si>
  <si>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</si>
  <si>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</si>
  <si>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</si>
  <si>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</si>
  <si>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</si>
  <si>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</si>
  <si>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</si>
  <si>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</si>
  <si>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</si>
  <si>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</si>
  <si>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</si>
  <si>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</si>
  <si>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</si>
  <si>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</si>
  <si>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</si>
  <si>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</si>
  <si>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</si>
  <si>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</si>
  <si>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</si>
  <si>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</si>
  <si>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</si>
  <si>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</si>
  <si>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</si>
  <si>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</si>
  <si>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</si>
  <si>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</si>
  <si>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</si>
  <si>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</si>
  <si>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</si>
  <si>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</si>
  <si>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</si>
  <si>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</si>
  <si>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</si>
  <si>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</si>
  <si>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</si>
  <si>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</si>
  <si>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</si>
  <si>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</si>
  <si>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</si>
  <si>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</si>
  <si>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</si>
  <si>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</si>
  <si>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</si>
  <si>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</si>
  <si>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</si>
  <si>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</si>
  <si>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</si>
  <si>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</si>
  <si>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</si>
  <si>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</si>
  <si>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</si>
  <si>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</si>
  <si>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</si>
  <si>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</si>
  <si>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</si>
  <si>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</si>
  <si>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</si>
  <si>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</si>
  <si>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</si>
  <si>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</si>
  <si>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</si>
  <si>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</si>
  <si>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</si>
  <si>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</si>
  <si>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</si>
  <si>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</si>
  <si>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</si>
  <si>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</si>
  <si>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</si>
  <si>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</si>
  <si>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</si>
  <si>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</si>
  <si>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</si>
  <si>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</si>
  <si>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</si>
  <si>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</si>
  <si>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</si>
  <si>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</si>
  <si>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</si>
  <si>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</si>
  <si>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</si>
  <si>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</si>
  <si>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</si>
  <si>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</si>
  <si>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</si>
  <si>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</si>
  <si>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</si>
  <si>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</si>
  <si>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</si>
  <si>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</si>
  <si>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</si>
  <si>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</si>
  <si>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</si>
  <si>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</si>
  <si>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</si>
  <si>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</si>
  <si>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</si>
  <si>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</si>
  <si>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</si>
  <si>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</si>
  <si>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</si>
  <si>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</si>
  <si>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</si>
  <si>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</si>
  <si>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</si>
  <si>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</si>
  <si>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</si>
  <si>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</si>
  <si>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</si>
  <si>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</si>
  <si>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</si>
  <si>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</si>
  <si>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</si>
  <si>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</si>
  <si>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</si>
  <si>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</si>
  <si>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</si>
  <si>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</si>
  <si>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</si>
  <si>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</si>
  <si>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</si>
  <si>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</si>
  <si>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</si>
  <si>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</si>
  <si>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</si>
  <si>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</si>
  <si>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</si>
  <si>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</si>
  <si>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</si>
  <si>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</si>
  <si>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</si>
  <si>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</si>
  <si>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</si>
  <si>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</si>
  <si>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</si>
  <si>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</si>
  <si>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</si>
  <si>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</si>
  <si>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</si>
  <si>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</si>
  <si>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</si>
  <si>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</si>
  <si>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</si>
  <si>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</si>
  <si>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</si>
  <si>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</si>
  <si>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</si>
  <si>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</si>
  <si>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</si>
  <si>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</si>
  <si>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</si>
  <si>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</si>
  <si>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</si>
  <si>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</si>
  <si>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</si>
  <si>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</si>
  <si>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</si>
  <si>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</si>
  <si>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</si>
  <si>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</si>
  <si>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</si>
  <si>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</si>
  <si>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</si>
  <si>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</si>
  <si>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</si>
  <si>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</si>
  <si>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</si>
  <si>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</si>
  <si>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</si>
  <si>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</si>
  <si>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</si>
  <si>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</si>
  <si>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</si>
  <si>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</si>
  <si>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</si>
  <si>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</si>
  <si>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</si>
  <si>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</si>
  <si>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</si>
  <si>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</si>
  <si>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</si>
  <si>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</si>
  <si>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</si>
  <si>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</si>
  <si>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</si>
  <si>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</si>
  <si>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</si>
  <si>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</si>
  <si>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</si>
  <si>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</si>
  <si>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</si>
  <si>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</si>
  <si>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</si>
  <si>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</si>
  <si>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</si>
  <si>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</si>
  <si>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</si>
  <si>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</si>
  <si>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</si>
  <si>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</si>
  <si>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</si>
  <si>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</si>
  <si>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</si>
  <si>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</si>
  <si>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</si>
  <si>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</si>
  <si>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</si>
  <si>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</si>
  <si>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</si>
  <si>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</si>
  <si>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</si>
  <si>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</si>
  <si>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</si>
  <si>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</si>
  <si>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</si>
  <si>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</si>
  <si>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</si>
  <si>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</si>
  <si>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</si>
  <si>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</si>
  <si>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</si>
  <si>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</si>
  <si>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</si>
  <si>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</si>
  <si>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</si>
  <si>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</si>
  <si>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</si>
  <si>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</si>
  <si>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</si>
  <si>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</si>
  <si>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</si>
  <si>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</si>
  <si>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</si>
  <si>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</si>
  <si>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</si>
  <si>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</si>
  <si>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</si>
  <si>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</si>
  <si>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</si>
  <si>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</si>
  <si>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</si>
  <si>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</si>
  <si>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</si>
  <si>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</si>
  <si>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</si>
  <si>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</si>
  <si>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</si>
  <si>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</si>
  <si>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</si>
  <si>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</si>
  <si>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</si>
  <si>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</si>
  <si>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</si>
  <si>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</si>
  <si>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</si>
  <si>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</si>
  <si>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</si>
  <si>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</si>
  <si>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</si>
  <si>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</si>
  <si>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</si>
  <si>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</si>
  <si>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</si>
  <si>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</si>
  <si>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</si>
  <si>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</si>
  <si>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</si>
  <si>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</si>
  <si>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</si>
  <si>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</si>
  <si>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</si>
  <si>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</si>
  <si>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</si>
  <si>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</si>
  <si>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</si>
  <si>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</si>
  <si>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</si>
  <si>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</si>
  <si>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</si>
  <si>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</si>
  <si>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</si>
  <si>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</si>
  <si>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</si>
  <si>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</si>
  <si>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</si>
  <si>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</si>
  <si>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</si>
  <si>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</si>
  <si>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</si>
  <si>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</si>
  <si>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</si>
  <si>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</si>
  <si>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</si>
  <si>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</si>
  <si>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</si>
  <si>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</si>
  <si>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</si>
  <si>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</si>
  <si>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</si>
  <si>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</si>
  <si>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</si>
  <si>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</si>
  <si>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</si>
  <si>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</si>
  <si>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</si>
  <si>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</si>
  <si>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</si>
  <si>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</si>
  <si>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</si>
  <si>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</si>
  <si>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</si>
  <si>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</si>
  <si>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</si>
  <si>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</si>
  <si>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</si>
  <si>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</si>
  <si>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</si>
  <si>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</si>
  <si>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</si>
  <si>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</si>
  <si>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</si>
  <si>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</si>
  <si>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</si>
  <si>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</si>
  <si>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</si>
  <si>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</si>
  <si>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</si>
  <si>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</si>
  <si>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</si>
  <si>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</si>
  <si>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</si>
  <si>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</si>
  <si>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</si>
  <si>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</si>
  <si>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</si>
  <si>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</si>
  <si>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</si>
  <si>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</si>
  <si>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</si>
  <si>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</si>
  <si>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</si>
  <si>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</si>
  <si>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</si>
  <si>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</si>
  <si>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</si>
  <si>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</si>
  <si>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</si>
  <si>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</si>
  <si>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</si>
  <si>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</si>
  <si>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</si>
  <si>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</si>
  <si>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</si>
  <si>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</si>
  <si>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</si>
  <si>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</si>
  <si>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</si>
  <si>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</si>
  <si>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</si>
  <si>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</si>
  <si>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</si>
  <si>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</si>
  <si>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</si>
  <si>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</si>
  <si>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</si>
  <si>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</si>
  <si>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</si>
  <si>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</si>
  <si>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</si>
  <si>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</si>
  <si>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</si>
  <si>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</si>
  <si>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</si>
  <si>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</si>
  <si>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</si>
  <si>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</si>
  <si>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</si>
  <si>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</si>
  <si>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</si>
  <si>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</si>
  <si>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</si>
  <si>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</si>
  <si>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</si>
  <si>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</si>
  <si>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</si>
  <si>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</si>
  <si>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</si>
  <si>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</si>
  <si>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</si>
  <si>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</si>
  <si>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</si>
  <si>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</si>
  <si>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</si>
  <si>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</si>
  <si>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</si>
  <si>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</si>
  <si>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</si>
  <si>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</si>
  <si>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</si>
  <si>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</si>
  <si>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</si>
  <si>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</si>
  <si>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</si>
  <si>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</si>
  <si>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</si>
  <si>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</si>
  <si>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</si>
  <si>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</si>
  <si>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</si>
  <si>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</si>
  <si>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</si>
  <si>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</si>
  <si>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</si>
  <si>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</si>
  <si>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</si>
  <si>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</si>
  <si>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</si>
  <si>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</si>
  <si>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</si>
  <si>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</si>
  <si>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</si>
  <si>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</si>
  <si>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</si>
  <si>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</si>
  <si>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</si>
  <si>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</si>
  <si>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</si>
  <si>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</si>
  <si>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</si>
  <si>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</si>
  <si>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</si>
  <si>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</si>
  <si>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</si>
  <si>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</si>
  <si>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</si>
  <si>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</si>
  <si>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</si>
  <si>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</si>
  <si>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</si>
  <si>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</si>
  <si>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</si>
  <si>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</si>
  <si>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</si>
  <si>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</si>
  <si>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</si>
  <si>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</si>
  <si>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</si>
  <si>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</si>
  <si>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</si>
  <si>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</si>
  <si>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</si>
  <si>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</si>
  <si>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</si>
  <si>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</si>
  <si>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</si>
  <si>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</si>
  <si>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</si>
  <si>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</si>
  <si>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</si>
  <si>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</si>
  <si>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</si>
  <si>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</si>
  <si>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</si>
  <si>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</si>
  <si>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</si>
  <si>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</si>
  <si>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</si>
  <si>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</si>
  <si>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</si>
  <si>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</si>
  <si>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</si>
  <si>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</si>
  <si>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</si>
  <si>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</si>
  <si>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</si>
  <si>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</si>
  <si>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</si>
  <si>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</si>
  <si>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</si>
  <si>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</si>
  <si>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</si>
  <si>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</si>
  <si>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</si>
  <si>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</si>
  <si>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</si>
  <si>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</si>
  <si>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</si>
  <si>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</si>
  <si>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</si>
  <si>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</si>
  <si>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</si>
  <si>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</si>
  <si>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</si>
  <si>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</si>
  <si>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</si>
  <si>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</si>
  <si>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</si>
  <si>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</si>
  <si>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</si>
  <si>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</si>
  <si>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</si>
  <si>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</si>
  <si>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</si>
  <si>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</si>
  <si>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</si>
  <si>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</si>
  <si>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</si>
  <si>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</si>
  <si>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</si>
  <si>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</si>
  <si>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</si>
  <si>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</si>
  <si>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</si>
  <si>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</si>
  <si>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</si>
  <si>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</si>
  <si>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</si>
  <si>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</si>
  <si>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</si>
  <si>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</si>
  <si>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</si>
  <si>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</si>
  <si>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</si>
  <si>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</si>
  <si>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</si>
  <si>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</si>
  <si>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</si>
  <si>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</si>
  <si>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</si>
  <si>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</si>
  <si>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</si>
  <si>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</si>
  <si>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</si>
  <si>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</si>
  <si>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</si>
  <si>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</si>
  <si>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</si>
  <si>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</si>
  <si>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</si>
  <si>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</si>
  <si>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</si>
  <si>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</si>
  <si>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</si>
  <si>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</si>
  <si>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</si>
  <si>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</si>
  <si>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</si>
  <si>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</si>
  <si>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</si>
  <si>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</si>
  <si>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</si>
  <si>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</si>
  <si>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</si>
  <si>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</si>
  <si>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</si>
  <si>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</si>
  <si>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</si>
  <si>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</si>
  <si>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</si>
  <si>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</si>
  <si>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</si>
  <si>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</si>
  <si>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</si>
  <si>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</si>
  <si>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</si>
  <si>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</si>
  <si>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</si>
  <si>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</si>
  <si>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</si>
  <si>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</si>
  <si>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</si>
  <si>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</si>
  <si>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</si>
  <si>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</si>
  <si>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</si>
  <si>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</si>
  <si>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</si>
  <si>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</si>
  <si>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</si>
  <si>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</si>
  <si>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</si>
  <si>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</si>
  <si>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</si>
  <si>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</si>
  <si>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</si>
  <si>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</si>
  <si>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</si>
  <si>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</si>
  <si>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</si>
  <si>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</si>
  <si>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</si>
  <si>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</si>
  <si>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</si>
  <si>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</si>
  <si>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</si>
  <si>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</si>
  <si>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</si>
  <si>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</si>
  <si>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</si>
  <si>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</si>
  <si>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</si>
  <si>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</si>
  <si>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</si>
  <si>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</si>
  <si>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</si>
  <si>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</si>
  <si>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</si>
  <si>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</si>
  <si>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</si>
  <si>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</si>
  <si>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</si>
  <si>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</si>
  <si>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</si>
  <si>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</si>
  <si>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</si>
  <si>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</si>
  <si>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</si>
  <si>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</si>
  <si>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</si>
  <si>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</si>
  <si>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</si>
  <si>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</si>
  <si>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</si>
  <si>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</si>
  <si>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</si>
  <si>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</si>
  <si>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</si>
  <si>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</si>
  <si>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</si>
  <si>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</si>
  <si>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</si>
  <si>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</si>
  <si>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</si>
  <si>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</si>
  <si>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</si>
  <si>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</si>
  <si>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</si>
  <si>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</si>
  <si>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</si>
  <si>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</si>
  <si>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</si>
  <si>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</si>
  <si>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</si>
  <si>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</si>
  <si>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</si>
  <si>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</si>
  <si>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</si>
  <si>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</si>
  <si>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</si>
  <si>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</si>
  <si>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</si>
  <si>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</si>
  <si>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</si>
  <si>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</si>
  <si>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</si>
  <si>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</si>
  <si>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</si>
  <si>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</si>
  <si>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</si>
  <si>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</si>
  <si>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</si>
  <si>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</si>
  <si>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</si>
  <si>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</si>
  <si>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</si>
  <si>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</si>
  <si>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</si>
  <si>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</si>
  <si>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</si>
  <si>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</si>
  <si>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</si>
  <si>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</si>
  <si>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</si>
  <si>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</si>
  <si>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</si>
  <si>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</si>
  <si>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</si>
  <si>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</si>
  <si>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</si>
  <si>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</si>
  <si>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</si>
  <si>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</si>
  <si>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</si>
  <si>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</si>
  <si>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</si>
  <si>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</si>
  <si>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</si>
  <si>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</si>
  <si>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</si>
  <si>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</si>
  <si>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</si>
  <si>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</si>
  <si>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</si>
  <si>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</si>
  <si>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</si>
  <si>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</si>
  <si>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</si>
  <si>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</si>
  <si>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</si>
  <si>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</si>
  <si>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</si>
  <si>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</si>
  <si>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</si>
  <si>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</si>
  <si>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</si>
  <si>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</si>
  <si>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</si>
  <si>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</si>
  <si>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</si>
  <si>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</si>
  <si>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</si>
  <si>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</si>
  <si>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</si>
  <si>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</si>
  <si>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</si>
  <si>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</si>
  <si>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</si>
  <si>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</si>
  <si>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</si>
  <si>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</si>
  <si>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</si>
  <si>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</si>
  <si>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</si>
  <si>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</si>
  <si>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</si>
  <si>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</si>
  <si>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</si>
  <si>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</si>
  <si>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</si>
  <si>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</si>
  <si>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</si>
  <si>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</si>
  <si>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</si>
  <si>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</si>
  <si>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</si>
  <si>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</si>
  <si>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</si>
  <si>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</si>
  <si>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</si>
  <si>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</si>
  <si>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</si>
  <si>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</si>
  <si>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</si>
  <si>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</si>
  <si>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</si>
  <si>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</si>
  <si>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</si>
  <si>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</si>
  <si>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</si>
  <si>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</si>
  <si>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</si>
  <si>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</si>
  <si>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</si>
  <si>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</si>
  <si>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</si>
  <si>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</si>
  <si>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</si>
  <si>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</si>
  <si>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</si>
  <si>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</si>
  <si>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</si>
  <si>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</si>
  <si>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</si>
  <si>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</si>
  <si>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</si>
  <si>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</si>
  <si>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</si>
  <si>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</si>
  <si>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</si>
  <si>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</si>
  <si>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</si>
  <si>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</si>
  <si>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</si>
  <si>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</si>
  <si>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</si>
  <si>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</si>
  <si>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</si>
  <si>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</si>
  <si>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</si>
  <si>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</si>
  <si>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</si>
  <si>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</si>
  <si>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</si>
  <si>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</si>
  <si>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</si>
  <si>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</si>
  <si>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</si>
  <si>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</si>
  <si>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</si>
  <si>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</si>
  <si>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</si>
  <si>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</si>
  <si>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</si>
  <si>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</si>
  <si>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</si>
  <si>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</si>
  <si>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</si>
  <si>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</si>
  <si>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</si>
  <si>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</si>
  <si>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</si>
  <si>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</si>
  <si>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</si>
  <si>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</si>
  <si>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</si>
  <si>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</si>
  <si>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</si>
  <si>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</si>
  <si>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</si>
  <si>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</si>
  <si>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</si>
  <si>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</si>
  <si>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</si>
  <si>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</si>
  <si>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</si>
  <si>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</si>
  <si>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</si>
  <si>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</si>
  <si>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</si>
  <si>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</si>
  <si>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</si>
  <si>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</si>
  <si>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</si>
  <si>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</si>
  <si>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</si>
  <si>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</si>
  <si>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</si>
  <si>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</si>
  <si>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</si>
  <si>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</si>
  <si>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</si>
  <si>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</si>
  <si>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</si>
  <si>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</si>
  <si>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</si>
  <si>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</si>
  <si>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</si>
  <si>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</si>
  <si>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</si>
  <si>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</si>
  <si>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</si>
  <si>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</si>
  <si>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</si>
  <si>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</si>
  <si>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</si>
  <si>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</si>
  <si>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</si>
  <si>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</si>
  <si>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</si>
  <si>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</si>
  <si>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</si>
  <si>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</si>
  <si>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</si>
  <si>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</si>
  <si>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</si>
  <si>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</si>
  <si>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</si>
  <si>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</si>
  <si>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</si>
  <si>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</si>
  <si>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</si>
  <si>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</si>
  <si>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</si>
  <si>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</si>
  <si>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</si>
  <si>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</si>
  <si>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</si>
  <si>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</si>
  <si>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</si>
  <si>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</si>
  <si>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</si>
  <si>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</si>
  <si>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</si>
  <si>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</si>
  <si>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</si>
  <si>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</si>
  <si>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</si>
  <si>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</si>
  <si>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</si>
  <si>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</si>
  <si>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</si>
  <si>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</si>
  <si>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</si>
  <si>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</si>
  <si>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</si>
  <si>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</si>
  <si>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</si>
  <si>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</si>
  <si>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</si>
  <si>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</si>
  <si>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</si>
  <si>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</si>
  <si>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</si>
  <si>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</si>
  <si>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</si>
  <si>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</si>
  <si>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</si>
  <si>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</si>
  <si>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</si>
  <si>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</si>
  <si>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</si>
  <si>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</si>
  <si>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</si>
  <si>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</si>
  <si>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</si>
  <si>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</si>
  <si>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</si>
  <si>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</si>
  <si>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</si>
  <si>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</si>
  <si>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</si>
  <si>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</si>
  <si>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</si>
  <si>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</si>
  <si>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</si>
  <si>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</si>
  <si>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</si>
  <si>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</si>
  <si>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</si>
  <si>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</si>
  <si>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</si>
  <si>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</si>
  <si>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</si>
  <si>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</si>
  <si>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</si>
  <si>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</si>
  <si>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</si>
  <si>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</si>
  <si>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</si>
  <si>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</si>
  <si>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</si>
  <si>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</si>
  <si>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</si>
  <si>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</si>
  <si>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</si>
  <si>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</si>
  <si>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</si>
  <si>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</si>
  <si>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</si>
  <si>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</si>
  <si>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</si>
  <si>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</si>
  <si>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</si>
  <si>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</si>
  <si>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</si>
  <si>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</si>
  <si>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</si>
  <si>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</si>
  <si>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</si>
  <si>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</si>
  <si>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</si>
  <si>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</si>
  <si>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</si>
  <si>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</si>
  <si>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</si>
  <si>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</si>
  <si>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</si>
  <si>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</si>
  <si>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</si>
  <si>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</si>
  <si>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</si>
  <si>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</si>
  <si>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</si>
  <si>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</si>
  <si>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</si>
  <si>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</si>
  <si>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</si>
  <si>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</si>
  <si>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</si>
  <si>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</si>
  <si>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</si>
  <si>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</si>
  <si>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</si>
  <si>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</si>
  <si>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</si>
  <si>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</si>
  <si>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</si>
  <si>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</si>
  <si>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</si>
  <si>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</si>
  <si>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</si>
  <si>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</si>
  <si>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</si>
  <si>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</si>
  <si>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</si>
  <si>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</si>
  <si>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</si>
  <si>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</si>
  <si>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</si>
  <si>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</si>
  <si>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</si>
  <si>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</si>
  <si>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</si>
  <si>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</si>
  <si>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</si>
  <si>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</si>
  <si>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</si>
  <si>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</si>
  <si>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</si>
  <si>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</si>
  <si>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</si>
  <si>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</si>
  <si>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</si>
  <si>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</si>
  <si>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</si>
  <si>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</si>
  <si>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</si>
  <si>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</si>
  <si>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</si>
  <si>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</si>
  <si>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</si>
  <si>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</si>
  <si>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</si>
  <si>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</si>
  <si>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</si>
  <si>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</si>
  <si>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</si>
  <si>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</si>
  <si>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</si>
  <si>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</si>
  <si>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</si>
  <si>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</si>
  <si>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</si>
  <si>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</si>
  <si>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</si>
  <si>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</si>
  <si>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</si>
  <si>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</si>
  <si>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</si>
  <si>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</si>
  <si>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</si>
  <si>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</si>
  <si>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</si>
  <si>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</si>
  <si>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</si>
  <si>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</si>
  <si>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</si>
  <si>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</si>
  <si>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</si>
  <si>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</si>
  <si>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</si>
  <si>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</si>
  <si>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</si>
  <si>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</si>
  <si>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</si>
  <si>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</si>
  <si>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</si>
  <si>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</si>
  <si>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</si>
  <si>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</si>
  <si>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</si>
  <si>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</si>
  <si>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</si>
  <si>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</si>
  <si>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</si>
  <si>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</si>
  <si>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</si>
  <si>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</si>
  <si>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</si>
  <si>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</si>
  <si>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</si>
  <si>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</si>
  <si>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</si>
  <si>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</si>
  <si>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</si>
  <si>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</si>
  <si>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</si>
  <si>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</si>
  <si>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</si>
  <si>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</si>
  <si>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</si>
  <si>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</si>
  <si>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</si>
  <si>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</si>
  <si>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</si>
  <si>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</si>
  <si>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</si>
  <si>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</si>
  <si>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</si>
  <si>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</si>
  <si>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</si>
  <si>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</si>
  <si>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</si>
  <si>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</si>
  <si>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</si>
  <si>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</si>
  <si>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</si>
  <si>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</si>
  <si>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</si>
  <si>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</si>
  <si>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</si>
  <si>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</si>
  <si>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</si>
  <si>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</si>
  <si>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</si>
  <si>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</si>
  <si>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</si>
  <si>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</si>
  <si>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</si>
  <si>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</si>
  <si>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</si>
  <si>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</si>
  <si>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</si>
  <si>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</si>
  <si>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</si>
  <si>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</si>
  <si>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</si>
  <si>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</si>
  <si>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</si>
  <si>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</si>
  <si>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</si>
  <si>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</si>
  <si>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</si>
  <si>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</si>
  <si>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</si>
  <si>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</si>
  <si>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</si>
  <si>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</si>
  <si>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</si>
  <si>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</si>
  <si>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</si>
  <si>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</si>
  <si>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</si>
  <si>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</si>
  <si>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</si>
  <si>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</si>
  <si>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</si>
  <si>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</si>
  <si>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</si>
  <si>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</si>
  <si>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</si>
  <si>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</si>
  <si>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</si>
  <si>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</si>
  <si>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</si>
  <si>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</si>
  <si>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</si>
  <si>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</si>
  <si>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</si>
  <si>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</si>
  <si>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</si>
  <si>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</si>
  <si>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</si>
  <si>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</si>
  <si>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</si>
  <si>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</si>
  <si>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</si>
  <si>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</si>
  <si>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</si>
  <si>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</si>
  <si>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</si>
  <si>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</si>
  <si>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</si>
  <si>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</si>
  <si>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</si>
  <si>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</si>
  <si>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</si>
  <si>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</si>
  <si>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</si>
  <si>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</si>
  <si>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</si>
  <si>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</si>
  <si>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</si>
  <si>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</si>
  <si>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</si>
  <si>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</si>
  <si>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</si>
  <si>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</si>
  <si>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</si>
  <si>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</si>
  <si>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</si>
  <si>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</si>
  <si>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</si>
  <si>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</si>
  <si>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</si>
  <si>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</si>
  <si>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</si>
  <si>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</si>
  <si>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</si>
  <si>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</si>
  <si>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</si>
  <si>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</si>
  <si>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</si>
  <si>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</si>
  <si>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</si>
  <si>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</si>
  <si>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</si>
  <si>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</si>
  <si>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</si>
  <si>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</si>
  <si>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</si>
  <si>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</si>
  <si>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</si>
  <si>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</si>
  <si>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</si>
  <si>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</si>
  <si>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</si>
  <si>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</si>
  <si>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</si>
  <si>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</si>
  <si>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</si>
  <si>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</si>
  <si>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</si>
  <si>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</si>
  <si>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</si>
  <si>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</si>
  <si>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</si>
  <si>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</si>
  <si>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</si>
  <si>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</si>
  <si>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</si>
  <si>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</si>
  <si>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</si>
  <si>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</si>
  <si>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</si>
  <si>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</si>
  <si>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</si>
  <si>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</si>
  <si>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</si>
  <si>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</si>
  <si>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</si>
  <si>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</si>
  <si>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</si>
  <si>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</si>
  <si>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</si>
  <si>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</si>
  <si>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</si>
  <si>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</si>
  <si>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</si>
  <si>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</si>
  <si>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</si>
  <si>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</si>
  <si>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</si>
  <si>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</si>
  <si>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</si>
  <si>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</si>
  <si>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</si>
  <si>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</si>
  <si>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</si>
  <si>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</si>
  <si>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</si>
  <si>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</si>
  <si>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</si>
  <si>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</si>
  <si>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</si>
  <si>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</si>
  <si>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</si>
  <si>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</si>
  <si>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</si>
  <si>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</si>
  <si>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</si>
  <si>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</si>
  <si>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</si>
  <si>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</si>
  <si>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</si>
  <si>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</si>
  <si>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</si>
  <si>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</si>
  <si>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</si>
  <si>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</si>
  <si>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</si>
  <si>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</si>
  <si>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</si>
  <si>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</si>
  <si>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</si>
  <si>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</si>
  <si>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</si>
  <si>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</si>
  <si>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</si>
  <si>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</si>
  <si>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</si>
  <si>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</si>
  <si>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</si>
  <si>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</si>
  <si>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</si>
  <si>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</si>
  <si>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</si>
  <si>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</si>
  <si>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</si>
  <si>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</si>
  <si>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</si>
  <si>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</si>
  <si>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</si>
  <si>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</si>
  <si>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</si>
  <si>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</si>
  <si>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</si>
  <si>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</si>
  <si>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</si>
  <si>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</si>
  <si>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</si>
  <si>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</si>
  <si>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</si>
  <si>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</si>
  <si>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</si>
  <si>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</si>
  <si>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</si>
  <si>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</si>
  <si>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</si>
  <si>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</si>
  <si>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</si>
  <si>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</si>
  <si>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</si>
  <si>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</si>
  <si>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</si>
  <si>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</si>
  <si>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</si>
  <si>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</si>
  <si>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</si>
  <si>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</si>
  <si>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</si>
  <si>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</si>
  <si>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</si>
  <si>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</si>
  <si>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</si>
  <si>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</si>
  <si>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</si>
  <si>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</si>
  <si>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</si>
  <si>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</si>
  <si>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</si>
  <si>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</si>
  <si>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</si>
  <si>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</si>
  <si>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</si>
  <si>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</si>
  <si>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</si>
  <si>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</si>
  <si>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</si>
  <si>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</si>
  <si>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</si>
  <si>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</si>
  <si>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</si>
  <si>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</si>
  <si>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</si>
  <si>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</si>
  <si>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</si>
  <si>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</si>
  <si>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</si>
  <si>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</si>
  <si>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</si>
  <si>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</si>
  <si>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</si>
  <si>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</si>
  <si>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</si>
  <si>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</si>
  <si>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</si>
  <si>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</si>
  <si>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</si>
  <si>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</si>
  <si>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</si>
  <si>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</si>
  <si>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</si>
  <si>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</si>
  <si>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</si>
  <si>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</si>
  <si>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</si>
  <si>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</si>
  <si>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</si>
  <si>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</si>
  <si>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</si>
  <si>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</si>
  <si>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</si>
  <si>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</si>
  <si>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</si>
  <si>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</si>
  <si>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</si>
  <si>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</si>
  <si>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</si>
  <si>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</si>
  <si>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</si>
  <si>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</si>
  <si>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</si>
  <si>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</si>
  <si>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</si>
  <si>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</si>
  <si>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</si>
  <si>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</si>
  <si>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</si>
  <si>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</si>
  <si>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</si>
  <si>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</si>
  <si>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</si>
  <si>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</si>
  <si>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</si>
  <si>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</si>
  <si>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</si>
  <si>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</si>
  <si>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</si>
  <si>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</si>
  <si>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</si>
  <si>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</si>
  <si>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</si>
  <si>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</si>
  <si>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</si>
  <si>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</si>
  <si>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</si>
  <si>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</si>
  <si>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</si>
  <si>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</si>
  <si>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</si>
  <si>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</si>
  <si>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</si>
  <si>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</si>
  <si>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</si>
  <si>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</si>
  <si>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</si>
  <si>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</si>
  <si>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</si>
  <si>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</si>
  <si>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</si>
  <si>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</si>
  <si>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</si>
  <si>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</si>
  <si>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</si>
  <si>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</si>
  <si>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</si>
  <si>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</si>
  <si>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</si>
  <si>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</si>
  <si>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</si>
  <si>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</si>
  <si>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</si>
  <si>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</si>
  <si>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</si>
  <si>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</si>
  <si>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</si>
  <si>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</si>
  <si>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</si>
  <si>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</si>
  <si>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</si>
  <si>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</si>
  <si>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</si>
  <si>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</si>
  <si>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</si>
  <si>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</si>
  <si>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</si>
  <si>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</si>
  <si>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</si>
  <si>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</si>
  <si>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</si>
  <si>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</si>
  <si>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</si>
  <si>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</si>
  <si>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</si>
  <si>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</si>
  <si>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</si>
  <si>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</si>
  <si>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</si>
  <si>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</si>
  <si>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</si>
  <si>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</si>
  <si>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</si>
  <si>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</si>
  <si>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</si>
  <si>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</si>
  <si>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</si>
  <si>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</si>
  <si>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</si>
  <si>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</si>
  <si>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</si>
  <si>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</si>
  <si>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</si>
  <si>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</si>
  <si>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</si>
  <si>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</si>
  <si>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</si>
  <si>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</si>
  <si>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</si>
  <si>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</si>
  <si>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</si>
  <si>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</si>
  <si>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</si>
  <si>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</si>
  <si>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</si>
  <si>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</si>
  <si>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</si>
  <si>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</si>
  <si>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</si>
  <si>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</si>
  <si>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</si>
  <si>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</si>
  <si>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</si>
  <si>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</si>
  <si>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</si>
  <si>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</si>
  <si>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</si>
  <si>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</si>
  <si>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</si>
  <si>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</si>
  <si>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</si>
  <si>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</si>
  <si>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</si>
  <si>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</si>
  <si>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</si>
  <si>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</si>
  <si>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</si>
  <si>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</si>
  <si>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</si>
  <si>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</si>
  <si>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</si>
  <si>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</si>
  <si>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</si>
  <si>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</si>
  <si>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</si>
  <si>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</si>
  <si>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</si>
  <si>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</si>
  <si>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</si>
  <si>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</si>
  <si>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</si>
  <si>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</si>
  <si>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</si>
  <si>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</si>
  <si>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</si>
  <si>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</si>
  <si>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</si>
  <si>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</si>
  <si>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</si>
  <si>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</si>
  <si>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</si>
  <si>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</si>
  <si>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</si>
  <si>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</si>
  <si>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</si>
  <si>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</si>
  <si>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</si>
  <si>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</si>
  <si>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</si>
  <si>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</si>
  <si>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</si>
  <si>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</si>
  <si>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</si>
  <si>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</si>
  <si>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</si>
  <si>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</si>
  <si>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</si>
  <si>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</si>
  <si>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</si>
  <si>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</si>
  <si>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</si>
  <si>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</si>
  <si>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</si>
  <si>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</si>
  <si>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</si>
  <si>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</si>
  <si>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</si>
  <si>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</si>
  <si>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</si>
  <si>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</si>
  <si>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</si>
  <si>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</si>
  <si>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</si>
  <si>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</si>
  <si>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</si>
  <si>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</si>
  <si>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</si>
  <si>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</si>
  <si>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</si>
  <si>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</si>
  <si>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</si>
  <si>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</si>
  <si>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</si>
  <si>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</si>
  <si>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</si>
  <si>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</si>
  <si>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</si>
  <si>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</si>
  <si>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</si>
  <si>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</si>
  <si>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</si>
  <si>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</si>
  <si>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</si>
  <si>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</si>
  <si>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</si>
  <si>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</si>
  <si>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</si>
  <si>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</si>
  <si>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</si>
  <si>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</si>
  <si>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</si>
  <si>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</si>
  <si>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</si>
  <si>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</si>
  <si>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</si>
  <si>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</si>
  <si>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</si>
  <si>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</si>
  <si>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</si>
  <si>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</si>
  <si>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</si>
  <si>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</si>
  <si>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</si>
  <si>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</si>
  <si>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</si>
  <si>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</si>
  <si>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</si>
  <si>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</si>
  <si>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</si>
  <si>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</si>
  <si>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</si>
  <si>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</si>
  <si>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</si>
  <si>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</si>
  <si>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</si>
  <si>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</si>
  <si>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</si>
  <si>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</si>
  <si>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</si>
  <si>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</si>
  <si>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</si>
  <si>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</si>
  <si>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</si>
  <si>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</si>
  <si>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</si>
  <si>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</si>
  <si>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</si>
  <si>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</si>
  <si>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</si>
  <si>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</si>
  <si>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</si>
  <si>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</si>
  <si>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</si>
  <si>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</si>
  <si>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</si>
  <si>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</si>
  <si>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</si>
  <si>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</si>
  <si>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</si>
  <si>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</si>
  <si>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</si>
  <si>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</si>
  <si>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</si>
  <si>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</si>
  <si>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</si>
  <si>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</si>
  <si>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</si>
  <si>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</si>
  <si>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</si>
  <si>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</si>
  <si>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</si>
  <si>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</si>
  <si>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</si>
  <si>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</si>
  <si>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</si>
  <si>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</si>
  <si>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</si>
  <si>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</si>
  <si>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</si>
  <si>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</si>
  <si>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</si>
  <si>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</si>
  <si>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</si>
  <si>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</si>
  <si>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</si>
  <si>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</si>
  <si>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</si>
  <si>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</si>
  <si>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</si>
  <si>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</si>
  <si>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</si>
  <si>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</si>
  <si>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</si>
  <si>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</si>
  <si>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</si>
  <si>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</si>
  <si>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</si>
  <si>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</si>
  <si>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</si>
  <si>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</si>
  <si>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</si>
  <si>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</si>
  <si>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</si>
  <si>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</si>
  <si>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</si>
  <si>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</si>
  <si>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</si>
  <si>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</si>
  <si>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</si>
  <si>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</si>
  <si>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</si>
  <si>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</si>
  <si>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</si>
  <si>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</si>
  <si>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</si>
  <si>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</si>
  <si>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</si>
  <si>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</si>
  <si>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</si>
  <si>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</si>
  <si>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</si>
  <si>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</si>
  <si>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</si>
  <si>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</si>
  <si>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</si>
  <si>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</si>
  <si>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</si>
  <si>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</si>
  <si>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</si>
  <si>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</si>
  <si>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</si>
  <si>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</si>
  <si>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</si>
  <si>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</si>
  <si>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</si>
  <si>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</si>
  <si>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</si>
  <si>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</si>
  <si>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</si>
  <si>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</si>
  <si>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</si>
  <si>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</si>
  <si>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</si>
  <si>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</si>
  <si>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</si>
  <si>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</si>
  <si>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</si>
  <si>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</si>
  <si>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</si>
  <si>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</si>
  <si>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</si>
  <si>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</si>
  <si>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</si>
  <si>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</si>
  <si>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</si>
  <si>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</si>
  <si>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</si>
  <si>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</si>
  <si>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</si>
  <si>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</si>
  <si>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</si>
  <si>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</si>
  <si>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</si>
  <si>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</si>
  <si>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</si>
  <si>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</si>
  <si>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</si>
  <si>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</si>
  <si>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</si>
  <si>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</si>
  <si>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</si>
  <si>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</si>
  <si>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</si>
  <si>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</si>
  <si>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</si>
  <si>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</si>
  <si>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</si>
  <si>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</si>
  <si>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</si>
  <si>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</si>
  <si>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</si>
  <si>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</si>
  <si>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</si>
  <si>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</si>
  <si>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</si>
  <si>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</si>
  <si>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</si>
  <si>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</si>
  <si>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</si>
  <si>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</si>
  <si>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</si>
  <si>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</si>
  <si>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</si>
  <si>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</si>
  <si>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</si>
  <si>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</si>
  <si>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</si>
  <si>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</si>
  <si>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</si>
  <si>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</si>
  <si>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</si>
  <si>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</si>
  <si>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</si>
  <si>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</si>
  <si>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</si>
  <si>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</si>
  <si>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</si>
  <si>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</si>
  <si>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</si>
  <si>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</si>
  <si>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</si>
  <si>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</si>
  <si>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</si>
  <si>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</si>
  <si>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</si>
  <si>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</si>
  <si>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</si>
  <si>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</si>
  <si>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</si>
  <si>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</si>
  <si>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</si>
  <si>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</si>
  <si>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</si>
  <si>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</si>
  <si>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</si>
  <si>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</si>
  <si>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</si>
  <si>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</si>
  <si>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</si>
  <si>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</si>
  <si>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</si>
  <si>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</si>
  <si>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</si>
  <si>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</si>
  <si>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</si>
  <si>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</si>
  <si>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</si>
  <si>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</si>
  <si>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</si>
  <si>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</si>
  <si>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</si>
  <si>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</si>
  <si>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</si>
  <si>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</si>
  <si>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</si>
  <si>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</si>
  <si>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</si>
  <si>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</si>
  <si>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</si>
  <si>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</si>
  <si>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</si>
  <si>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</si>
  <si>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</si>
  <si>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</si>
  <si>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</si>
  <si>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</si>
  <si>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</si>
  <si>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</si>
  <si>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</si>
  <si>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</si>
  <si>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</si>
  <si>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</si>
  <si>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</si>
  <si>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</si>
  <si>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</si>
  <si>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</si>
  <si>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</si>
  <si>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</si>
  <si>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</si>
  <si>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</si>
  <si>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</si>
  <si>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</si>
  <si>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</si>
  <si>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</si>
  <si>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</si>
  <si>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</si>
  <si>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</si>
  <si>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</si>
  <si>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</si>
  <si>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</si>
  <si>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</si>
  <si>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</si>
  <si>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</si>
  <si>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</si>
  <si>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</si>
  <si>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</si>
  <si>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</si>
  <si>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</si>
  <si>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</si>
  <si>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</si>
  <si>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</si>
  <si>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</si>
  <si>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</si>
  <si>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</si>
  <si>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</si>
  <si>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</si>
  <si>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</si>
  <si>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</si>
  <si>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</si>
  <si>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</si>
  <si>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</si>
  <si>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</si>
  <si>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</si>
  <si>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</si>
  <si>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</si>
  <si>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</si>
  <si>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</si>
  <si>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</si>
  <si>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</si>
  <si>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</si>
  <si>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</si>
  <si>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</si>
  <si>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</si>
  <si>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</si>
  <si>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</si>
  <si>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</si>
  <si>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</si>
  <si>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</si>
  <si>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</si>
  <si>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</si>
  <si>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</si>
  <si>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</si>
  <si>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</si>
  <si>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</si>
  <si>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</si>
  <si>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</si>
  <si>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</si>
  <si>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</si>
  <si>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</si>
  <si>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</si>
  <si>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</si>
  <si>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</si>
  <si>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</si>
  <si>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</si>
  <si>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</si>
  <si>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</si>
  <si>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</si>
  <si>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</si>
  <si>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</si>
  <si>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</si>
  <si>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</si>
  <si>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</si>
  <si>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</si>
  <si>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</si>
  <si>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</si>
  <si>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</si>
  <si>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</si>
  <si>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</si>
  <si>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</si>
  <si>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</si>
  <si>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</si>
  <si>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</si>
  <si>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</si>
  <si>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</si>
  <si>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</si>
  <si>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</si>
  <si>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</si>
  <si>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</si>
  <si>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</si>
  <si>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</si>
  <si>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</si>
  <si>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</si>
  <si>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</si>
  <si>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</si>
  <si>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</si>
  <si>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</si>
  <si>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</si>
  <si>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</si>
  <si>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</si>
  <si>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</si>
  <si>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</si>
  <si>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</si>
  <si>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</si>
  <si>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</si>
  <si>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</si>
  <si>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</si>
  <si>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</si>
  <si>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</si>
  <si>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</si>
  <si>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</si>
  <si>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</si>
  <si>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</si>
  <si>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</si>
  <si>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</si>
  <si>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</si>
  <si>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</si>
  <si>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</si>
  <si>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</si>
  <si>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</si>
  <si>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</si>
  <si>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</si>
  <si>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</si>
  <si>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</si>
  <si>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</si>
  <si>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</si>
  <si>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</si>
  <si>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</si>
  <si>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</si>
  <si>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</si>
  <si>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</si>
  <si>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</si>
  <si>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</si>
  <si>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</si>
  <si>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</si>
  <si>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</si>
  <si>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</si>
  <si>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</si>
  <si>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</si>
  <si>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</si>
  <si>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</si>
  <si>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</si>
  <si>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</si>
  <si>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</si>
  <si>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</si>
  <si>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</si>
  <si>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</si>
  <si>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</si>
  <si>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</si>
  <si>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</si>
  <si>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</si>
  <si>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</si>
  <si>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</si>
  <si>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</si>
  <si>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</si>
  <si>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</si>
  <si>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</si>
  <si>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</si>
  <si>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</si>
  <si>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</si>
  <si>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</si>
  <si>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</si>
  <si>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</si>
  <si>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</si>
  <si>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</si>
  <si>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</si>
  <si>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</si>
  <si>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</si>
  <si>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</si>
  <si>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</si>
  <si>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</si>
  <si>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</si>
  <si>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</si>
  <si>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</si>
  <si>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</si>
  <si>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</si>
  <si>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</si>
  <si>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</si>
  <si>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</si>
  <si>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</si>
  <si>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</si>
  <si>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</si>
  <si>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</si>
  <si>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</si>
  <si>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</si>
  <si>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</si>
  <si>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</si>
  <si>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</si>
  <si>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</si>
  <si>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</si>
  <si>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</si>
  <si>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</si>
  <si>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</si>
  <si>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</si>
  <si>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</si>
  <si>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</si>
  <si>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</si>
  <si>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</si>
  <si>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</si>
  <si>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</si>
  <si>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</si>
  <si>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</si>
  <si>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</si>
  <si>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</si>
  <si>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</si>
  <si>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</si>
  <si>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</si>
  <si>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</si>
  <si>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</si>
  <si>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</si>
  <si>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</si>
  <si>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</si>
  <si>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</si>
  <si>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</si>
  <si>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</si>
  <si>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</si>
  <si>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</si>
  <si>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</si>
  <si>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</si>
  <si>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</si>
  <si>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</si>
  <si>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</si>
  <si>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</si>
  <si>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</si>
  <si>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</si>
  <si>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</si>
  <si>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</si>
  <si>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</si>
  <si>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</si>
  <si>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</si>
  <si>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</si>
  <si>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</si>
  <si>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</si>
  <si>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</si>
  <si>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</si>
  <si>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</si>
  <si>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</si>
  <si>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</si>
  <si>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</si>
  <si>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</si>
  <si>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</si>
  <si>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</si>
  <si>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</si>
  <si>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</si>
  <si>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</si>
  <si>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</si>
  <si>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</si>
  <si>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</si>
  <si>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</si>
  <si>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</si>
  <si>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</si>
  <si>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</si>
  <si>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</si>
  <si>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</si>
  <si>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</si>
  <si>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</si>
  <si>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</si>
  <si>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</si>
  <si>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</si>
  <si>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</si>
  <si>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</si>
  <si>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</si>
  <si>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</si>
  <si>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</si>
  <si>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</si>
  <si>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</si>
  <si>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</si>
  <si>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</si>
  <si>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</si>
  <si>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</si>
  <si>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</si>
  <si>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</si>
  <si>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</si>
  <si>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</si>
  <si>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</si>
  <si>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</si>
  <si>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</si>
  <si>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</si>
  <si>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</si>
  <si>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</si>
  <si>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</si>
  <si>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</si>
  <si>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</si>
  <si>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</si>
  <si>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</si>
  <si>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</si>
  <si>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</si>
  <si>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</si>
  <si>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</si>
  <si>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</si>
  <si>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</si>
  <si>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</si>
  <si>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</si>
  <si>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</si>
  <si>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</si>
  <si>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</si>
  <si>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</si>
  <si>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</si>
  <si>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</si>
  <si>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</si>
  <si>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</si>
  <si>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</si>
  <si>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</si>
  <si>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</si>
  <si>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</si>
  <si>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</si>
  <si>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</si>
  <si>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</si>
  <si>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</si>
  <si>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</si>
  <si>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</si>
  <si>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</si>
  <si>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</si>
  <si>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</si>
  <si>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</si>
  <si>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</si>
  <si>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</si>
  <si>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</si>
  <si>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</si>
  <si>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</si>
  <si>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</si>
  <si>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</si>
  <si>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</si>
  <si>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</si>
  <si>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</si>
  <si>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</si>
  <si>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</si>
  <si>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</si>
  <si>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</si>
  <si>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</si>
  <si>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</si>
  <si>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</si>
  <si>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</si>
  <si>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</si>
  <si>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</si>
  <si>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</si>
  <si>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</si>
  <si>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</si>
  <si>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</si>
  <si>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</si>
  <si>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</si>
  <si>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</si>
  <si>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</si>
  <si>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</si>
  <si>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</si>
  <si>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</si>
  <si>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</si>
  <si>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</si>
  <si>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</si>
  <si>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</si>
  <si>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</si>
  <si>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</si>
  <si>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</si>
  <si>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</si>
  <si>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</si>
  <si>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</si>
  <si>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</si>
  <si>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</si>
  <si>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</si>
  <si>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</si>
  <si>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</si>
  <si>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</si>
  <si>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</si>
  <si>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</si>
  <si>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</si>
  <si>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</si>
  <si>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</si>
  <si>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</si>
  <si>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</si>
  <si>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</si>
  <si>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</si>
  <si>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</si>
  <si>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</si>
  <si>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</si>
  <si>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</si>
  <si>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</si>
  <si>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</si>
  <si>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</si>
  <si>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</si>
  <si>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</si>
  <si>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</si>
  <si>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</si>
  <si>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</si>
  <si>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</si>
  <si>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</si>
  <si>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</si>
  <si>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</si>
  <si>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</si>
  <si>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</si>
  <si>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</si>
  <si>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</si>
  <si>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</si>
  <si>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</si>
  <si>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</si>
  <si>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</si>
  <si>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</si>
  <si>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</si>
  <si>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</si>
  <si>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</si>
  <si>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</si>
  <si>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</si>
  <si>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</si>
  <si>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</si>
  <si>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</si>
  <si>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</si>
  <si>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</si>
  <si>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</si>
  <si>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</si>
  <si>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</si>
  <si>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</si>
  <si>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</si>
  <si>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</si>
  <si>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</si>
  <si>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</si>
  <si>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</si>
  <si>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</si>
  <si>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</si>
  <si>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</si>
  <si>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</si>
  <si>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</si>
  <si>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</si>
  <si>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</si>
  <si>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</si>
  <si>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</si>
  <si>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</si>
  <si>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</si>
  <si>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</si>
  <si>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</si>
  <si>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</si>
  <si>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</si>
  <si>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</si>
  <si>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</si>
  <si>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</si>
  <si>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</si>
  <si>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</si>
  <si>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</si>
  <si>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</si>
  <si>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</si>
  <si>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</si>
  <si>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</si>
  <si>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</si>
  <si>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</si>
  <si>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</si>
  <si>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</si>
  <si>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</si>
  <si>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</si>
  <si>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</si>
  <si>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</si>
  <si>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</si>
  <si>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</si>
  <si>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</si>
  <si>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</si>
  <si>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</si>
  <si>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</si>
  <si>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</si>
  <si>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</si>
  <si>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</si>
  <si>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</si>
  <si>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</si>
  <si>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</si>
  <si>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</si>
  <si>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</si>
  <si>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</si>
  <si>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</si>
  <si>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</si>
  <si>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</si>
  <si>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</si>
  <si>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</si>
  <si>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</si>
  <si>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</si>
  <si>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</si>
  <si>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</si>
  <si>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</si>
  <si>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</si>
  <si>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</si>
  <si>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</si>
  <si>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</si>
  <si>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</si>
  <si>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</si>
  <si>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</si>
  <si>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</si>
  <si>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</si>
  <si>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</si>
  <si>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</si>
  <si>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</si>
  <si>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</si>
  <si>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</si>
  <si>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</si>
  <si>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</si>
  <si>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</si>
  <si>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</si>
  <si>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</si>
  <si>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</si>
  <si>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</si>
  <si>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</si>
  <si>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</si>
  <si>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</si>
  <si>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</si>
  <si>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</si>
  <si>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</si>
  <si>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</si>
  <si>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</si>
  <si>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</si>
  <si>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</si>
  <si>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</si>
  <si>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</si>
  <si>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</si>
  <si>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</si>
  <si>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</si>
  <si>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</si>
  <si>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</si>
  <si>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</si>
  <si>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</si>
  <si>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</si>
  <si>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</si>
  <si>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</si>
  <si>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</si>
  <si>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</si>
  <si>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</si>
  <si>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</si>
  <si>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</si>
  <si>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</si>
  <si>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</si>
  <si>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</si>
  <si>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</si>
  <si>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</si>
  <si>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</si>
  <si>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</si>
  <si>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</si>
  <si>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</si>
  <si>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</si>
  <si>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</si>
  <si>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</si>
  <si>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</si>
  <si>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</si>
  <si>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</si>
  <si>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</si>
  <si>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</si>
  <si>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</si>
  <si>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</si>
  <si>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</si>
  <si>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</si>
  <si>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</si>
  <si>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</si>
  <si>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</si>
  <si>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</si>
  <si>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</si>
  <si>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</si>
  <si>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</si>
  <si>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</si>
  <si>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</si>
  <si>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</si>
  <si>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</si>
  <si>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</si>
  <si>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</si>
  <si>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</si>
  <si>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</si>
  <si>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</si>
  <si>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</si>
  <si>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</si>
  <si>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</si>
  <si>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</si>
  <si>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</si>
  <si>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</si>
  <si>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</si>
  <si>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</si>
  <si>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</si>
  <si>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</si>
  <si>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</si>
  <si>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</si>
  <si>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</si>
  <si>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</si>
  <si>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</si>
  <si>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</si>
  <si>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</si>
  <si>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</si>
  <si>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</si>
  <si>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</si>
  <si>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</si>
  <si>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</si>
  <si>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</si>
  <si>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</si>
  <si>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</si>
  <si>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</si>
  <si>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</si>
  <si>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</si>
  <si>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</si>
  <si>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</si>
  <si>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</si>
  <si>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</si>
  <si>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</si>
  <si>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</si>
  <si>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</si>
  <si>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</si>
  <si>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</si>
  <si>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</si>
  <si>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</si>
  <si>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</si>
  <si>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</si>
  <si>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</si>
  <si>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</si>
  <si>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</si>
  <si>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</si>
  <si>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</si>
  <si>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</si>
  <si>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</si>
  <si>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</si>
  <si>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</si>
  <si>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</si>
  <si>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</si>
  <si>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</si>
  <si>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</si>
  <si>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</si>
  <si>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</si>
  <si>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</si>
  <si>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</si>
  <si>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</si>
  <si>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</si>
  <si>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</si>
  <si>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</si>
  <si>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</si>
  <si>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</si>
  <si>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</si>
  <si>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</si>
  <si>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</si>
  <si>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</si>
  <si>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</si>
  <si>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</si>
  <si>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</si>
  <si>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</si>
  <si>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</si>
  <si>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</si>
  <si>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</si>
  <si>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</si>
  <si>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</si>
  <si>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</si>
  <si>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</si>
  <si>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</si>
  <si>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</si>
  <si>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</si>
  <si>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</si>
  <si>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</si>
  <si>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</si>
  <si>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</si>
  <si>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</si>
  <si>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</si>
  <si>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</si>
  <si>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</si>
  <si>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</si>
  <si>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</si>
  <si>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</si>
  <si>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</si>
  <si>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</si>
  <si>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</si>
  <si>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</si>
  <si>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</si>
  <si>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</si>
  <si>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</si>
  <si>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</si>
  <si>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</si>
  <si>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</si>
  <si>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</si>
  <si>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</si>
  <si>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</si>
  <si>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</si>
  <si>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</si>
  <si>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</si>
  <si>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</si>
  <si>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</si>
  <si>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</si>
  <si>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</si>
  <si>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</si>
  <si>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</si>
  <si>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</si>
  <si>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</si>
  <si>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</si>
  <si>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</si>
  <si>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</si>
  <si>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</si>
  <si>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</si>
  <si>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</si>
  <si>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</si>
  <si>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</si>
  <si>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</si>
  <si>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</si>
  <si>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</si>
  <si>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</si>
  <si>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</si>
  <si>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</si>
  <si>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</si>
  <si>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</si>
  <si>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</si>
  <si>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</si>
  <si>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</si>
  <si>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</si>
  <si>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</si>
  <si>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</si>
  <si>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</si>
  <si>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</si>
  <si>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</si>
  <si>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</si>
  <si>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</si>
  <si>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</si>
  <si>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</si>
  <si>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</si>
  <si>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</si>
  <si>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</si>
  <si>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</si>
  <si>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</si>
  <si>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</si>
  <si>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</si>
  <si>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</si>
  <si>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</si>
  <si>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</si>
  <si>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</si>
  <si>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</si>
  <si>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</si>
  <si>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</si>
  <si>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</si>
  <si>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</si>
  <si>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</si>
  <si>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</si>
  <si>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</si>
  <si>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</si>
  <si>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</si>
  <si>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</si>
  <si>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</si>
  <si>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</si>
  <si>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</si>
  <si>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</si>
  <si>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</si>
  <si>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</si>
  <si>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</si>
  <si>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</si>
  <si>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</si>
  <si>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</si>
  <si>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</si>
  <si>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</si>
  <si>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</si>
  <si>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</si>
  <si>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</si>
  <si>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</si>
  <si>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</si>
  <si>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</si>
  <si>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</si>
  <si>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</si>
  <si>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</si>
  <si>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</si>
  <si>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</si>
  <si>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</si>
  <si>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</si>
  <si>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</si>
  <si>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</si>
  <si>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</si>
  <si>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</si>
  <si>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</si>
  <si>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</si>
  <si>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</si>
  <si>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</si>
  <si>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</si>
  <si>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</si>
  <si>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</si>
  <si>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</si>
  <si>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</si>
  <si>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</si>
  <si>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</si>
  <si>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</si>
  <si>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</si>
  <si>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</si>
  <si>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</si>
  <si>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</si>
  <si>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</si>
  <si>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</si>
  <si>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</si>
  <si>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</si>
  <si>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</si>
  <si>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</si>
  <si>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</si>
  <si>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</si>
  <si>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</si>
  <si>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</si>
  <si>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</si>
  <si>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</si>
  <si>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</si>
  <si>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</si>
  <si>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</si>
  <si>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</si>
  <si>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</si>
  <si>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</si>
  <si>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</si>
  <si>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</si>
  <si>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</si>
  <si>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</si>
  <si>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</si>
  <si>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</si>
  <si>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</si>
  <si>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</si>
  <si>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</si>
  <si>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</si>
  <si>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</si>
  <si>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</si>
  <si>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</si>
  <si>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</si>
  <si>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</si>
  <si>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</si>
  <si>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</si>
  <si>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</si>
  <si>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</si>
  <si>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</si>
  <si>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</si>
  <si>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</si>
  <si>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</si>
  <si>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</si>
  <si>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</si>
  <si>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</si>
  <si>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</si>
  <si>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</si>
  <si>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</si>
  <si>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</si>
  <si>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</si>
  <si>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</si>
  <si>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</si>
  <si>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</si>
  <si>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</si>
  <si>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</si>
  <si>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</si>
  <si>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</si>
  <si>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</si>
  <si>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</si>
  <si>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</si>
  <si>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</si>
  <si>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</si>
  <si>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</si>
  <si>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</si>
  <si>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</si>
  <si>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</si>
  <si>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</si>
  <si>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</si>
  <si>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</si>
  <si>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</si>
  <si>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</si>
  <si>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</si>
  <si>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</si>
  <si>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</si>
  <si>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</si>
  <si>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</si>
  <si>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</si>
  <si>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</si>
  <si>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</si>
  <si>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</si>
  <si>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</si>
  <si>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</si>
  <si>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</si>
  <si>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</si>
  <si>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</si>
  <si>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</si>
  <si>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</si>
  <si>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</si>
  <si>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</si>
  <si>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</si>
  <si>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</si>
  <si>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</si>
  <si>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</si>
  <si>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</si>
  <si>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</si>
  <si>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</si>
  <si>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</si>
  <si>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</si>
  <si>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</si>
  <si>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</si>
  <si>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</si>
  <si>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</si>
  <si>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</si>
  <si>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</si>
  <si>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</si>
  <si>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</si>
  <si>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</si>
  <si>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</si>
  <si>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</si>
  <si>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</si>
  <si>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</si>
  <si>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</si>
  <si>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</si>
  <si>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</si>
  <si>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</si>
  <si>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</si>
  <si>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</si>
  <si>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</si>
  <si>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</si>
  <si>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</si>
  <si>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</si>
  <si>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</si>
  <si>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</si>
  <si>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</si>
  <si>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</si>
  <si>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</si>
  <si>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</si>
  <si>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</si>
  <si>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</si>
  <si>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</si>
  <si>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</si>
  <si>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</si>
  <si>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</si>
  <si>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</si>
  <si>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</si>
  <si>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</si>
  <si>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</si>
  <si>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</si>
  <si>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</si>
  <si>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</si>
  <si>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</si>
  <si>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</si>
  <si>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</si>
  <si>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</si>
  <si>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</si>
  <si>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</si>
  <si>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</si>
  <si>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</si>
  <si>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</si>
  <si>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</si>
  <si>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</si>
  <si>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</si>
  <si>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</si>
  <si>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</si>
  <si>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</si>
  <si>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</si>
  <si>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</si>
  <si>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</si>
  <si>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</si>
  <si>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</si>
  <si>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</si>
  <si>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</si>
  <si>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</si>
  <si>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</si>
  <si>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</si>
  <si>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</si>
  <si>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</si>
  <si>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</si>
  <si>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</si>
  <si>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</si>
  <si>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</si>
  <si>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</si>
  <si>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</si>
  <si>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</si>
  <si>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</si>
  <si>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</si>
  <si>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</si>
  <si>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</si>
  <si>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</si>
  <si>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</si>
  <si>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</si>
  <si>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</si>
  <si>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</si>
  <si>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</si>
  <si>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</si>
  <si>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</si>
  <si>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</si>
  <si>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</si>
  <si>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</si>
  <si>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</si>
  <si>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</si>
  <si>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</si>
  <si>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</si>
  <si>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</si>
  <si>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</si>
  <si>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</si>
  <si>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</si>
  <si>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</si>
  <si>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</si>
  <si>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</si>
  <si>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</si>
  <si>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</si>
  <si>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</si>
  <si>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</si>
  <si>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</si>
  <si>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</si>
  <si>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</si>
  <si>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</si>
  <si>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</si>
  <si>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</si>
  <si>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</si>
  <si>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</si>
  <si>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</si>
  <si>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</si>
  <si>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</si>
  <si>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</si>
  <si>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</si>
  <si>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</si>
  <si>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</si>
  <si>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</si>
  <si>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</si>
  <si>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</si>
  <si>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</si>
  <si>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</si>
  <si>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</si>
  <si>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</si>
  <si>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</si>
  <si>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</si>
  <si>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</si>
  <si>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</si>
  <si>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</si>
  <si>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</si>
  <si>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</si>
  <si>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</si>
  <si>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</si>
  <si>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</si>
  <si>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</si>
  <si>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</si>
  <si>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</si>
  <si>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</si>
  <si>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</si>
  <si>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</si>
  <si>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</si>
  <si>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</si>
  <si>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</si>
  <si>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</si>
  <si>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</si>
  <si>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</si>
  <si>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</si>
  <si>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</si>
  <si>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</si>
  <si>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</si>
  <si>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</si>
  <si>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</si>
  <si>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</si>
  <si>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</si>
  <si>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</si>
  <si>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</si>
  <si>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</si>
  <si>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</si>
  <si>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</si>
  <si>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</si>
  <si>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</si>
  <si>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</si>
  <si>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</si>
  <si>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</si>
  <si>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</si>
  <si>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</si>
  <si>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</si>
  <si>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</si>
  <si>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</si>
  <si>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</si>
  <si>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</si>
  <si>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</si>
  <si>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</si>
  <si>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</si>
  <si>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</si>
  <si>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</si>
  <si>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</si>
  <si>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</si>
  <si>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</si>
  <si>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</si>
  <si>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</si>
  <si>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</si>
  <si>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</si>
  <si>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</si>
  <si>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</si>
  <si>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</si>
  <si>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</si>
  <si>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</si>
  <si>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</si>
  <si>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</si>
  <si>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</si>
  <si>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</si>
  <si>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</si>
  <si>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</si>
  <si>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</si>
  <si>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</si>
  <si>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</si>
  <si>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</si>
  <si>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</si>
  <si>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</si>
  <si>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</si>
  <si>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</si>
  <si>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</si>
  <si>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</si>
  <si>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</si>
  <si>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</si>
  <si>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</si>
  <si>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</si>
  <si>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</si>
  <si>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</si>
  <si>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</si>
  <si>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</si>
  <si>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</si>
  <si>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</si>
  <si>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</si>
  <si>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</si>
  <si>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</si>
  <si>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</si>
  <si>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</si>
  <si>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</si>
  <si>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</si>
  <si>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</si>
  <si>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</si>
  <si>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</si>
  <si>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</si>
  <si>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</si>
  <si>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</si>
  <si>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</si>
  <si>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</si>
  <si>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</si>
  <si>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</si>
  <si>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</si>
  <si>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</si>
  <si>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</si>
  <si>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</si>
  <si>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</si>
  <si>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</si>
  <si>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</si>
  <si>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</si>
  <si>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</si>
  <si>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</si>
  <si>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</si>
  <si>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</si>
  <si>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</si>
  <si>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</si>
  <si>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</si>
  <si>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</si>
  <si>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</si>
  <si>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</si>
  <si>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</si>
  <si>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</si>
  <si>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</si>
  <si>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</si>
  <si>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</si>
  <si>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</si>
  <si>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</si>
  <si>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</si>
  <si>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</si>
  <si>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</si>
  <si>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</si>
  <si>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</si>
  <si>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</si>
  <si>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</si>
  <si>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</si>
  <si>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</si>
  <si>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</si>
  <si>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</si>
  <si>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</si>
  <si>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</si>
  <si>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</si>
  <si>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</si>
  <si>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</si>
  <si>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</si>
  <si>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</si>
  <si>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</si>
  <si>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</si>
  <si>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</si>
  <si>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</si>
  <si>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</si>
  <si>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</si>
  <si>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</si>
  <si>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</si>
  <si>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</si>
  <si>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</si>
  <si>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</si>
  <si>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</si>
  <si>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</si>
  <si>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</si>
  <si>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</si>
  <si>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</si>
  <si>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</si>
  <si>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</si>
  <si>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</si>
  <si>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</si>
  <si>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</si>
  <si>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</si>
  <si>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</si>
  <si>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</si>
  <si>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</si>
  <si>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</si>
  <si>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</si>
  <si>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</si>
  <si>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</si>
  <si>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</si>
  <si>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</si>
  <si>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</si>
  <si>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</si>
  <si>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</si>
  <si>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</si>
  <si>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</si>
  <si>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</si>
  <si>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</si>
  <si>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</si>
  <si>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</si>
  <si>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</si>
  <si>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</si>
  <si>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</si>
  <si>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</si>
  <si>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</si>
  <si>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</si>
  <si>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</si>
  <si>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</si>
  <si>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</si>
  <si>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</si>
  <si>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</si>
  <si>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</si>
  <si>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</si>
  <si>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</si>
  <si>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</si>
  <si>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</si>
  <si>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</si>
  <si>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</si>
  <si>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</si>
  <si>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</si>
  <si>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</si>
  <si>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</si>
  <si>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</si>
  <si>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</si>
  <si>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</si>
  <si>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</si>
  <si>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</si>
  <si>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</si>
  <si>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</si>
  <si>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</si>
  <si>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</si>
  <si>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</si>
  <si>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</si>
  <si>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</si>
  <si>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</si>
  <si>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</si>
  <si>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</si>
  <si>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</si>
  <si>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</si>
  <si>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</si>
  <si>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</si>
  <si>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</si>
  <si>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</si>
  <si>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</si>
  <si>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</si>
  <si>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</si>
  <si>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</si>
  <si>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</si>
  <si>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</si>
  <si>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</si>
  <si>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</si>
  <si>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</si>
  <si>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</si>
  <si>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</si>
  <si>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</si>
  <si>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</si>
  <si>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</si>
  <si>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</si>
  <si>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</si>
  <si>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</si>
  <si>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</si>
  <si>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</si>
  <si>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</si>
  <si>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</si>
  <si>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</si>
  <si>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</si>
  <si>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</si>
  <si>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</si>
  <si>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</si>
  <si>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</si>
  <si>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</si>
  <si>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</si>
  <si>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</si>
  <si>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</si>
  <si>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</si>
  <si>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</si>
  <si>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</si>
  <si>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</si>
  <si>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</si>
  <si>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</si>
  <si>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</si>
  <si>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</si>
  <si>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</si>
  <si>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</si>
  <si>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</si>
  <si>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</si>
  <si>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</si>
  <si>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</si>
  <si>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</si>
  <si>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</si>
  <si>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</si>
  <si>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</si>
  <si>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</si>
  <si>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</si>
  <si>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</si>
  <si>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</si>
  <si>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</si>
  <si>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</si>
  <si>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</si>
  <si>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</si>
  <si>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</si>
  <si>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</si>
  <si>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</si>
  <si>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</si>
  <si>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</si>
  <si>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</si>
  <si>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</si>
  <si>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</si>
  <si>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</si>
  <si>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</si>
  <si>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</si>
  <si>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</si>
  <si>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</si>
  <si>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</si>
  <si>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</si>
  <si>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</si>
  <si>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</si>
  <si>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</si>
  <si>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</si>
  <si>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</si>
  <si>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</si>
  <si>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</si>
  <si>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</si>
  <si>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</si>
  <si>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</si>
  <si>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</si>
  <si>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</si>
  <si>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</si>
  <si>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</si>
  <si>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</si>
  <si>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</si>
  <si>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</si>
  <si>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</si>
  <si>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</si>
  <si>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</si>
  <si>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</si>
  <si>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</si>
  <si>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</si>
  <si>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</si>
  <si>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</si>
  <si>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</si>
  <si>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</si>
  <si>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</si>
  <si>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</si>
  <si>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</si>
  <si>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</si>
  <si>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</si>
  <si>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</si>
  <si>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</si>
  <si>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</si>
  <si>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</si>
  <si>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</si>
  <si>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</si>
  <si>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</si>
  <si>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</si>
  <si>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</si>
  <si>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</si>
  <si>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</si>
  <si>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</si>
  <si>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</si>
  <si>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</si>
  <si>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</si>
  <si>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</si>
  <si>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</si>
  <si>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</si>
  <si>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</si>
  <si>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</si>
  <si>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</si>
  <si>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</si>
  <si>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</si>
  <si>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</si>
  <si>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</si>
  <si>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</si>
  <si>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</si>
  <si>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</si>
  <si>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</si>
  <si>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</si>
  <si>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</si>
  <si>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</si>
  <si>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</si>
  <si>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</si>
  <si>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</si>
  <si>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</si>
  <si>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</si>
  <si>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</si>
  <si>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</si>
  <si>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</si>
  <si>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</si>
  <si>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</si>
  <si>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</si>
  <si>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</si>
  <si>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</si>
  <si>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</si>
  <si>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</si>
  <si>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</si>
  <si>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</si>
  <si>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</si>
  <si>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</si>
  <si>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</si>
  <si>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</si>
  <si>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</si>
  <si>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</si>
  <si>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</si>
  <si>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</si>
  <si>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</si>
  <si>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</si>
  <si>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</si>
  <si>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</si>
  <si>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</si>
  <si>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</si>
  <si>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</si>
  <si>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</si>
  <si>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</si>
  <si>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</si>
  <si>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</si>
  <si>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</si>
  <si>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</si>
  <si>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</si>
  <si>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</si>
  <si>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</si>
  <si>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</si>
  <si>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</si>
  <si>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</si>
  <si>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</si>
  <si>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</si>
  <si>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</si>
  <si>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</si>
  <si>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</si>
  <si>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</si>
  <si>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</si>
  <si>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</si>
  <si>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</si>
  <si>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</si>
  <si>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</si>
  <si>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</si>
  <si>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</si>
  <si>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</si>
  <si>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</si>
  <si>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</si>
  <si>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</si>
  <si>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</si>
  <si>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</si>
  <si>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</si>
  <si>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</si>
  <si>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</si>
  <si>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</si>
  <si>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</si>
  <si>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</si>
  <si>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</si>
  <si>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</si>
  <si>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</si>
  <si>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</si>
  <si>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</si>
  <si>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</si>
  <si>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</si>
  <si>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</si>
  <si>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</si>
  <si>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</si>
  <si>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</si>
  <si>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</si>
  <si>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</si>
  <si>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</si>
  <si>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</si>
  <si>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</si>
  <si>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</si>
  <si>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</si>
  <si>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</si>
  <si>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</si>
  <si>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</si>
  <si>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</si>
  <si>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</si>
  <si>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</si>
  <si>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</si>
  <si>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</si>
  <si>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</si>
  <si>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</si>
  <si>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</si>
  <si>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</si>
  <si>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</si>
  <si>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</si>
  <si>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</si>
  <si>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</si>
  <si>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</si>
  <si>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</si>
  <si>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</si>
  <si>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</si>
  <si>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</si>
  <si>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</si>
  <si>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</si>
  <si>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</si>
  <si>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</si>
  <si>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</si>
  <si>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</si>
  <si>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</si>
  <si>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</si>
  <si>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</si>
  <si>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</si>
  <si>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</si>
  <si>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</si>
  <si>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</si>
  <si>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</si>
  <si>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</si>
  <si>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</si>
  <si>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</si>
  <si>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</si>
  <si>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</si>
  <si>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</si>
  <si>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</si>
  <si>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</si>
  <si>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</si>
  <si>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</si>
  <si>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</si>
  <si>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</si>
  <si>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</si>
  <si>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</si>
  <si>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</si>
  <si>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</si>
  <si>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</si>
  <si>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</si>
  <si>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</si>
  <si>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</si>
  <si>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</si>
  <si>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</si>
  <si>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</si>
  <si>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</si>
  <si>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</si>
  <si>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</si>
  <si>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</si>
  <si>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</si>
  <si>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</si>
  <si>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</si>
  <si>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</si>
  <si>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</si>
  <si>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</si>
  <si>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</si>
  <si>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</si>
  <si>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</si>
  <si>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</si>
  <si>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</si>
  <si>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</si>
  <si>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</si>
  <si>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</si>
  <si>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</si>
  <si>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</si>
  <si>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</si>
  <si>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</si>
  <si>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</si>
  <si>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</si>
  <si>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</si>
  <si>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</si>
  <si>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</si>
  <si>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</si>
  <si>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</si>
  <si>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</si>
  <si>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</si>
  <si>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</si>
  <si>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</si>
  <si>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</si>
  <si>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</si>
  <si>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</si>
  <si>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</si>
  <si>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</si>
  <si>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</si>
  <si>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</si>
  <si>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</si>
  <si>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</si>
  <si>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</si>
  <si>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</si>
  <si>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</si>
  <si>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</si>
  <si>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</si>
  <si>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</si>
  <si>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</si>
  <si>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</si>
  <si>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</si>
  <si>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</si>
  <si>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</si>
  <si>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</si>
  <si>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</si>
  <si>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</si>
  <si>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</si>
  <si>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</si>
  <si>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</si>
  <si>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</si>
  <si>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</si>
  <si>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</si>
  <si>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</si>
  <si>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</si>
  <si>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</si>
  <si>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</si>
  <si>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</si>
  <si>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</si>
  <si>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</si>
  <si>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</si>
  <si>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</si>
  <si>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</si>
  <si>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</si>
  <si>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</si>
  <si>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</si>
  <si>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</si>
  <si>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</si>
  <si>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</si>
  <si>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</si>
  <si>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</si>
  <si>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</si>
  <si>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</si>
  <si>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</si>
  <si>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</si>
  <si>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</si>
  <si>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</si>
  <si>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</si>
  <si>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</si>
  <si>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</si>
  <si>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</si>
  <si>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</si>
  <si>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</si>
  <si>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</si>
  <si>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</si>
  <si>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</si>
  <si>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</si>
  <si>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</si>
  <si>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</si>
  <si>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</si>
  <si>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</si>
  <si>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</si>
  <si>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</si>
  <si>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</si>
  <si>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</si>
  <si>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</si>
  <si>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</si>
  <si>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</si>
  <si>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</si>
  <si>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</si>
  <si>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</si>
  <si>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</si>
  <si>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</si>
  <si>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</si>
  <si>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</si>
  <si>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</si>
  <si>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</si>
  <si>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</si>
  <si>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</si>
  <si>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</si>
  <si>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</si>
  <si>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</si>
  <si>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</si>
  <si>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</si>
  <si>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</si>
  <si>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</si>
  <si>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</si>
  <si>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</si>
  <si>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</si>
  <si>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</si>
  <si>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</si>
  <si>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</si>
  <si>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</si>
  <si>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</si>
  <si>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</si>
  <si>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</si>
  <si>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</si>
  <si>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</si>
  <si>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</si>
  <si>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</si>
  <si>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</si>
  <si>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</si>
  <si>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</si>
  <si>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</si>
  <si>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</si>
  <si>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</si>
  <si>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</si>
  <si>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</si>
  <si>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</si>
  <si>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</si>
  <si>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</si>
  <si>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</si>
  <si>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</si>
  <si>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</si>
  <si>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</si>
  <si>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</si>
  <si>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</si>
  <si>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</si>
  <si>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</si>
  <si>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</si>
  <si>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</si>
  <si>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</si>
  <si>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</si>
  <si>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</si>
  <si>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</si>
  <si>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</si>
  <si>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</si>
  <si>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</si>
  <si>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</si>
  <si>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</si>
  <si>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</si>
  <si>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</si>
  <si>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</si>
  <si>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</si>
  <si>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</si>
  <si>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</si>
  <si>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</si>
  <si>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</si>
  <si>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</si>
  <si>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</si>
  <si>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</si>
  <si>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</si>
  <si>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</si>
  <si>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</si>
  <si>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</si>
  <si>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</si>
  <si>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</si>
  <si>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</si>
  <si>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</si>
  <si>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</si>
  <si>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</si>
  <si>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</si>
  <si>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</si>
  <si>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</si>
  <si>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</si>
  <si>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</si>
  <si>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</si>
  <si>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</si>
  <si>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</si>
  <si>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</si>
  <si>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</si>
  <si>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</si>
  <si>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</si>
  <si>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</si>
  <si>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</si>
  <si>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</si>
  <si>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</si>
  <si>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</si>
  <si>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</si>
  <si>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</si>
  <si>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</si>
  <si>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</si>
  <si>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</si>
  <si>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</si>
  <si>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</si>
  <si>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</si>
  <si>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</si>
  <si>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</si>
  <si>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</si>
  <si>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</si>
  <si>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</si>
  <si>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</si>
  <si>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</si>
  <si>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</si>
  <si>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</si>
  <si>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</si>
  <si>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</si>
  <si>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</si>
  <si>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</si>
  <si>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</si>
  <si>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</si>
  <si>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</si>
  <si>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</si>
  <si>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</si>
  <si>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</si>
  <si>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</si>
  <si>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</si>
  <si>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</si>
  <si>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</si>
  <si>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</si>
  <si>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</si>
  <si>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</si>
  <si>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</si>
  <si>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</si>
  <si>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</si>
  <si>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</si>
  <si>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</si>
  <si>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</si>
  <si>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</si>
  <si>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</si>
  <si>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</si>
  <si>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</si>
  <si>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</si>
  <si>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</si>
  <si>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</si>
  <si>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</si>
  <si>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</si>
  <si>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</si>
  <si>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</si>
  <si>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</si>
  <si>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</si>
  <si>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</si>
  <si>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</si>
  <si>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</si>
  <si>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</si>
  <si>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</si>
  <si>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</si>
  <si>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</si>
  <si>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</si>
  <si>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</si>
  <si>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</si>
  <si>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</si>
  <si>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</si>
  <si>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</si>
  <si>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</si>
  <si>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</si>
  <si>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</si>
  <si>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</si>
  <si>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</si>
  <si>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</si>
  <si>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</si>
  <si>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</si>
  <si>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</si>
  <si>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</si>
  <si>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</si>
  <si>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</si>
  <si>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</si>
  <si>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</si>
  <si>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</si>
  <si>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</si>
  <si>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</si>
  <si>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</si>
  <si>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</si>
  <si>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</si>
  <si>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</si>
  <si>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</si>
  <si>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</si>
  <si>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</si>
  <si>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</si>
  <si>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</si>
  <si>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</si>
  <si>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</si>
  <si>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</si>
  <si>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</si>
  <si>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</si>
  <si>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</si>
  <si>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</si>
  <si>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</si>
  <si>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</si>
  <si>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</si>
  <si>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</si>
  <si>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</si>
  <si>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</si>
  <si>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</si>
  <si>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</si>
  <si>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</si>
  <si>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</si>
  <si>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</si>
  <si>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</si>
  <si>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</si>
  <si>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</si>
  <si>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</si>
  <si>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</si>
  <si>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</si>
  <si>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</si>
  <si>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</si>
  <si>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</si>
  <si>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</si>
  <si>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</si>
  <si>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</si>
  <si>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</si>
  <si>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</si>
  <si>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</si>
  <si>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</si>
  <si>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</si>
  <si>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</si>
  <si>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</si>
  <si>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</si>
  <si>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</si>
  <si>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</si>
  <si>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</si>
  <si>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</si>
  <si>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</si>
  <si>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</si>
  <si>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</si>
  <si>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</si>
  <si>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</si>
  <si>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</si>
  <si>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</si>
  <si>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</si>
  <si>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</si>
  <si>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</si>
  <si>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</si>
  <si>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</si>
  <si>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</si>
  <si>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</si>
  <si>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</si>
  <si>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</si>
  <si>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</si>
  <si>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</si>
  <si>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</si>
  <si>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</si>
  <si>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</si>
  <si>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</si>
  <si>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</si>
  <si>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</si>
  <si>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</si>
  <si>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</si>
  <si>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</si>
  <si>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</si>
  <si>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</si>
  <si>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</si>
  <si>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</si>
  <si>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</si>
  <si>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</si>
  <si>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</si>
  <si>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</si>
  <si>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</si>
  <si>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</si>
  <si>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</si>
  <si>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</si>
  <si>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</si>
  <si>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</si>
  <si>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</si>
  <si>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</si>
  <si>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</si>
  <si>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</si>
  <si>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</si>
  <si>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</si>
  <si>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</si>
  <si>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</si>
  <si>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</si>
  <si>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</si>
  <si>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</si>
  <si>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</si>
  <si>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</si>
  <si>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</si>
  <si>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</si>
  <si>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</si>
  <si>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</si>
  <si>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</si>
  <si>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</si>
  <si>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</si>
  <si>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</si>
  <si>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</si>
  <si>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</si>
  <si>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</si>
  <si>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</si>
  <si>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</si>
  <si>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</si>
  <si>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</si>
  <si>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</si>
  <si>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</si>
  <si>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</si>
  <si>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</si>
  <si>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</si>
  <si>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</si>
  <si>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</si>
  <si>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</si>
  <si>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</si>
  <si>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</si>
  <si>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</si>
  <si>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</si>
  <si>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</si>
  <si>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</si>
  <si>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</si>
  <si>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</si>
  <si>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</si>
  <si>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</si>
  <si>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</si>
  <si>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</si>
  <si>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</si>
  <si>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</si>
  <si>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</si>
  <si>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</si>
  <si>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</si>
  <si>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</si>
  <si>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</si>
  <si>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</si>
  <si>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</si>
  <si>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</si>
  <si>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</si>
  <si>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</si>
  <si>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</si>
  <si>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</si>
  <si>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</si>
  <si>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</si>
  <si>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</si>
  <si>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</si>
  <si>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</si>
  <si>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</si>
  <si>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</si>
  <si>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</si>
  <si>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</si>
  <si>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</si>
  <si>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</si>
  <si>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</si>
  <si>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</si>
  <si>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</si>
  <si>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</si>
  <si>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</si>
  <si>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</si>
  <si>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</si>
  <si>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</si>
  <si>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</si>
  <si>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</si>
  <si>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</si>
  <si>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</si>
  <si>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</si>
  <si>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</si>
  <si>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</si>
  <si>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</si>
  <si>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</si>
  <si>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</si>
  <si>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</si>
  <si>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</si>
  <si>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</si>
  <si>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</si>
  <si>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</si>
  <si>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</si>
  <si>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</si>
  <si>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</si>
  <si>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</si>
  <si>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</si>
  <si>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</si>
  <si>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</si>
  <si>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</si>
  <si>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</si>
  <si>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</si>
  <si>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</si>
  <si>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</si>
  <si>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</si>
  <si>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</si>
  <si>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</si>
  <si>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</si>
  <si>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</si>
  <si>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</si>
  <si>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</si>
  <si>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</si>
  <si>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</si>
  <si>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</si>
  <si>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</si>
  <si>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</si>
  <si>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</si>
  <si>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</si>
  <si>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</si>
  <si>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</si>
  <si>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</si>
  <si>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</si>
  <si>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</si>
  <si>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</si>
  <si>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</si>
  <si>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</si>
  <si>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</si>
  <si>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</si>
  <si>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</si>
  <si>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</si>
  <si>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</si>
  <si>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</si>
  <si>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</si>
  <si>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</si>
  <si>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</si>
  <si>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</si>
  <si>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</si>
  <si>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</si>
  <si>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</si>
  <si>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</si>
  <si>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</si>
  <si>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</si>
  <si>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</si>
  <si>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</si>
  <si>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</si>
  <si>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</si>
  <si>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</si>
  <si>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</si>
  <si>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</si>
  <si>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</si>
  <si>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</si>
  <si>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</si>
  <si>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</si>
  <si>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</si>
  <si>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</si>
  <si>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</si>
  <si>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</si>
  <si>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</si>
  <si>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</si>
  <si>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</si>
  <si>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</si>
  <si>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</si>
  <si>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</si>
  <si>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</si>
  <si>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</si>
  <si>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</si>
  <si>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</si>
  <si>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</si>
  <si>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</si>
  <si>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</si>
  <si>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</si>
  <si>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</si>
  <si>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</si>
  <si>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</si>
  <si>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</si>
  <si>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</si>
  <si>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</si>
  <si>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</si>
  <si>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</si>
  <si>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</si>
  <si>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</si>
  <si>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</si>
  <si>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</si>
  <si>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</si>
  <si>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</si>
  <si>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</si>
  <si>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</si>
  <si>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</si>
  <si>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</si>
  <si>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</si>
  <si>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</si>
  <si>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</si>
  <si>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</si>
  <si>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</si>
  <si>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</si>
  <si>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</si>
  <si>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</si>
  <si>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</si>
  <si>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</si>
  <si>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</si>
  <si>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</si>
  <si>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</si>
  <si>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</si>
  <si>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</si>
  <si>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</si>
  <si>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</si>
  <si>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</si>
  <si>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</si>
  <si>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</si>
  <si>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</si>
  <si>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</si>
  <si>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</si>
  <si>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</si>
  <si>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</si>
  <si>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</si>
  <si>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</si>
  <si>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</si>
  <si>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</si>
  <si>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</si>
  <si>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</si>
  <si>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</si>
  <si>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</si>
  <si>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</si>
  <si>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</si>
  <si>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</si>
  <si>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</si>
  <si>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</si>
  <si>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</si>
  <si>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</si>
  <si>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</si>
  <si>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</si>
  <si>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</si>
  <si>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</si>
  <si>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</si>
  <si>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</si>
  <si>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</si>
  <si>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</si>
  <si>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</si>
  <si>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</si>
  <si>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</si>
  <si>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</si>
  <si>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</si>
  <si>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</si>
  <si>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</si>
  <si>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</si>
  <si>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</si>
  <si>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</si>
  <si>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</si>
  <si>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</si>
  <si>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</si>
  <si>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</si>
  <si>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</si>
  <si>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</si>
  <si>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</si>
  <si>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</si>
  <si>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</si>
  <si>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</si>
  <si>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</si>
  <si>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</si>
  <si>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</si>
  <si>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</si>
  <si>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</si>
  <si>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</si>
  <si>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</si>
  <si>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</si>
  <si>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</si>
  <si>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</si>
  <si>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</si>
  <si>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</si>
  <si>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</si>
  <si>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</si>
  <si>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</si>
  <si>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</si>
  <si>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</si>
  <si>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</si>
  <si>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</si>
  <si>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</si>
  <si>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</si>
  <si>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</si>
  <si>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</si>
  <si>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</si>
  <si>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</si>
  <si>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</si>
  <si>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</si>
  <si>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</si>
  <si>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</si>
  <si>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</si>
  <si>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</si>
  <si>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</si>
  <si>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</si>
  <si>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</si>
  <si>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</si>
  <si>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</si>
  <si>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</si>
  <si>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</si>
  <si>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</si>
  <si>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</si>
  <si>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</si>
  <si>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</si>
  <si>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</si>
  <si>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</si>
  <si>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</si>
  <si>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</si>
  <si>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</si>
  <si>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</si>
  <si>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</si>
  <si>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</si>
  <si>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</si>
  <si>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</si>
  <si>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</si>
  <si>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</si>
  <si>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</si>
  <si>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</si>
  <si>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</si>
  <si>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</si>
  <si>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</si>
  <si>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</si>
  <si>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</si>
  <si>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</si>
  <si>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</si>
  <si>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</si>
  <si>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</si>
  <si>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</si>
  <si>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</si>
  <si>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</si>
  <si>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</si>
  <si>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</si>
  <si>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</si>
  <si>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</si>
  <si>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</si>
  <si>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</si>
  <si>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</si>
  <si>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</si>
  <si>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</si>
  <si>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</si>
  <si>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</si>
  <si>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</si>
  <si>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</si>
  <si>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</si>
  <si>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</si>
  <si>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</si>
  <si>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</si>
  <si>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</si>
  <si>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</si>
  <si>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</si>
  <si>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</si>
  <si>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</si>
  <si>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</si>
  <si>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</si>
  <si>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</si>
  <si>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</si>
  <si>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</si>
  <si>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</si>
  <si>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</si>
  <si>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</si>
  <si>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</si>
  <si>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</si>
  <si>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</si>
  <si>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</si>
  <si>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</si>
  <si>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</si>
  <si>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</si>
  <si>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</si>
  <si>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</si>
  <si>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</si>
  <si>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</si>
  <si>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</si>
  <si>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</si>
  <si>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</si>
  <si>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</si>
  <si>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</si>
  <si>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</si>
  <si>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</si>
  <si>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</si>
  <si>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</si>
  <si>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</si>
  <si>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</si>
  <si>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</si>
  <si>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</si>
  <si>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</si>
  <si>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</si>
  <si>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</si>
  <si>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</si>
  <si>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</si>
  <si>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</si>
  <si>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</si>
  <si>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</si>
  <si>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</si>
  <si>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</si>
  <si>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</si>
  <si>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</si>
  <si>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</si>
  <si>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</si>
  <si>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</si>
  <si>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</si>
  <si>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</si>
  <si>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</si>
  <si>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</si>
  <si>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</si>
  <si>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</si>
  <si>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</si>
  <si>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</si>
  <si>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</si>
  <si>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</si>
  <si>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</si>
  <si>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</si>
  <si>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</si>
  <si>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</si>
  <si>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</si>
  <si>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</si>
  <si>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</si>
  <si>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</si>
  <si>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</si>
  <si>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</si>
  <si>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</si>
  <si>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</si>
  <si>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</si>
  <si>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</si>
  <si>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</si>
  <si>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</si>
  <si>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</si>
  <si>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</si>
  <si>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</si>
  <si>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</si>
  <si>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</si>
  <si>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</si>
  <si>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</si>
  <si>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</si>
  <si>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</si>
  <si>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</si>
  <si>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</si>
  <si>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</si>
  <si>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</si>
  <si>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</si>
  <si>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</si>
  <si>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</si>
  <si>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</si>
  <si>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</si>
  <si>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</si>
  <si>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</si>
  <si>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</si>
  <si>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</si>
  <si>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</si>
  <si>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</si>
  <si>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</si>
  <si>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</si>
  <si>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</si>
  <si>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</si>
  <si>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</si>
  <si>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</si>
  <si>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</si>
  <si>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</si>
  <si>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</si>
  <si>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</si>
  <si>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</si>
  <si>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</si>
  <si>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</si>
  <si>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</si>
  <si>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</si>
  <si>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</si>
  <si>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</si>
  <si>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</si>
  <si>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</si>
  <si>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</si>
  <si>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</si>
  <si>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</si>
  <si>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</si>
  <si>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</si>
  <si>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</si>
  <si>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</si>
  <si>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</si>
  <si>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</si>
  <si>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</si>
  <si>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</si>
  <si>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</si>
  <si>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</si>
  <si>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</si>
  <si>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</si>
  <si>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</si>
  <si>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</si>
  <si>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</si>
  <si>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</si>
  <si>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</si>
  <si>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</si>
  <si>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</si>
  <si>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</si>
  <si>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</si>
  <si>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</si>
  <si>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</si>
  <si>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</si>
  <si>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</si>
  <si>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</si>
  <si>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</si>
  <si>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</si>
  <si>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</si>
  <si>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</si>
  <si>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</si>
  <si>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</si>
  <si>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</si>
  <si>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</si>
  <si>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</si>
  <si>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</si>
  <si>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</si>
  <si>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</si>
  <si>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</si>
  <si>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</si>
  <si>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</si>
  <si>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</si>
  <si>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</si>
  <si>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</si>
  <si>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</si>
  <si>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</si>
  <si>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</si>
  <si>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</si>
  <si>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</si>
  <si>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</si>
  <si>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</si>
  <si>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</si>
  <si>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</si>
  <si>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</si>
  <si>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</si>
  <si>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</si>
  <si>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</si>
  <si>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</si>
  <si>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</si>
  <si>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</si>
  <si>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</si>
  <si>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</si>
  <si>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</si>
  <si>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</si>
  <si>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</si>
  <si>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</si>
  <si>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</si>
  <si>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</si>
  <si>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</si>
  <si>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</si>
  <si>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</si>
  <si>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</si>
  <si>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</si>
  <si>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</si>
  <si>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</si>
  <si>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</si>
  <si>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</si>
  <si>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</si>
  <si>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</si>
  <si>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</si>
  <si>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</si>
  <si>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</si>
  <si>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</si>
  <si>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</si>
  <si>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</si>
  <si>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</si>
  <si>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</si>
  <si>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</si>
  <si>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</si>
  <si>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</si>
  <si>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</si>
  <si>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</si>
  <si>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</si>
  <si>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</si>
  <si>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</si>
  <si>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</si>
  <si>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</si>
  <si>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</si>
  <si>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</si>
  <si>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</si>
  <si>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</si>
  <si>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</si>
  <si>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</si>
  <si>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</si>
  <si>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</si>
  <si>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</si>
  <si>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</si>
  <si>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</si>
  <si>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</si>
  <si>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</si>
  <si>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</si>
  <si>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</si>
  <si>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</si>
  <si>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</si>
  <si>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</si>
  <si>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</si>
  <si>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</si>
  <si>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</si>
  <si>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</si>
  <si>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</si>
  <si>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</si>
  <si>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</si>
  <si>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</si>
  <si>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</si>
  <si>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</si>
  <si>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</si>
  <si>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</si>
  <si>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</si>
  <si>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</si>
  <si>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</si>
  <si>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</si>
  <si>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</si>
  <si>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</si>
  <si>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</si>
  <si>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</si>
  <si>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</si>
  <si>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</si>
  <si>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</si>
  <si>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</si>
  <si>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</si>
  <si>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</si>
  <si>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</si>
  <si>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</si>
  <si>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</si>
  <si>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</si>
  <si>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</si>
  <si>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</si>
  <si>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</si>
  <si>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</si>
  <si>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</si>
  <si>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</si>
  <si>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</si>
  <si>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</si>
  <si>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</si>
  <si>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</si>
  <si>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</si>
  <si>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</si>
  <si>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</si>
  <si>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</si>
  <si>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</si>
  <si>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</si>
  <si>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</si>
  <si>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</si>
  <si>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</si>
  <si>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</si>
  <si>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</si>
  <si>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</si>
  <si>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</si>
  <si>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</si>
  <si>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</si>
  <si>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</si>
  <si>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</si>
  <si>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</si>
  <si>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</si>
  <si>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</si>
  <si>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</si>
  <si>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</si>
  <si>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</si>
  <si>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</si>
  <si>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</si>
  <si>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</si>
  <si>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</si>
  <si>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</si>
  <si>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</si>
  <si>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</si>
  <si>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</si>
  <si>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</si>
  <si>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</si>
  <si>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</si>
  <si>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</si>
  <si>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</si>
  <si>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</si>
  <si>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</si>
  <si>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</si>
  <si>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</si>
  <si>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</si>
  <si>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</si>
  <si>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</si>
  <si>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</si>
  <si>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</si>
  <si>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</si>
  <si>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</si>
  <si>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</si>
  <si>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</si>
  <si>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</si>
  <si>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</si>
  <si>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</si>
  <si>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</si>
  <si>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</si>
  <si>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</si>
  <si>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</si>
  <si>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</si>
  <si>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</si>
  <si>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</si>
  <si>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</si>
  <si>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</si>
  <si>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</si>
  <si>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</si>
  <si>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</si>
  <si>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</si>
  <si>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</si>
  <si>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</si>
  <si>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</si>
  <si>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</si>
  <si>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</si>
  <si>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</si>
  <si>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</si>
  <si>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</si>
  <si>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</si>
  <si>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</si>
  <si>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</si>
  <si>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</si>
  <si>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</si>
  <si>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</si>
  <si>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</si>
  <si>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</si>
  <si>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</si>
  <si>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</si>
  <si>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</si>
  <si>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</si>
  <si>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</si>
  <si>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</si>
  <si>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</si>
  <si>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</si>
  <si>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</si>
  <si>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</si>
  <si>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</si>
  <si>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</si>
  <si>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</si>
  <si>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</si>
  <si>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</si>
  <si>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</si>
  <si>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</si>
  <si>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</si>
  <si>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</si>
  <si>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</si>
  <si>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</si>
  <si>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</si>
  <si>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</si>
  <si>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</si>
  <si>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</si>
  <si>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</si>
  <si>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</si>
  <si>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</si>
  <si>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</si>
  <si>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</si>
  <si>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</si>
  <si>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</si>
  <si>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</si>
  <si>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</si>
  <si>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</si>
  <si>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</si>
  <si>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</si>
  <si>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</si>
  <si>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</si>
  <si>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</si>
  <si>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</si>
  <si>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</si>
  <si>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</si>
  <si>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</si>
  <si>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</si>
  <si>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</si>
  <si>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</si>
  <si>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</si>
  <si>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</si>
  <si>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</si>
  <si>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</si>
  <si>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</si>
  <si>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</si>
  <si>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</si>
  <si>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</si>
  <si>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</si>
  <si>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</si>
  <si>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</si>
  <si>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</si>
  <si>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</si>
  <si>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</si>
  <si>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</si>
  <si>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</si>
  <si>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</si>
  <si>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</si>
  <si>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</si>
  <si>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</si>
  <si>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</si>
  <si>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</si>
  <si>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</si>
  <si>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</si>
  <si>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</si>
  <si>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</si>
  <si>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</si>
  <si>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</si>
  <si>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</si>
  <si>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</si>
  <si>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</si>
  <si>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</si>
  <si>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</si>
  <si>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</si>
  <si>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</si>
  <si>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</si>
  <si>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</si>
  <si>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</si>
  <si>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</si>
  <si>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</si>
  <si>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</si>
  <si>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</si>
  <si>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</si>
  <si>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</si>
  <si>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</si>
  <si>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</si>
  <si>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</si>
  <si>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</si>
  <si>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</si>
  <si>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</si>
  <si>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</si>
  <si>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</si>
  <si>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</si>
  <si>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</si>
  <si>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</si>
  <si>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</si>
  <si>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</si>
  <si>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</si>
  <si>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</si>
  <si>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</si>
  <si>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</si>
  <si>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</si>
  <si>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</si>
  <si>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</si>
  <si>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</si>
  <si>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</si>
  <si>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</si>
  <si>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</si>
  <si>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</si>
  <si>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</si>
  <si>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</si>
  <si>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</si>
  <si>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</si>
  <si>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</si>
  <si>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</si>
  <si>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</si>
  <si>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</si>
  <si>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</si>
  <si>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</si>
  <si>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</si>
  <si>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</si>
  <si>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</si>
  <si>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</si>
  <si>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</si>
  <si>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</si>
  <si>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</si>
  <si>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</si>
  <si>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</si>
  <si>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</si>
  <si>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</si>
  <si>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</si>
  <si>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</si>
  <si>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</si>
  <si>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</si>
  <si>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</si>
  <si>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</si>
  <si>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</si>
  <si>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</si>
  <si>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</si>
  <si>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</si>
  <si>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</si>
  <si>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</si>
  <si>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</si>
  <si>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</si>
  <si>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</si>
  <si>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</si>
  <si>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</si>
  <si>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</si>
  <si>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</si>
  <si>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</si>
  <si>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</si>
  <si>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</si>
  <si>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</si>
  <si>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</si>
  <si>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</si>
  <si>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</si>
  <si>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</si>
  <si>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</si>
  <si>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</si>
  <si>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</si>
  <si>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</si>
  <si>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</si>
  <si>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</si>
  <si>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</si>
  <si>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</si>
  <si>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</si>
  <si>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</si>
  <si>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</si>
  <si>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</si>
  <si>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</si>
  <si>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</si>
  <si>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</si>
  <si>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</si>
  <si>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</si>
  <si>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</si>
  <si>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</si>
  <si>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</si>
  <si>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</si>
  <si>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</si>
  <si>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</si>
  <si>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</si>
  <si>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</si>
  <si>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</si>
  <si>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</si>
  <si>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</si>
  <si>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</si>
  <si>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</si>
  <si>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</si>
  <si>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</si>
  <si>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</si>
  <si>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</si>
  <si>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</si>
  <si>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</si>
  <si>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</si>
  <si>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</si>
  <si>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</si>
  <si>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</si>
  <si>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</si>
  <si>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</si>
  <si>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</si>
  <si>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</si>
  <si>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</si>
  <si>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</si>
  <si>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</si>
  <si>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</si>
  <si>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</si>
  <si>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</si>
  <si>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</si>
  <si>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</si>
  <si>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</si>
  <si>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</si>
  <si>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</si>
  <si>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</si>
  <si>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</si>
  <si>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</si>
  <si>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</si>
  <si>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</si>
  <si>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</si>
  <si>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</si>
  <si>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</si>
  <si>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</si>
  <si>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</si>
  <si>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</si>
  <si>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</si>
  <si>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</si>
  <si>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</si>
  <si>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</si>
  <si>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</si>
  <si>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</si>
  <si>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</si>
  <si>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</si>
  <si>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</si>
  <si>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</si>
  <si>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</si>
  <si>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</si>
  <si>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</si>
  <si>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</si>
  <si>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</si>
  <si>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</si>
  <si>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</si>
  <si>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</si>
  <si>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</si>
  <si>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</si>
  <si>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</si>
  <si>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</si>
  <si>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</si>
  <si>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</si>
  <si>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</si>
  <si>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</si>
  <si>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</si>
  <si>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</si>
  <si>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</si>
  <si>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</si>
  <si>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</si>
  <si>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</si>
  <si>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</si>
  <si>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</si>
  <si>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</si>
  <si>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</si>
  <si>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</si>
  <si>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</si>
  <si>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</si>
  <si>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</si>
  <si>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</si>
  <si>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</si>
  <si>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</si>
  <si>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</si>
  <si>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</si>
  <si>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</si>
  <si>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</si>
  <si>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</si>
  <si>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</si>
  <si>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</si>
  <si>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</si>
  <si>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</si>
  <si>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</si>
  <si>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</si>
  <si>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</si>
  <si>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</si>
  <si>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</si>
  <si>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</si>
  <si>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</si>
  <si>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</si>
  <si>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</si>
  <si>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</si>
  <si>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</si>
  <si>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</si>
  <si>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</si>
  <si>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</si>
  <si>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</si>
  <si>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</si>
  <si>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</si>
  <si>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</si>
  <si>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</si>
  <si>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</si>
  <si>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</si>
  <si>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</si>
  <si>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</si>
  <si>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</si>
  <si>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</si>
  <si>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</si>
  <si>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</si>
  <si>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</si>
  <si>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</si>
  <si>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</si>
  <si>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</si>
  <si>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</si>
  <si>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</si>
  <si>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</si>
  <si>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</si>
  <si>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</si>
  <si>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</si>
  <si>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</si>
  <si>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</si>
  <si>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</si>
  <si>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</si>
  <si>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</si>
  <si>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</si>
  <si>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</si>
  <si>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</si>
  <si>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</si>
  <si>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</si>
  <si>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</si>
  <si>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</si>
  <si>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</si>
  <si>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</si>
  <si>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</si>
  <si>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</si>
  <si>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</si>
  <si>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</si>
  <si>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</si>
  <si>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</si>
  <si>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</si>
  <si>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</si>
  <si>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</si>
  <si>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</si>
  <si>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</si>
  <si>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</si>
  <si>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</si>
  <si>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</si>
  <si>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</si>
  <si>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</si>
  <si>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</si>
  <si>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</si>
  <si>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</si>
  <si>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</si>
  <si>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</si>
  <si>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</si>
  <si>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</si>
  <si>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</si>
  <si>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</si>
  <si>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</si>
  <si>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</si>
  <si>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</si>
  <si>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</si>
  <si>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</si>
  <si>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</si>
  <si>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</si>
  <si>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</si>
  <si>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</si>
  <si>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</si>
  <si>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</si>
  <si>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</si>
  <si>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</si>
  <si>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</si>
  <si>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</si>
  <si>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</si>
  <si>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</si>
  <si>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</si>
  <si>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</si>
  <si>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</si>
  <si>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</si>
  <si>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</si>
  <si>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</si>
  <si>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</si>
  <si>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</si>
  <si>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</si>
  <si>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</si>
  <si>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</si>
  <si>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</si>
  <si>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</si>
  <si>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</si>
  <si>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</si>
  <si>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</si>
  <si>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</si>
  <si>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</si>
  <si>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</si>
  <si>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</si>
  <si>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</si>
  <si>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</si>
  <si>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</si>
  <si>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</si>
  <si>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</si>
  <si>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</si>
  <si>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</si>
  <si>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</si>
  <si>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</si>
  <si>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</si>
  <si>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</si>
  <si>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</si>
  <si>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</si>
  <si>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</si>
  <si>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</si>
  <si>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</si>
  <si>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</si>
  <si>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</si>
  <si>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</si>
  <si>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</si>
  <si>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</si>
  <si>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</si>
  <si>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</si>
  <si>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</si>
  <si>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</si>
  <si>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</si>
  <si>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</si>
  <si>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</si>
  <si>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</si>
  <si>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</si>
  <si>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</si>
  <si>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</si>
  <si>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</si>
  <si>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</si>
  <si>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</si>
  <si>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</si>
  <si>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</si>
  <si>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</si>
  <si>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</si>
  <si>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</si>
  <si>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</si>
  <si>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</si>
  <si>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</si>
  <si>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</si>
  <si>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</si>
  <si>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</si>
  <si>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</si>
  <si>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</si>
  <si>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</si>
  <si>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</si>
  <si>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</si>
  <si>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</si>
  <si>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</si>
  <si>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</si>
  <si>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</si>
  <si>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</si>
  <si>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</si>
  <si>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</si>
  <si>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</si>
  <si>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</si>
  <si>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</si>
  <si>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</si>
  <si>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</si>
  <si>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</si>
  <si>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</si>
  <si>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</si>
  <si>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</si>
  <si>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</si>
  <si>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</si>
  <si>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</si>
  <si>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</si>
  <si>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</si>
  <si>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</si>
  <si>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</si>
  <si>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</si>
  <si>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</si>
  <si>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</si>
  <si>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</si>
  <si>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</si>
  <si>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</si>
  <si>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</si>
  <si>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</si>
  <si>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</si>
  <si>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</si>
  <si>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</si>
  <si>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</si>
  <si>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</si>
  <si>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</si>
  <si>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</si>
  <si>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</si>
  <si>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</si>
  <si>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</si>
  <si>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</si>
  <si>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</si>
  <si>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</si>
  <si>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</si>
  <si>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</si>
  <si>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</si>
  <si>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</si>
  <si>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</si>
  <si>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</si>
  <si>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</si>
  <si>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</si>
  <si>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</si>
  <si>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</si>
  <si>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</si>
  <si>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</si>
  <si>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</si>
  <si>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</si>
  <si>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</si>
  <si>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</si>
  <si>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</si>
  <si>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</si>
  <si>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</si>
  <si>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</si>
  <si>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</si>
  <si>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</si>
  <si>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</si>
  <si>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</si>
  <si>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</si>
  <si>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</si>
  <si>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</si>
  <si>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</si>
  <si>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</si>
  <si>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</si>
  <si>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</si>
  <si>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</si>
  <si>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</si>
  <si>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</si>
  <si>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</si>
  <si>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</si>
  <si>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</si>
  <si>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</si>
  <si>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</si>
  <si>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</si>
  <si>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</si>
  <si>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</si>
  <si>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</si>
  <si>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</si>
  <si>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</si>
  <si>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</si>
  <si>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</si>
  <si>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</si>
  <si>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</si>
  <si>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</si>
  <si>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</si>
  <si>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</si>
  <si>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</si>
  <si>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</si>
  <si>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</si>
  <si>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</si>
  <si>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</si>
  <si>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</si>
  <si>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</si>
  <si>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</si>
  <si>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</si>
  <si>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</si>
  <si>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</si>
  <si>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</si>
  <si>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</si>
  <si>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</si>
  <si>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</si>
  <si>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</si>
  <si>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</si>
  <si>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</si>
  <si>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</si>
  <si>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</si>
  <si>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</si>
  <si>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</si>
  <si>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</si>
  <si>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</si>
  <si>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</si>
  <si>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</si>
  <si>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</si>
  <si>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</si>
  <si>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</si>
  <si>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</si>
  <si>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</si>
  <si>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</si>
  <si>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</si>
  <si>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</si>
  <si>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</si>
  <si>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</si>
  <si>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</si>
  <si>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</si>
  <si>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</si>
  <si>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</si>
  <si>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</si>
  <si>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</si>
  <si>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</si>
  <si>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</si>
  <si>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</si>
  <si>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</si>
  <si>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</si>
  <si>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</si>
  <si>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</si>
  <si>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</si>
  <si>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</si>
  <si>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</si>
  <si>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</si>
  <si>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</si>
  <si>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</si>
  <si>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</si>
  <si>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</si>
  <si>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</si>
  <si>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</si>
  <si>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</si>
  <si>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</si>
  <si>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</si>
  <si>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</si>
  <si>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</si>
  <si>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</si>
  <si>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</si>
  <si>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</si>
  <si>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</si>
  <si>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</si>
  <si>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</si>
  <si>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</si>
  <si>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</si>
  <si>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</si>
  <si>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</si>
  <si>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</si>
  <si>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</si>
  <si>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</si>
  <si>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</si>
  <si>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</si>
  <si>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</si>
  <si>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</si>
  <si>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</si>
  <si>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</si>
  <si>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</si>
  <si>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</si>
  <si>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</si>
  <si>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</si>
  <si>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</si>
  <si>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</si>
  <si>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</si>
  <si>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</si>
  <si>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</si>
  <si>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</si>
  <si>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</si>
  <si>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</si>
  <si>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</si>
  <si>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</si>
  <si>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</si>
  <si>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</si>
  <si>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</si>
  <si>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</si>
  <si>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</si>
  <si>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</si>
  <si>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</si>
  <si>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</si>
  <si>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</si>
  <si>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</si>
  <si>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</si>
  <si>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</si>
  <si>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</si>
  <si>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</si>
  <si>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</si>
  <si>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</si>
  <si>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</si>
  <si>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</si>
  <si>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</si>
  <si>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</si>
  <si>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</si>
  <si>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</si>
  <si>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</si>
  <si>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</si>
  <si>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</si>
  <si>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</si>
  <si>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</si>
  <si>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</si>
  <si>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</si>
  <si>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</si>
  <si>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</si>
  <si>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</si>
  <si>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</si>
  <si>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</si>
  <si>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</si>
  <si>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</si>
  <si>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</si>
  <si>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</si>
  <si>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</si>
  <si>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</si>
  <si>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</si>
  <si>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</si>
  <si>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</si>
  <si>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</si>
  <si>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</si>
  <si>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</si>
  <si>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</si>
  <si>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</si>
  <si>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</si>
  <si>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</si>
  <si>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</si>
  <si>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</si>
  <si>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</si>
  <si>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</si>
  <si>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</si>
  <si>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</si>
  <si>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</si>
  <si>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</si>
  <si>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</si>
  <si>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</si>
  <si>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</si>
  <si>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</si>
  <si>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</si>
  <si>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</si>
  <si>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</si>
  <si>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</si>
  <si>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</si>
  <si>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</si>
  <si>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</si>
  <si>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</si>
  <si>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</si>
  <si>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</si>
  <si>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</si>
  <si>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</si>
  <si>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</si>
  <si>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</si>
  <si>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</si>
  <si>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</si>
  <si>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</si>
  <si>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</si>
  <si>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</si>
  <si>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</si>
  <si>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</si>
  <si>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</si>
  <si>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</si>
  <si>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</si>
  <si>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</si>
  <si>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</si>
  <si>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</si>
  <si>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</si>
  <si>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</si>
  <si>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</si>
  <si>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</si>
  <si>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</si>
  <si>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</si>
  <si>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</si>
  <si>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</si>
  <si>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</si>
  <si>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</si>
  <si>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</si>
  <si>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</si>
  <si>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</si>
  <si>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</si>
  <si>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</si>
  <si>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</si>
  <si>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</si>
  <si>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</si>
  <si>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</si>
  <si>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</si>
  <si>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</si>
  <si>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</si>
  <si>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</si>
  <si>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</si>
  <si>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</si>
  <si>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</si>
  <si>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</si>
  <si>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</si>
  <si>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</si>
  <si>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</si>
  <si>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</si>
  <si>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</si>
  <si>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</si>
  <si>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</si>
  <si>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</si>
  <si>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</si>
  <si>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</si>
  <si>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</si>
  <si>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</si>
  <si>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</si>
  <si>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</si>
  <si>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</si>
  <si>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</si>
  <si>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</si>
  <si>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</si>
  <si>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</si>
  <si>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</si>
  <si>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</si>
  <si>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</si>
  <si>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</si>
  <si>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</si>
  <si>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</si>
  <si>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</si>
  <si>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</si>
  <si>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</si>
  <si>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</si>
  <si>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</si>
  <si>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</si>
  <si>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</si>
  <si>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</si>
  <si>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</si>
  <si>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</si>
  <si>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</si>
  <si>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</si>
  <si>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</si>
  <si>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</si>
  <si>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</si>
  <si>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</si>
  <si>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</si>
  <si>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</si>
  <si>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</si>
  <si>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</si>
  <si>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</si>
  <si>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</si>
  <si>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</si>
  <si>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</si>
  <si>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</si>
  <si>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</si>
  <si>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</si>
  <si>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</si>
  <si>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</si>
  <si>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</si>
  <si>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</si>
  <si>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</si>
  <si>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</si>
  <si>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</si>
  <si>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</si>
  <si>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</si>
  <si>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</si>
  <si>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</si>
  <si>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</si>
  <si>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</si>
  <si>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</si>
  <si>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</si>
  <si>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</si>
  <si>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</si>
  <si>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</si>
  <si>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</si>
  <si>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</si>
  <si>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</si>
  <si>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</si>
  <si>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</si>
  <si>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</si>
  <si>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</si>
  <si>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</si>
  <si>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</si>
  <si>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</si>
  <si>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</si>
  <si>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</si>
  <si>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</si>
  <si>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</si>
  <si>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</si>
  <si>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</si>
  <si>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</si>
  <si>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</si>
  <si>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</si>
  <si>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</si>
  <si>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</si>
  <si>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</si>
  <si>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</si>
  <si>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</si>
  <si>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</si>
  <si>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</si>
  <si>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</si>
  <si>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</si>
  <si>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</si>
  <si>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</si>
  <si>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</si>
  <si>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</si>
  <si>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</si>
  <si>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</si>
  <si>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</si>
  <si>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</si>
  <si>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</si>
  <si>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</si>
  <si>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</si>
  <si>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</si>
  <si>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</si>
  <si>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</si>
  <si>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</si>
  <si>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</si>
  <si>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</si>
  <si>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</si>
  <si>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</si>
  <si>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</si>
  <si>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</si>
  <si>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</si>
  <si>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</si>
  <si>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</si>
  <si>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</si>
  <si>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</si>
  <si>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</si>
  <si>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</si>
  <si>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</si>
  <si>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</si>
  <si>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</si>
  <si>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</si>
  <si>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</si>
  <si>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</si>
  <si>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</si>
  <si>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</si>
  <si>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</si>
  <si>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</si>
  <si>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</si>
  <si>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</si>
  <si>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</si>
  <si>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</si>
  <si>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</si>
  <si>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</si>
  <si>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</si>
  <si>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</si>
  <si>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</si>
  <si>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</si>
  <si>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</si>
  <si>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</si>
  <si>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</si>
  <si>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</si>
  <si>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</si>
  <si>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</si>
  <si>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</si>
  <si>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</si>
  <si>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</si>
  <si>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</si>
  <si>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</si>
  <si>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</si>
  <si>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</si>
  <si>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</si>
  <si>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</si>
  <si>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</si>
  <si>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</si>
  <si>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</si>
  <si>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</si>
  <si>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</si>
  <si>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</si>
  <si>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</si>
  <si>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</si>
  <si>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</si>
  <si>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</si>
  <si>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</si>
  <si>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</si>
  <si>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</si>
  <si>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</si>
  <si>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</si>
  <si>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</si>
  <si>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</si>
  <si>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</si>
  <si>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</si>
  <si>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</si>
  <si>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</si>
  <si>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</si>
  <si>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</si>
  <si>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</si>
  <si>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</si>
  <si>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</si>
  <si>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</si>
  <si>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</si>
  <si>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</si>
  <si>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</si>
  <si>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</si>
  <si>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</si>
  <si>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</si>
  <si>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</si>
  <si>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</si>
  <si>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</si>
  <si>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</si>
  <si>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</si>
  <si>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</si>
  <si>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</si>
  <si>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</si>
  <si>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</si>
  <si>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</si>
  <si>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</si>
  <si>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</si>
  <si>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</si>
  <si>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</si>
  <si>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</si>
  <si>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</si>
  <si>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</si>
  <si>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</si>
  <si>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</si>
  <si>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</si>
  <si>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</si>
  <si>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</si>
  <si>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</si>
  <si>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</si>
  <si>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</si>
  <si>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</si>
  <si>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</si>
  <si>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</si>
  <si>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</si>
  <si>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</si>
  <si>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</si>
  <si>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</si>
  <si>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</si>
  <si>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</si>
  <si>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</si>
  <si>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</si>
  <si>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</si>
  <si>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</si>
  <si>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</si>
  <si>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</si>
  <si>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</si>
  <si>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</si>
  <si>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</si>
  <si>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</si>
  <si>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</si>
  <si>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</si>
  <si>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</si>
  <si>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</si>
  <si>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</si>
  <si>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</si>
  <si>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</si>
  <si>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</si>
  <si>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</si>
  <si>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</si>
  <si>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</si>
  <si>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</si>
  <si>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</si>
  <si>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</si>
  <si>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</si>
  <si>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</si>
  <si>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</si>
  <si>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</si>
  <si>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</si>
  <si>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</si>
  <si>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</si>
  <si>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</si>
  <si>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</si>
  <si>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</si>
  <si>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</si>
  <si>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</si>
  <si>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</si>
  <si>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</si>
  <si>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</si>
  <si>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</si>
  <si>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</si>
  <si>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</si>
  <si>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</si>
  <si>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</si>
  <si>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</si>
  <si>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</si>
  <si>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</si>
  <si>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</si>
  <si>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</si>
  <si>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</si>
  <si>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</si>
  <si>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</si>
  <si>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</si>
  <si>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</si>
  <si>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</si>
  <si>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</si>
  <si>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</si>
  <si>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</si>
  <si>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</si>
  <si>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</si>
  <si>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</si>
  <si>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</si>
  <si>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</si>
  <si>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</si>
  <si>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</si>
  <si>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</si>
  <si>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</si>
  <si>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</si>
  <si>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</si>
  <si>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</si>
  <si>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</si>
  <si>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</si>
  <si>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</si>
  <si>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</si>
  <si>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</si>
  <si>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</si>
  <si>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</si>
  <si>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</si>
  <si>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</si>
  <si>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</si>
  <si>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</si>
  <si>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</si>
  <si>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</si>
  <si>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</si>
  <si>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</si>
  <si>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</si>
  <si>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</si>
  <si>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</si>
  <si>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</si>
  <si>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</si>
  <si>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</si>
  <si>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</si>
  <si>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</si>
  <si>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</si>
  <si>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</si>
  <si>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</si>
  <si>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</si>
  <si>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</si>
  <si>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</si>
  <si>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</si>
  <si>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</si>
  <si>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</si>
  <si>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</si>
  <si>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</si>
  <si>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</si>
  <si>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</si>
  <si>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</si>
  <si>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</si>
  <si>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</si>
  <si>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</si>
  <si>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</si>
  <si>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</si>
  <si>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</si>
  <si>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</si>
  <si>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</si>
  <si>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</si>
  <si>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</si>
  <si>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</si>
  <si>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</si>
  <si>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</si>
  <si>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</si>
  <si>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</si>
  <si>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</si>
  <si>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</si>
  <si>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</si>
  <si>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</si>
  <si>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</si>
  <si>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</si>
  <si>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</si>
  <si>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</si>
  <si>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</si>
  <si>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</si>
  <si>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</si>
  <si>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</si>
  <si>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</si>
  <si>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</si>
  <si>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</si>
  <si>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</si>
  <si>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</si>
  <si>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</si>
  <si>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</si>
  <si>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</si>
  <si>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</si>
  <si>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</si>
  <si>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</si>
  <si>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</si>
  <si>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</si>
  <si>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</si>
  <si>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</si>
  <si>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</si>
  <si>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</si>
  <si>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</si>
  <si>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</si>
  <si>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</si>
  <si>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</si>
  <si>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</si>
  <si>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</si>
  <si>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</si>
  <si>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</si>
  <si>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</si>
  <si>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</si>
  <si>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</si>
  <si>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</si>
  <si>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</si>
  <si>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</si>
  <si>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</si>
  <si>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</si>
  <si>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</si>
  <si>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</si>
  <si>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</si>
  <si>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</si>
  <si>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</si>
  <si>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</si>
  <si>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</si>
  <si>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</si>
  <si>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</si>
  <si>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</si>
  <si>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</si>
  <si>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</si>
  <si>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</si>
  <si>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</si>
  <si>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</si>
  <si>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</si>
  <si>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</si>
  <si>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</si>
  <si>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</si>
  <si>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</si>
  <si>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</si>
  <si>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</si>
  <si>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</si>
  <si>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</si>
  <si>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</si>
  <si>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</si>
  <si>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</si>
  <si>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</si>
  <si>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</si>
  <si>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</si>
  <si>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</si>
  <si>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</si>
  <si>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</si>
  <si>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</si>
  <si>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</si>
  <si>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</si>
  <si>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</si>
  <si>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</si>
  <si>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</si>
  <si>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</si>
  <si>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</si>
  <si>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</si>
  <si>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</si>
  <si>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</si>
  <si>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</si>
  <si>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</si>
  <si>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</si>
  <si>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</si>
  <si>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</si>
  <si>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</si>
  <si>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</si>
  <si>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</si>
  <si>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</si>
  <si>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</si>
  <si>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</si>
  <si>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</si>
  <si>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</si>
  <si>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</si>
  <si>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</si>
  <si>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</si>
  <si>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</si>
  <si>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</si>
  <si>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</si>
  <si>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</si>
  <si>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</si>
  <si>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</si>
  <si>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</si>
  <si>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</si>
  <si>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</si>
  <si>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</si>
  <si>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</si>
  <si>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</si>
  <si>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</si>
  <si>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</si>
  <si>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</si>
  <si>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</si>
  <si>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</si>
  <si>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</si>
  <si>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</si>
  <si>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</si>
  <si>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</si>
  <si>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</si>
  <si>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</si>
  <si>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</si>
  <si>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</si>
  <si>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</si>
  <si>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</si>
  <si>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</si>
  <si>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</si>
  <si>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</si>
  <si>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</si>
  <si>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</si>
  <si>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</si>
  <si>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</si>
  <si>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</si>
  <si>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</si>
  <si>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</si>
  <si>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</si>
  <si>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</si>
  <si>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</si>
  <si>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</si>
  <si>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</si>
  <si>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</si>
  <si>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</si>
  <si>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</si>
  <si>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</si>
  <si>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</si>
  <si>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</si>
  <si>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</si>
  <si>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</si>
  <si>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</si>
  <si>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</si>
  <si>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</si>
  <si>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</si>
  <si>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</si>
  <si>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</si>
  <si>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</si>
  <si>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</si>
  <si>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</si>
  <si>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</si>
  <si>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</si>
  <si>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</si>
  <si>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</si>
  <si>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</si>
  <si>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</si>
  <si>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</si>
  <si>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</si>
  <si>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</si>
  <si>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</si>
  <si>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</si>
  <si>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</si>
  <si>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</si>
  <si>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</si>
  <si>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</si>
  <si>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</si>
  <si>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</si>
  <si>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</si>
  <si>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</si>
  <si>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</si>
  <si>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</si>
  <si>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</si>
  <si>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</si>
  <si>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</si>
  <si>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</si>
  <si>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</si>
  <si>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</si>
  <si>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</si>
  <si>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</si>
  <si>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</si>
  <si>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</si>
  <si>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</si>
  <si>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</si>
  <si>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</si>
  <si>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</si>
  <si>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</si>
  <si>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</si>
  <si>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</si>
  <si>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</si>
  <si>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</si>
  <si>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</si>
  <si>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</si>
  <si>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</si>
  <si>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</si>
  <si>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</si>
  <si>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</si>
  <si>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</si>
  <si>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</si>
  <si>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</si>
  <si>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</si>
  <si>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</si>
  <si>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</si>
  <si>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</si>
  <si>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</si>
  <si>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</si>
  <si>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</si>
  <si>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</si>
  <si>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</si>
  <si>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</si>
  <si>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</si>
  <si>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</si>
  <si>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</si>
  <si>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</si>
  <si>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</si>
  <si>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</si>
  <si>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</si>
  <si>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</si>
  <si>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</si>
  <si>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</si>
  <si>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</si>
  <si>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</si>
  <si>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</si>
  <si>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</si>
  <si>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</si>
  <si>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</si>
  <si>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</si>
  <si>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</si>
  <si>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</si>
  <si>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</si>
  <si>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</si>
  <si>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</si>
  <si>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</si>
  <si>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</si>
  <si>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</si>
  <si>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</si>
  <si>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</si>
  <si>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</si>
  <si>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</si>
  <si>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</si>
  <si>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</si>
  <si>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</si>
  <si>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</si>
  <si>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</si>
  <si>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</si>
  <si>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</si>
  <si>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</si>
  <si>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</si>
  <si>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</si>
  <si>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</si>
  <si>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</si>
  <si>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</si>
  <si>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</si>
  <si>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</si>
  <si>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</si>
  <si>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</si>
  <si>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</si>
  <si>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</si>
  <si>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</si>
  <si>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</si>
  <si>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</si>
  <si>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</si>
  <si>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</si>
  <si>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</si>
  <si>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</si>
  <si>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</si>
  <si>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</si>
  <si>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</si>
  <si>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</si>
  <si>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</si>
  <si>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</si>
  <si>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</si>
  <si>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</si>
  <si>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</si>
  <si>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</si>
  <si>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</si>
  <si>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</si>
  <si>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</si>
  <si>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</si>
  <si>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</si>
  <si>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</si>
  <si>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</si>
  <si>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</si>
  <si>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</si>
  <si>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</si>
  <si>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</si>
  <si>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</si>
  <si>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</si>
  <si>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</si>
  <si>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</si>
  <si>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</si>
  <si>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</si>
  <si>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</si>
  <si>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</si>
  <si>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</si>
  <si>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</si>
  <si>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</si>
  <si>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</si>
  <si>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</si>
  <si>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</si>
  <si>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</si>
  <si>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</si>
  <si>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</si>
  <si>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</si>
  <si>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</si>
  <si>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</si>
  <si>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</si>
  <si>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</si>
  <si>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</si>
  <si>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</si>
  <si>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</si>
  <si>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</si>
  <si>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</si>
  <si>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</si>
  <si>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</si>
  <si>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</si>
  <si>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</si>
  <si>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</si>
  <si>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</si>
  <si>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</si>
  <si>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</si>
  <si>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</si>
  <si>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</si>
  <si>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</si>
  <si>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</si>
  <si>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</si>
  <si>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</si>
  <si>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</si>
  <si>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</si>
  <si>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</si>
  <si>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</si>
  <si>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</si>
  <si>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</si>
  <si>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</si>
  <si>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</si>
  <si>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</si>
  <si>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</si>
  <si>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</si>
  <si>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</si>
  <si>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</si>
  <si>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</si>
  <si>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</si>
  <si>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</si>
  <si>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</si>
  <si>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</si>
  <si>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</si>
  <si>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</si>
  <si>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</si>
  <si>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</si>
  <si>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</si>
  <si>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</si>
  <si>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</si>
  <si>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</si>
  <si>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</si>
  <si>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</si>
  <si>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</si>
  <si>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</si>
  <si>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</si>
  <si>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</si>
  <si>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</si>
  <si>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</si>
  <si>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</si>
  <si>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</si>
  <si>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</si>
  <si>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</si>
  <si>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</si>
  <si>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</si>
  <si>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</si>
  <si>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</si>
  <si>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</si>
  <si>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</si>
  <si>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</si>
  <si>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</si>
  <si>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</si>
  <si>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</si>
  <si>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</si>
  <si>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</si>
  <si>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</si>
  <si>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</si>
  <si>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</si>
  <si>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</si>
  <si>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</si>
  <si>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</si>
  <si>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</si>
  <si>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</si>
  <si>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</si>
  <si>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</si>
  <si>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</si>
  <si>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</si>
  <si>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</si>
  <si>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</si>
  <si>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</si>
  <si>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</si>
  <si>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</si>
  <si>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</si>
  <si>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</si>
  <si>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</si>
  <si>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</si>
  <si>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</si>
  <si>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</si>
  <si>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</si>
  <si>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</si>
  <si>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</si>
  <si>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</si>
  <si>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</si>
  <si>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</si>
  <si>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</si>
  <si>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</si>
  <si>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</si>
  <si>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</si>
  <si>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</si>
  <si>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</si>
  <si>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</si>
  <si>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</si>
  <si>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</si>
  <si>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</si>
  <si>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</si>
  <si>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</si>
  <si>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</si>
  <si>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</si>
  <si>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</si>
  <si>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</si>
  <si>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</si>
  <si>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</si>
  <si>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</si>
  <si>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</si>
  <si>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</si>
  <si>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</si>
  <si>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</si>
  <si>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</si>
  <si>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</si>
  <si>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</si>
  <si>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</si>
  <si>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</si>
  <si>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</si>
  <si>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</si>
  <si>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</si>
  <si>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</si>
  <si>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</si>
  <si>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</si>
  <si>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</si>
  <si>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</si>
  <si>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</si>
  <si>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</si>
  <si>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</si>
  <si>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</si>
  <si>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</si>
  <si>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</si>
  <si>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</si>
  <si>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</si>
  <si>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</si>
  <si>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</si>
  <si>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</si>
  <si>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</si>
  <si>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</si>
  <si>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</si>
  <si>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</si>
  <si>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</si>
  <si>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</si>
  <si>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</si>
  <si>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</si>
  <si>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</si>
  <si>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</si>
  <si>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</si>
  <si>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</si>
  <si>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</si>
  <si>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</si>
  <si>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</si>
  <si>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</si>
  <si>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</si>
  <si>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</si>
  <si>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</si>
  <si>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</si>
  <si>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</si>
  <si>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</si>
  <si>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</si>
  <si>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</si>
  <si>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</si>
  <si>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</si>
  <si>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</si>
  <si>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</si>
  <si>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</si>
  <si>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</si>
  <si>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</si>
  <si>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</si>
  <si>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</si>
  <si>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</si>
  <si>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</si>
  <si>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</si>
  <si>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</si>
  <si>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</si>
  <si>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</si>
  <si>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</si>
  <si>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</si>
  <si>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</si>
  <si>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</si>
  <si>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</si>
  <si>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</si>
  <si>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</si>
  <si>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</si>
  <si>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</si>
  <si>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</si>
  <si>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</si>
  <si>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</si>
  <si>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</si>
  <si>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</si>
  <si>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</si>
  <si>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</si>
  <si>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</si>
  <si>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</si>
  <si>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</si>
  <si>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</si>
  <si>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</si>
  <si>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</si>
  <si>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</si>
  <si>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</si>
  <si>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</si>
  <si>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</si>
  <si>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</si>
  <si>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</si>
  <si>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</si>
  <si>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</si>
  <si>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</si>
  <si>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</si>
  <si>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</si>
  <si>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</si>
  <si>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</si>
  <si>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</si>
  <si>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</si>
  <si>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</si>
  <si>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</si>
  <si>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</si>
  <si>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</si>
  <si>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</si>
  <si>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</si>
  <si>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</si>
  <si>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</si>
  <si>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</si>
  <si>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</si>
  <si>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</si>
  <si>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</si>
  <si>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</si>
  <si>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</si>
  <si>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</si>
  <si>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</si>
  <si>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</si>
  <si>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</si>
  <si>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</si>
  <si>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</si>
  <si>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</si>
  <si>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</si>
  <si>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</si>
  <si>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</si>
  <si>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</si>
  <si>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</si>
  <si>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</si>
  <si>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</si>
  <si>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</si>
  <si>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</si>
  <si>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</si>
  <si>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</si>
  <si>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</si>
  <si>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</si>
  <si>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</si>
  <si>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</si>
  <si>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</si>
  <si>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</si>
  <si>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</si>
  <si>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</si>
  <si>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</si>
  <si>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</si>
  <si>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</si>
  <si>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</si>
  <si>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</si>
  <si>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</si>
  <si>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</si>
  <si>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</si>
  <si>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</si>
  <si>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</si>
  <si>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</si>
  <si>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</si>
  <si>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</si>
  <si>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</si>
  <si>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</si>
  <si>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</si>
  <si>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</si>
  <si>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</si>
  <si>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</si>
  <si>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</si>
  <si>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</si>
  <si>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</si>
  <si>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</si>
  <si>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</si>
  <si>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</si>
  <si>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</si>
  <si>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</si>
  <si>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</si>
  <si>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</si>
  <si>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</si>
  <si>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</si>
  <si>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</si>
  <si>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</si>
  <si>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</si>
  <si>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</si>
  <si>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</si>
  <si>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</si>
  <si>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</si>
  <si>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</si>
  <si>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</si>
  <si>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</si>
  <si>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</si>
  <si>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</si>
  <si>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</si>
  <si>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</si>
  <si>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</si>
  <si>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</si>
  <si>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</si>
  <si>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</si>
  <si>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</si>
  <si>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</si>
  <si>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</si>
  <si>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</si>
  <si>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</si>
  <si>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</si>
  <si>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</si>
  <si>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</si>
  <si>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</si>
  <si>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</si>
  <si>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</si>
  <si>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</si>
  <si>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</si>
  <si>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</si>
  <si>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</si>
  <si>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</si>
  <si>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</si>
  <si>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</si>
  <si>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</si>
  <si>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</si>
  <si>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</si>
  <si>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</si>
  <si>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</si>
  <si>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</si>
  <si>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</si>
  <si>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</si>
  <si>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</si>
  <si>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</si>
  <si>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</si>
  <si>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</si>
  <si>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</si>
  <si>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</si>
  <si>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</si>
  <si>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</si>
  <si>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</si>
  <si>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</si>
  <si>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</si>
  <si>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</si>
  <si>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</si>
  <si>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</si>
  <si>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</si>
  <si>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</si>
  <si>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</si>
  <si>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</si>
  <si>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</si>
  <si>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</si>
  <si>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</si>
  <si>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</si>
  <si>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</si>
  <si>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</si>
  <si>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</si>
  <si>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</si>
  <si>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</si>
  <si>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</si>
  <si>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</si>
  <si>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</si>
  <si>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</si>
  <si>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</si>
  <si>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</si>
  <si>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</si>
  <si>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</si>
  <si>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</si>
  <si>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</si>
  <si>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</si>
  <si>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</si>
  <si>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</si>
  <si>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</si>
  <si>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</si>
  <si>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</si>
  <si>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</si>
  <si>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</si>
  <si>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</si>
  <si>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</si>
  <si>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</si>
  <si>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</si>
  <si>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</si>
  <si>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</si>
  <si>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</si>
  <si>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</si>
  <si>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</si>
  <si>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</si>
  <si>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</si>
  <si>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</si>
  <si>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</si>
  <si>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</si>
  <si>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</si>
  <si>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</si>
  <si>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</si>
  <si>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</si>
  <si>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</si>
  <si>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</si>
  <si>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</si>
  <si>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</si>
  <si>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</si>
  <si>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</si>
  <si>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</si>
  <si>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</si>
  <si>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</si>
  <si>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</si>
  <si>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</si>
  <si>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</si>
  <si>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</si>
  <si>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</si>
  <si>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</si>
  <si>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</si>
  <si>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</si>
  <si>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</si>
  <si>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</si>
  <si>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</si>
  <si>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</si>
  <si>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</si>
  <si>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</si>
  <si>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</si>
  <si>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</si>
  <si>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</si>
  <si>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</si>
  <si>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</si>
  <si>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</si>
  <si>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</si>
  <si>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</si>
  <si>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</si>
  <si>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</si>
  <si>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</si>
  <si>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</si>
  <si>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</si>
  <si>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</si>
  <si>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</si>
  <si>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</si>
  <si>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</si>
  <si>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</si>
  <si>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</si>
  <si>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</si>
  <si>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</si>
  <si>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</si>
  <si>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</si>
  <si>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</si>
  <si>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</si>
  <si>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</si>
  <si>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</si>
  <si>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</si>
  <si>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</si>
  <si>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</si>
  <si>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</si>
  <si>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</si>
  <si>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</si>
  <si>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</si>
  <si>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</si>
  <si>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</si>
  <si>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</si>
  <si>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</si>
  <si>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</si>
  <si>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</si>
  <si>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</si>
  <si>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</si>
  <si>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</si>
  <si>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</si>
  <si>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</si>
  <si>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</si>
  <si>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</si>
  <si>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</si>
  <si>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</si>
  <si>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</si>
  <si>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</si>
  <si>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</si>
  <si>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</si>
  <si>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</si>
  <si>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</si>
  <si>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</si>
  <si>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</si>
  <si>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</si>
  <si>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</si>
  <si>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</si>
  <si>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</si>
  <si>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</si>
  <si>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</si>
  <si>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</si>
  <si>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</si>
  <si>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</si>
  <si>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</si>
  <si>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</si>
  <si>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</si>
  <si>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</si>
  <si>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</si>
  <si>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</si>
  <si>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</si>
  <si>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</si>
  <si>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</si>
  <si>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</si>
  <si>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</si>
  <si>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</si>
  <si>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</si>
  <si>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</si>
  <si>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</si>
  <si>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</si>
  <si>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</si>
  <si>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</si>
  <si>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</si>
  <si>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</si>
  <si>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</si>
  <si>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</si>
  <si>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</si>
  <si>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</si>
  <si>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</si>
  <si>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</si>
  <si>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</si>
  <si>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</si>
  <si>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</si>
  <si>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</si>
  <si>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</si>
  <si>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</si>
  <si>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</si>
  <si>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</si>
  <si>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</si>
  <si>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</si>
  <si>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</si>
  <si>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</si>
  <si>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</si>
  <si>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</si>
  <si>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</si>
  <si>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</si>
  <si>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</si>
  <si>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</si>
  <si>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</si>
  <si>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</si>
  <si>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</si>
  <si>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</si>
  <si>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</si>
  <si>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</si>
  <si>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</si>
  <si>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</si>
  <si>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</si>
  <si>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</si>
  <si>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</si>
  <si>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</si>
  <si>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</si>
  <si>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</si>
  <si>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</si>
  <si>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</si>
  <si>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</si>
  <si>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</si>
  <si>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</si>
  <si>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</si>
  <si>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</si>
  <si>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</si>
  <si>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</si>
  <si>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</si>
  <si>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</si>
  <si>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</si>
  <si>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</si>
  <si>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</si>
  <si>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</si>
  <si>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</si>
  <si>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</si>
  <si>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</si>
  <si>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</si>
  <si>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</si>
  <si>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</si>
  <si>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</si>
  <si>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</si>
  <si>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</si>
  <si>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</si>
  <si>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</si>
  <si>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</si>
  <si>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</si>
  <si>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</si>
  <si>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</si>
  <si>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</si>
  <si>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</si>
  <si>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</si>
  <si>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</si>
  <si>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</si>
  <si>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</si>
  <si>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</si>
  <si>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</si>
  <si>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</si>
  <si>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</si>
  <si>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</si>
  <si>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</si>
  <si>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</si>
  <si>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</si>
  <si>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</si>
  <si>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</si>
  <si>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</si>
  <si>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</si>
  <si>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</si>
  <si>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</si>
  <si>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</si>
  <si>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</si>
  <si>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</si>
  <si>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</si>
  <si>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</si>
  <si>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</si>
  <si>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</si>
  <si>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</si>
  <si>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</si>
  <si>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</si>
  <si>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</si>
  <si>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</si>
  <si>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</si>
  <si>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</si>
  <si>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</si>
  <si>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</si>
  <si>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</si>
  <si>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</si>
  <si>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</si>
  <si>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</si>
  <si>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</si>
  <si>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</si>
  <si>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</si>
  <si>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</si>
  <si>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</si>
  <si>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</si>
  <si>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</si>
  <si>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</si>
  <si>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</si>
  <si>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</si>
  <si>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</si>
  <si>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</si>
  <si>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</si>
  <si>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</si>
  <si>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</si>
  <si>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</si>
  <si>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</si>
  <si>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</si>
  <si>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</si>
  <si>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</si>
  <si>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</si>
  <si>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</si>
  <si>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</si>
  <si>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</si>
  <si>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</si>
  <si>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</si>
  <si>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</si>
  <si>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</si>
  <si>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</si>
  <si>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</si>
  <si>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</si>
  <si>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</si>
  <si>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</si>
  <si>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</si>
  <si>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</si>
  <si>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</si>
  <si>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</si>
  <si>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</si>
  <si>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</si>
  <si>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</si>
  <si>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</si>
  <si>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</si>
  <si>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</si>
  <si>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</si>
  <si>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</si>
  <si>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</si>
  <si>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</si>
  <si>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</si>
  <si>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</si>
  <si>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</si>
  <si>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</si>
  <si>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</si>
  <si>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</si>
  <si>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</si>
  <si>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</si>
  <si>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</si>
  <si>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</si>
  <si>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</si>
  <si>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</si>
  <si>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</si>
  <si>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</si>
  <si>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</si>
  <si>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</si>
  <si>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</si>
  <si>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</si>
  <si>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</si>
  <si>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</si>
  <si>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</si>
  <si>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</si>
  <si>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</si>
  <si>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</si>
  <si>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</si>
  <si>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</si>
  <si>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</si>
  <si>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</si>
  <si>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</si>
  <si>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</si>
  <si>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</si>
  <si>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</si>
  <si>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</si>
  <si>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</si>
  <si>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</si>
  <si>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</si>
  <si>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</si>
  <si>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</si>
  <si>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</si>
  <si>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</si>
  <si>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</si>
  <si>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</si>
  <si>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</si>
  <si>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</si>
  <si>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</si>
  <si>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</si>
  <si>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</si>
  <si>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</si>
  <si>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</si>
  <si>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</si>
  <si>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</si>
  <si>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</si>
  <si>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</si>
  <si>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</si>
  <si>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</si>
  <si>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</si>
  <si>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</si>
  <si>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</si>
  <si>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</si>
  <si>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</si>
  <si>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</si>
  <si>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</si>
  <si>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</si>
  <si>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</si>
  <si>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</si>
  <si>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</si>
  <si>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</si>
  <si>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</si>
  <si>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</si>
  <si>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</si>
  <si>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</si>
  <si>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</si>
  <si>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</si>
  <si>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</si>
  <si>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</si>
  <si>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</si>
  <si>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</si>
  <si>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</si>
  <si>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</si>
  <si>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</si>
  <si>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</si>
  <si>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</si>
  <si>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</si>
  <si>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</si>
  <si>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</si>
  <si>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</si>
  <si>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</si>
  <si>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</si>
  <si>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</si>
  <si>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</si>
  <si>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</si>
  <si>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</si>
  <si>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</si>
  <si>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</si>
  <si>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</si>
  <si>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</si>
  <si>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</si>
  <si>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</si>
  <si>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</si>
  <si>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</si>
  <si>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</si>
  <si>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</si>
  <si>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</si>
  <si>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</si>
  <si>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</si>
  <si>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</si>
  <si>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</si>
  <si>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</si>
  <si>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</si>
  <si>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</si>
  <si>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</si>
  <si>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</si>
  <si>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</si>
  <si>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</si>
  <si>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</si>
  <si>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</si>
  <si>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</si>
  <si>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</si>
  <si>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</si>
  <si>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</si>
  <si>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</si>
  <si>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</si>
  <si>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</si>
  <si>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</si>
  <si>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</si>
  <si>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</si>
  <si>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</si>
  <si>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</si>
  <si>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</si>
  <si>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</si>
  <si>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</si>
  <si>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</si>
  <si>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</si>
  <si>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</si>
  <si>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</si>
  <si>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</si>
  <si>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</si>
  <si>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</si>
  <si>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</si>
  <si>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</si>
  <si>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</si>
  <si>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</si>
  <si>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</si>
  <si>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</si>
  <si>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</si>
  <si>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</si>
  <si>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</si>
  <si>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</si>
  <si>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</si>
  <si>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</si>
  <si>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</si>
  <si>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</si>
  <si>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</si>
  <si>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</si>
  <si>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</si>
  <si>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</si>
  <si>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</si>
  <si>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</si>
  <si>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</si>
  <si>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</si>
  <si>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</si>
  <si>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</si>
  <si>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</si>
  <si>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</si>
  <si>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</si>
  <si>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</si>
  <si>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</si>
  <si>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</si>
  <si>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</si>
  <si>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</si>
  <si>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</si>
  <si>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</si>
  <si>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</si>
  <si>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</si>
  <si>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</si>
  <si>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</si>
  <si>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</si>
  <si>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</si>
  <si>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</si>
  <si>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</si>
  <si>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</si>
  <si>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</si>
  <si>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</si>
  <si>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</si>
  <si>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</si>
  <si>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</si>
  <si>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</si>
  <si>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</si>
  <si>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</si>
  <si>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</si>
  <si>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</si>
  <si>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</si>
  <si>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</si>
  <si>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</si>
  <si>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</si>
  <si>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</si>
  <si>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</si>
  <si>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</si>
  <si>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</si>
  <si>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</si>
  <si>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</si>
  <si>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</si>
  <si>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</si>
  <si>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</si>
  <si>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</si>
  <si>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</si>
  <si>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</si>
  <si>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</si>
  <si>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</si>
  <si>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</si>
  <si>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</si>
  <si>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</si>
  <si>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</si>
  <si>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</si>
  <si>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</si>
  <si>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</si>
  <si>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</si>
  <si>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</si>
  <si>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</si>
  <si>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</si>
  <si>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</si>
  <si>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</si>
  <si>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</si>
  <si>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</si>
  <si>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</si>
  <si>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</si>
  <si>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</si>
  <si>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</si>
  <si>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</si>
  <si>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</si>
  <si>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</si>
  <si>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</si>
  <si>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</si>
  <si>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</si>
  <si>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</si>
  <si>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</si>
  <si>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</si>
  <si>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</si>
  <si>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</si>
  <si>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</si>
  <si>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</si>
  <si>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</si>
  <si>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</si>
  <si>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</si>
  <si>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</si>
  <si>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</si>
  <si>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</si>
  <si>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</si>
  <si>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</si>
  <si>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</si>
  <si>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</si>
  <si>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</si>
  <si>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</si>
  <si>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</si>
  <si>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</si>
  <si>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</si>
  <si>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</si>
  <si>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</si>
  <si>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</si>
  <si>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</si>
  <si>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</si>
  <si>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</si>
  <si>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</si>
  <si>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</si>
  <si>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</si>
  <si>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</si>
  <si>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</si>
  <si>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</si>
  <si>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</si>
  <si>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</si>
  <si>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</si>
  <si>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</si>
  <si>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</si>
  <si>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</si>
  <si>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</si>
  <si>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</si>
  <si>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</si>
  <si>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</si>
  <si>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</si>
  <si>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</si>
  <si>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</si>
  <si>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</si>
  <si>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</si>
  <si>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</si>
  <si>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</si>
  <si>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</si>
  <si>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</si>
  <si>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</si>
  <si>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</si>
  <si>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</si>
  <si>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</si>
  <si>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</si>
  <si>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</si>
  <si>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</si>
  <si>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</si>
  <si>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</si>
  <si>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</si>
  <si>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</si>
  <si>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</si>
  <si>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</si>
  <si>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</si>
  <si>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</si>
  <si>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</si>
  <si>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</si>
  <si>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</si>
  <si>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</si>
  <si>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</si>
  <si>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</si>
  <si>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</si>
  <si>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</si>
  <si>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</si>
  <si>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</si>
  <si>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</si>
  <si>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</si>
  <si>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</si>
  <si>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</si>
  <si>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</si>
  <si>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</si>
  <si>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</si>
  <si>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</si>
  <si>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</si>
  <si>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</si>
  <si>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</si>
  <si>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</si>
  <si>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</si>
  <si>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</si>
  <si>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</si>
  <si>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</si>
  <si>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</si>
  <si>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</si>
  <si>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</si>
  <si>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</si>
  <si>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</si>
  <si>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</si>
  <si>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</si>
  <si>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</si>
  <si>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</si>
  <si>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</si>
  <si>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</si>
  <si>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</si>
  <si>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</si>
  <si>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</si>
  <si>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</si>
  <si>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</si>
  <si>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</si>
  <si>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</si>
  <si>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</si>
  <si>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</si>
  <si>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</si>
  <si>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</si>
  <si>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</si>
  <si>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</si>
  <si>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</si>
  <si>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</si>
  <si>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</si>
  <si>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</si>
  <si>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</si>
  <si>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</si>
  <si>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</si>
  <si>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</si>
  <si>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</si>
  <si>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</si>
  <si>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</si>
  <si>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</si>
  <si>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</si>
  <si>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</si>
  <si>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</si>
  <si>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</si>
  <si>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</si>
  <si>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</si>
  <si>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</si>
  <si>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</si>
  <si>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</si>
  <si>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</si>
  <si>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</si>
  <si>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</si>
  <si>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</si>
  <si>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</si>
  <si>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</si>
  <si>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</si>
  <si>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</si>
  <si>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</si>
  <si>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</si>
  <si>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</si>
  <si>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</si>
  <si>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</si>
  <si>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</si>
  <si>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</si>
  <si>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</si>
  <si>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</si>
  <si>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</si>
  <si>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</si>
  <si>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</si>
  <si>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</si>
  <si>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</si>
  <si>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</si>
  <si>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</si>
  <si>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</si>
  <si>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</si>
  <si>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</si>
  <si>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</si>
  <si>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</si>
  <si>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</si>
  <si>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</si>
  <si>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</si>
  <si>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</si>
  <si>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</si>
  <si>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</si>
  <si>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</si>
  <si>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</si>
  <si>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</si>
  <si>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</si>
  <si>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</si>
  <si>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</si>
  <si>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</si>
  <si>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</si>
  <si>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</si>
  <si>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</si>
  <si>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</si>
  <si>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</si>
  <si>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</si>
  <si>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</si>
  <si>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</si>
  <si>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</si>
  <si>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</si>
  <si>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</si>
  <si>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</si>
  <si>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</si>
  <si>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</si>
  <si>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</si>
  <si>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</si>
  <si>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</si>
  <si>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</si>
  <si>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</si>
  <si>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</si>
  <si>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</si>
  <si>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</si>
  <si>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</si>
  <si>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</si>
  <si>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</si>
  <si>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</si>
  <si>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</si>
  <si>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</si>
  <si>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</si>
  <si>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</si>
  <si>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</si>
  <si>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</si>
  <si>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</si>
  <si>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</si>
  <si>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</si>
  <si>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</si>
  <si>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</si>
  <si>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</si>
  <si>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</si>
  <si>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</si>
  <si>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</si>
  <si>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</si>
  <si>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</si>
  <si>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</si>
  <si>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</si>
  <si>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</si>
  <si>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</si>
  <si>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</si>
  <si>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</si>
  <si>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</si>
  <si>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</si>
  <si>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</si>
  <si>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</si>
  <si>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</si>
  <si>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</si>
  <si>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</si>
  <si>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</si>
  <si>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</si>
  <si>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</si>
  <si>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</si>
  <si>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</si>
  <si>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</si>
  <si>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</si>
  <si>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</si>
  <si>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</si>
  <si>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</si>
  <si>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</si>
  <si>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</si>
  <si>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</si>
  <si>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</si>
  <si>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</si>
  <si>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</si>
  <si>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</si>
  <si>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</si>
  <si>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</si>
  <si>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</si>
  <si>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</si>
  <si>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</si>
  <si>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</si>
  <si>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</si>
  <si>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</si>
  <si>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</si>
  <si>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</si>
  <si>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</si>
  <si>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</si>
  <si>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</si>
  <si>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</si>
  <si>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</si>
  <si>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</si>
  <si>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</si>
  <si>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</si>
  <si>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</si>
  <si>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</si>
  <si>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</si>
  <si>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</si>
  <si>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</si>
  <si>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</si>
  <si>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</si>
  <si>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</si>
  <si>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</si>
  <si>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</si>
  <si>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</si>
  <si>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</si>
  <si>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</si>
  <si>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</si>
  <si>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</si>
  <si>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</si>
  <si>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</si>
  <si>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</si>
  <si>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</si>
  <si>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</si>
  <si>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</si>
  <si>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</si>
  <si>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</si>
  <si>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</si>
  <si>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</si>
  <si>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</si>
  <si>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</si>
  <si>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</si>
  <si>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</si>
  <si>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</si>
  <si>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</si>
  <si>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</si>
  <si>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</si>
  <si>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</si>
  <si>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</si>
  <si>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</si>
  <si>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</si>
  <si>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</si>
  <si>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</si>
  <si>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</si>
  <si>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</si>
  <si>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</si>
  <si>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</si>
  <si>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</si>
  <si>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</si>
  <si>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</si>
  <si>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</si>
  <si>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</si>
  <si>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</si>
  <si>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</si>
  <si>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</si>
  <si>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</si>
  <si>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</si>
  <si>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</si>
  <si>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</si>
  <si>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</si>
  <si>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</si>
  <si>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</si>
  <si>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</si>
  <si>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</si>
  <si>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</si>
  <si>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</si>
  <si>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</si>
  <si>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</si>
  <si>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</si>
  <si>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</si>
  <si>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</si>
  <si>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</si>
  <si>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</si>
  <si>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</si>
  <si>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</si>
  <si>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</si>
  <si>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</si>
  <si>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</si>
  <si>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</si>
  <si>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</si>
  <si>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</si>
  <si>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</si>
  <si>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</si>
  <si>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</si>
  <si>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</si>
  <si>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</si>
  <si>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</si>
  <si>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</si>
  <si>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</si>
  <si>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</si>
  <si>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</si>
  <si>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</si>
  <si>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</si>
  <si>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</si>
  <si>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</si>
  <si>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</si>
  <si>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</si>
  <si>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</si>
  <si>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</si>
  <si>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</si>
  <si>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</si>
  <si>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</si>
  <si>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</si>
  <si>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</si>
  <si>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</si>
  <si>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</si>
  <si>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</si>
  <si>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</si>
  <si>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</si>
  <si>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</si>
  <si>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</si>
  <si>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</si>
  <si>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</si>
  <si>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</si>
  <si>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</si>
  <si>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</si>
  <si>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</si>
  <si>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</si>
  <si>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</si>
  <si>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</si>
  <si>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</si>
  <si>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</si>
  <si>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</si>
  <si>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</si>
  <si>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</si>
  <si>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</si>
  <si>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</si>
  <si>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</si>
  <si>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</si>
  <si>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</si>
  <si>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</si>
  <si>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</si>
  <si>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</si>
  <si>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</si>
  <si>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</si>
  <si>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</si>
  <si>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</si>
  <si>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</si>
  <si>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</si>
  <si>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</si>
  <si>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</si>
  <si>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</si>
  <si>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</si>
  <si>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</si>
  <si>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</si>
  <si>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</si>
  <si>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</si>
  <si>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</si>
  <si>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</si>
  <si>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</si>
  <si>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</si>
  <si>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</si>
  <si>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</si>
  <si>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</si>
  <si>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</si>
  <si>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</si>
  <si>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</si>
  <si>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</si>
  <si>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</si>
  <si>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</si>
  <si>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</si>
  <si>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</si>
  <si>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</si>
  <si>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</si>
  <si>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</si>
  <si>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</si>
  <si>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</si>
  <si>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</si>
  <si>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</si>
  <si>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</si>
  <si>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</si>
  <si>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</si>
  <si>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</si>
  <si>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</si>
  <si>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</si>
  <si>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</si>
  <si>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</si>
  <si>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</si>
  <si>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</si>
  <si>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</si>
  <si>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</si>
  <si>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</si>
  <si>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</si>
  <si>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</si>
  <si>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</si>
  <si>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</si>
  <si>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</si>
  <si>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</si>
  <si>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</si>
  <si>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</si>
  <si>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</si>
  <si>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</si>
  <si>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</si>
  <si>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</si>
  <si>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</si>
  <si>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</si>
  <si>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</si>
  <si>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</si>
  <si>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</si>
  <si>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</si>
  <si>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</si>
  <si>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</si>
  <si>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</si>
  <si>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</si>
  <si>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</si>
  <si>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</si>
  <si>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</si>
  <si>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</si>
  <si>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</si>
  <si>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</si>
  <si>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</si>
  <si>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</si>
  <si>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</si>
  <si>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</si>
  <si>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</si>
  <si>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</si>
  <si>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</si>
  <si>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</si>
  <si>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</si>
  <si>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</si>
  <si>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</si>
  <si>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</si>
  <si>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</si>
  <si>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</si>
  <si>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</si>
  <si>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</si>
  <si>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</si>
  <si>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</si>
  <si>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</si>
  <si>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</si>
  <si>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</si>
  <si>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</si>
  <si>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</si>
  <si>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</si>
  <si>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</si>
  <si>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</si>
  <si>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</si>
  <si>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</si>
  <si>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</si>
  <si>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</si>
  <si>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</si>
  <si>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</si>
  <si>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</si>
  <si>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</si>
  <si>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</si>
  <si>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</si>
  <si>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</si>
  <si>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</si>
  <si>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</si>
  <si>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</si>
  <si>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</si>
  <si>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</si>
  <si>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</si>
  <si>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</si>
  <si>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</si>
  <si>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</si>
  <si>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</si>
  <si>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</si>
  <si>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</si>
  <si>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</si>
  <si>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</si>
  <si>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</si>
  <si>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</si>
  <si>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</si>
  <si>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</si>
  <si>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</si>
  <si>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</si>
  <si>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</si>
  <si>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</si>
  <si>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</si>
  <si>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</si>
  <si>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</si>
  <si>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</si>
  <si>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</si>
  <si>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</si>
  <si>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</si>
  <si>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</si>
  <si>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</si>
  <si>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</si>
  <si>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</si>
  <si>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</si>
  <si>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</si>
  <si>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</si>
  <si>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</si>
  <si>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</si>
  <si>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</si>
  <si>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</si>
  <si>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</si>
  <si>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</si>
  <si>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</si>
  <si>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</si>
  <si>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</si>
  <si>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</si>
  <si>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</si>
  <si>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</si>
  <si>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</si>
  <si>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</si>
  <si>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</si>
  <si>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</si>
  <si>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</si>
  <si>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</si>
  <si>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</si>
  <si>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</si>
  <si>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</si>
  <si>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</si>
  <si>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</si>
  <si>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</si>
  <si>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</si>
  <si>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</si>
  <si>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</si>
  <si>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</si>
  <si>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</si>
  <si>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</si>
  <si>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</si>
  <si>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</si>
  <si>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</si>
  <si>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</si>
  <si>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</si>
  <si>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</si>
  <si>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</si>
  <si>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</si>
  <si>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</si>
  <si>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</si>
  <si>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</si>
  <si>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</si>
  <si>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</si>
  <si>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</si>
  <si>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</si>
  <si>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</si>
  <si>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</si>
  <si>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</si>
  <si>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</si>
  <si>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</si>
  <si>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</si>
  <si>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</si>
  <si>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</si>
  <si>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</si>
  <si>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</si>
  <si>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</si>
  <si>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</si>
  <si>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</si>
  <si>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</si>
  <si>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</si>
  <si>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</si>
  <si>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</si>
  <si>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</si>
  <si>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</si>
  <si>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</si>
  <si>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</si>
  <si>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</si>
  <si>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</si>
  <si>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</si>
  <si>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</si>
  <si>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</si>
  <si>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</si>
  <si>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</si>
  <si>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</si>
  <si>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</si>
  <si>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</si>
  <si>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</si>
  <si>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</si>
  <si>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</si>
  <si>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</si>
  <si>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</si>
  <si>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</si>
  <si>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</si>
  <si>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</si>
  <si>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</si>
  <si>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</si>
  <si>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</si>
  <si>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</si>
  <si>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</si>
  <si>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</si>
  <si>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</si>
  <si>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</si>
  <si>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</si>
  <si>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</si>
  <si>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</si>
  <si>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</si>
  <si>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</si>
  <si>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</si>
  <si>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</si>
  <si>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</si>
  <si>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</si>
  <si>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</si>
  <si>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</si>
  <si>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</si>
  <si>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</si>
  <si>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</si>
  <si>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</si>
  <si>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</si>
  <si>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</si>
  <si>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</si>
  <si>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</si>
  <si>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</si>
  <si>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</si>
  <si>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</si>
  <si>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</si>
  <si>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</si>
  <si>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</si>
  <si>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</si>
  <si>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</si>
  <si>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</si>
  <si>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</si>
  <si>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</si>
  <si>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</si>
  <si>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</si>
  <si>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</si>
  <si>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</si>
  <si>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</si>
  <si>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</si>
  <si>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</si>
  <si>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</si>
  <si>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</si>
  <si>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</si>
  <si>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</si>
  <si>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</si>
  <si>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</si>
  <si>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</si>
  <si>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</si>
  <si>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</si>
  <si>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</si>
  <si>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</si>
  <si>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</si>
  <si>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</si>
  <si>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</si>
  <si>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</si>
  <si>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</si>
  <si>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</si>
  <si>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</si>
  <si>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</si>
  <si>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</si>
  <si>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</si>
  <si>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</si>
  <si>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</si>
  <si>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</si>
  <si>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</si>
  <si>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</si>
  <si>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</si>
  <si>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</si>
  <si>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</si>
  <si>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</si>
  <si>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</si>
  <si>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</si>
  <si>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</si>
  <si>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</si>
  <si>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</si>
  <si>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</si>
  <si>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</si>
  <si>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</si>
  <si>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</si>
  <si>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</si>
  <si>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</si>
  <si>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</si>
  <si>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</si>
  <si>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</si>
  <si>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</si>
  <si>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</si>
  <si>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</si>
  <si>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</si>
  <si>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</si>
  <si>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</si>
  <si>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</si>
  <si>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</si>
  <si>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</si>
  <si>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</si>
  <si>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</si>
  <si>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</si>
  <si>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</si>
  <si>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</si>
  <si>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</si>
  <si>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</si>
  <si>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</si>
  <si>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</si>
  <si>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</si>
  <si>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</si>
  <si>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</si>
  <si>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</si>
  <si>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</si>
  <si>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</si>
  <si>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</si>
  <si>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</si>
  <si>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</si>
  <si>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</si>
  <si>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</si>
  <si>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</si>
  <si>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</si>
  <si>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</si>
  <si>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</si>
  <si>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</si>
  <si>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</si>
  <si>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</si>
  <si>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</si>
  <si>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</si>
  <si>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</si>
  <si>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</si>
  <si>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</si>
  <si>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</si>
  <si>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</si>
  <si>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</si>
  <si>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</si>
  <si>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</si>
  <si>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</si>
  <si>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</si>
  <si>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</si>
  <si>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</si>
  <si>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</si>
  <si>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</si>
  <si>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</si>
  <si>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</si>
  <si>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</si>
  <si>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</si>
  <si>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</si>
  <si>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</si>
  <si>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</si>
  <si>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</si>
  <si>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</si>
  <si>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</si>
  <si>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</si>
  <si>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</si>
  <si>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</si>
  <si>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</si>
  <si>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</si>
  <si>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</si>
  <si>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</si>
  <si>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</si>
  <si>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</si>
  <si>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</si>
  <si>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</si>
  <si>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</si>
  <si>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</si>
  <si>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</si>
  <si>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</si>
  <si>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</si>
  <si>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</si>
  <si>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</si>
  <si>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</si>
  <si>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</si>
  <si>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</si>
  <si>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</si>
  <si>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</si>
  <si>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</si>
  <si>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</si>
  <si>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</si>
  <si>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</si>
  <si>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</si>
  <si>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</si>
  <si>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</si>
  <si>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</si>
  <si>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</si>
  <si>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</si>
  <si>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</si>
  <si>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</si>
  <si>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</si>
  <si>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</si>
  <si>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</si>
  <si>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</si>
  <si>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</si>
  <si>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</si>
  <si>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</si>
  <si>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</si>
  <si>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</si>
  <si>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</si>
  <si>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</si>
  <si>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</si>
  <si>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</si>
  <si>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</si>
  <si>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</si>
  <si>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</si>
  <si>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</si>
  <si>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</si>
  <si>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</si>
  <si>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</si>
  <si>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</si>
  <si>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</si>
  <si>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</si>
  <si>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</si>
  <si>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</si>
  <si>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</si>
  <si>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</si>
  <si>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</si>
  <si>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</si>
  <si>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</si>
  <si>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</si>
  <si>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</si>
  <si>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</si>
  <si>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</si>
  <si>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</si>
  <si>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</si>
  <si>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</si>
  <si>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</si>
  <si>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</si>
  <si>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</si>
  <si>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</si>
  <si>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</si>
  <si>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</si>
  <si>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</si>
  <si>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</si>
  <si>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</si>
  <si>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</si>
  <si>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</si>
  <si>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</si>
  <si>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</si>
  <si>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</si>
  <si>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</si>
  <si>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</si>
  <si>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</si>
  <si>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</si>
  <si>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</si>
  <si>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</si>
  <si>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</si>
  <si>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</si>
  <si>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</si>
  <si>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</si>
  <si>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</si>
  <si>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</si>
  <si>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</si>
  <si>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</si>
  <si>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</si>
  <si>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</si>
  <si>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</si>
  <si>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</si>
  <si>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</si>
  <si>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</si>
  <si>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</si>
  <si>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</si>
  <si>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</si>
  <si>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</si>
  <si>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</si>
  <si>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</si>
  <si>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</si>
  <si>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</si>
  <si>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</si>
  <si>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</si>
  <si>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</si>
  <si>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</si>
  <si>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</si>
  <si>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</si>
  <si>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</si>
  <si>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</si>
  <si>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</si>
  <si>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</si>
  <si>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</si>
  <si>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</si>
  <si>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</si>
  <si>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</si>
  <si>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</si>
  <si>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</si>
  <si>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</si>
  <si>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</si>
  <si>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</si>
  <si>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</si>
  <si>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</si>
  <si>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</si>
  <si>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</si>
  <si>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</si>
  <si>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</si>
  <si>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</si>
  <si>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</si>
  <si>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</si>
  <si>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</si>
  <si>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</si>
  <si>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</si>
  <si>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</si>
  <si>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</si>
  <si>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</si>
  <si>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</si>
  <si>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</si>
  <si>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</si>
  <si>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</si>
  <si>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</si>
  <si>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</si>
  <si>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</si>
  <si>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</si>
  <si>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</si>
  <si>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</si>
  <si>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</si>
  <si>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</si>
  <si>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</si>
  <si>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</si>
  <si>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</si>
  <si>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</si>
  <si>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</si>
  <si>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</si>
  <si>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</si>
  <si>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</si>
  <si>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</si>
  <si>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</si>
  <si>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</si>
  <si>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</si>
  <si>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</si>
  <si>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</si>
  <si>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</si>
  <si>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</si>
  <si>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</si>
  <si>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</si>
  <si>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</si>
  <si>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</si>
  <si>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</si>
  <si>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</si>
  <si>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</si>
  <si>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</si>
  <si>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</si>
  <si>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</si>
  <si>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</si>
  <si>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</si>
  <si>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</si>
  <si>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</si>
  <si>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</si>
  <si>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</si>
  <si>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</si>
  <si>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</si>
  <si>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</si>
  <si>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</si>
  <si>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</si>
  <si>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</si>
  <si>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</si>
  <si>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</si>
  <si>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</si>
  <si>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</si>
  <si>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</si>
  <si>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</si>
  <si>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</si>
  <si>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</si>
  <si>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</si>
  <si>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</si>
  <si>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</si>
  <si>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</si>
  <si>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</si>
  <si>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</si>
  <si>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</si>
  <si>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</si>
  <si>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</si>
  <si>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</si>
  <si>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</si>
  <si>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</si>
  <si>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</si>
  <si>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</si>
  <si>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</si>
  <si>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</si>
  <si>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</si>
  <si>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</si>
  <si>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</si>
  <si>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</si>
  <si>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</si>
  <si>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</si>
  <si>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</si>
  <si>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</si>
  <si>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</si>
  <si>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</si>
  <si>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</si>
  <si>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</si>
  <si>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</si>
  <si>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</si>
  <si>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</si>
  <si>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</si>
  <si>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</si>
  <si>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</si>
  <si>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</si>
  <si>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</si>
  <si>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</si>
  <si>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</si>
  <si>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</si>
  <si>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</si>
  <si>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</si>
  <si>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</si>
  <si>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</si>
  <si>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</si>
  <si>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</si>
  <si>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</si>
  <si>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</si>
  <si>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</si>
  <si>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</si>
  <si>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</si>
  <si>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</si>
  <si>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</si>
  <si>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</si>
  <si>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</si>
  <si>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</si>
  <si>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</si>
  <si>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</si>
  <si>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</si>
  <si>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</si>
  <si>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</si>
  <si>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</si>
  <si>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</si>
  <si>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</si>
  <si>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</si>
  <si>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</si>
  <si>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</si>
  <si>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</si>
  <si>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</si>
  <si>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</si>
  <si>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</si>
  <si>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</si>
  <si>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</si>
  <si>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</si>
  <si>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</si>
  <si>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</si>
  <si>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</si>
  <si>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</si>
  <si>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</si>
  <si>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</si>
  <si>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</si>
  <si>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</si>
  <si>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</si>
  <si>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</si>
  <si>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</si>
  <si>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</si>
  <si>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</si>
  <si>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</si>
  <si>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</si>
  <si>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</si>
  <si>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</si>
  <si>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</si>
  <si>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</si>
  <si>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</si>
  <si>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</si>
  <si>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</si>
  <si>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</si>
  <si>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</si>
  <si>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</si>
  <si>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</si>
  <si>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</si>
  <si>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</si>
  <si>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</si>
  <si>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</si>
  <si>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</si>
  <si>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</si>
  <si>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</si>
  <si>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</si>
  <si>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</si>
  <si>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</si>
  <si>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</si>
  <si>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</si>
  <si>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</si>
  <si>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</si>
  <si>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</si>
  <si>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</si>
  <si>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</si>
  <si>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</si>
  <si>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</si>
  <si>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</si>
  <si>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</si>
  <si>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</si>
  <si>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</si>
  <si>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</si>
  <si>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</si>
  <si>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</si>
  <si>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</si>
  <si>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</si>
  <si>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</si>
  <si>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</si>
  <si>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</si>
  <si>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</si>
  <si>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</si>
  <si>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</si>
  <si>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</si>
  <si>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</si>
  <si>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</si>
  <si>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</si>
  <si>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</si>
  <si>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</si>
  <si>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</si>
  <si>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</si>
  <si>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</si>
  <si>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</si>
  <si>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</si>
  <si>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</si>
  <si>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</si>
  <si>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</si>
  <si>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</si>
  <si>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</si>
  <si>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</si>
  <si>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</si>
  <si>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</si>
  <si>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</si>
  <si>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</si>
  <si>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</si>
  <si>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</si>
  <si>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</si>
  <si>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</si>
  <si>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</si>
  <si>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</si>
  <si>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</si>
  <si>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</si>
  <si>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</si>
  <si>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</si>
  <si>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</si>
  <si>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</si>
  <si>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</si>
  <si>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</si>
  <si>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</si>
  <si>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</si>
  <si>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</si>
  <si>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</si>
  <si>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</si>
  <si>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</si>
  <si>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</si>
  <si>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</si>
  <si>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</si>
  <si>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</si>
  <si>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</si>
  <si>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</si>
  <si>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</si>
  <si>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</si>
  <si>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</si>
  <si>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</si>
  <si>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</si>
  <si>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</si>
  <si>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</si>
  <si>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</si>
  <si>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</si>
  <si>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</si>
  <si>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</si>
  <si>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</si>
  <si>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</si>
  <si>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</si>
  <si>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</si>
  <si>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</si>
  <si>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</si>
  <si>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</si>
  <si>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</si>
  <si>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</si>
  <si>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</si>
  <si>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</si>
  <si>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</si>
  <si>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</si>
  <si>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</si>
  <si>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</si>
  <si>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</si>
  <si>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</si>
  <si>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</si>
  <si>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</si>
  <si>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</si>
  <si>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</si>
  <si>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</si>
  <si>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</si>
  <si>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</si>
  <si>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</si>
  <si>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</si>
  <si>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</si>
  <si>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</si>
  <si>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</si>
  <si>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</si>
  <si>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</si>
  <si>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</si>
  <si>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</si>
  <si>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</si>
  <si>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</si>
  <si>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</si>
  <si>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</si>
  <si>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</si>
  <si>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</si>
  <si>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</si>
  <si>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</si>
  <si>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</si>
  <si>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</si>
  <si>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</si>
  <si>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</si>
  <si>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</si>
  <si>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</si>
  <si>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</si>
  <si>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</si>
  <si>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</si>
  <si>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</si>
  <si>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</si>
  <si>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</si>
  <si>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</si>
  <si>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</si>
  <si>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</si>
  <si>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</si>
  <si>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</si>
  <si>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</si>
  <si>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</si>
  <si>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</si>
  <si>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</si>
  <si>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</si>
  <si>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</si>
  <si>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</si>
  <si>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</si>
  <si>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</si>
  <si>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</si>
  <si>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</si>
  <si>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</si>
  <si>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</si>
  <si>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</si>
  <si>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</si>
  <si>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</si>
  <si>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</si>
  <si>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</si>
  <si>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</si>
  <si>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</si>
  <si>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</si>
  <si>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</si>
  <si>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</si>
  <si>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</si>
  <si>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</si>
  <si>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</si>
  <si>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</si>
  <si>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</si>
  <si>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</si>
  <si>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</si>
  <si>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</si>
  <si>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</si>
  <si>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</si>
  <si>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</si>
  <si>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</si>
  <si>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</si>
  <si>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</si>
  <si>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</si>
  <si>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</si>
  <si>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</si>
  <si>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</si>
  <si>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</si>
  <si>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</si>
  <si>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</si>
  <si>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</si>
  <si>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</si>
  <si>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</si>
  <si>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</si>
  <si>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</si>
  <si>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</si>
  <si>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</si>
  <si>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</si>
  <si>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</si>
  <si>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</si>
  <si>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</si>
  <si>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</si>
  <si>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</si>
  <si>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</si>
  <si>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</si>
  <si>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</si>
  <si>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</si>
  <si>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</si>
  <si>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</si>
  <si>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</si>
  <si>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</si>
  <si>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</si>
  <si>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</si>
  <si>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</si>
  <si>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</si>
  <si>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</si>
  <si>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</si>
  <si>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</si>
  <si>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</si>
  <si>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</si>
  <si>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</si>
  <si>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</si>
  <si>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</si>
  <si>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</si>
  <si>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</si>
  <si>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</si>
  <si>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</si>
  <si>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</si>
  <si>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</si>
  <si>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</si>
  <si>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</si>
  <si>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</si>
  <si>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</si>
  <si>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</si>
  <si>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</si>
  <si>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</si>
  <si>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</si>
  <si>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</si>
  <si>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</si>
  <si>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</si>
  <si>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</si>
  <si>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</si>
  <si>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</si>
  <si>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</si>
  <si>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</si>
  <si>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</si>
  <si>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</si>
  <si>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</si>
  <si>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</si>
  <si>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</si>
  <si>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</si>
  <si>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</si>
  <si>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</si>
  <si>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</si>
  <si>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</si>
  <si>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</si>
  <si>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</si>
  <si>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</si>
  <si>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</si>
  <si>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</si>
  <si>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</si>
  <si>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</si>
  <si>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</si>
  <si>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</si>
  <si>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</si>
  <si>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</si>
  <si>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</si>
  <si>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</si>
  <si>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</si>
  <si>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</si>
  <si>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</si>
  <si>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</si>
  <si>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</si>
  <si>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</si>
  <si>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</si>
  <si>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</si>
  <si>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</si>
  <si>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</si>
  <si>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</si>
  <si>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</si>
  <si>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</si>
  <si>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</si>
  <si>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</si>
  <si>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</si>
  <si>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</si>
  <si>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</si>
  <si>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</si>
  <si>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</si>
  <si>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</si>
  <si>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</si>
  <si>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</si>
  <si>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</si>
  <si>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</si>
  <si>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</si>
  <si>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</si>
  <si>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</si>
  <si>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</si>
  <si>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</si>
  <si>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</si>
  <si>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</si>
  <si>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</si>
  <si>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</si>
  <si>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</si>
  <si>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</si>
  <si>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</si>
  <si>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</si>
  <si>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</si>
  <si>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</si>
  <si>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</si>
  <si>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</si>
  <si>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</si>
  <si>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</si>
  <si>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</si>
  <si>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</si>
  <si>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</si>
  <si>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</si>
  <si>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</si>
  <si>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</si>
  <si>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</si>
  <si>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</si>
  <si>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</si>
  <si>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</si>
  <si>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</si>
  <si>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</si>
  <si>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</si>
  <si>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</si>
  <si>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</si>
  <si>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</si>
  <si>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</si>
  <si>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</si>
  <si>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</si>
  <si>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</si>
  <si>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</si>
  <si>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</si>
  <si>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</si>
  <si>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</si>
  <si>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</si>
  <si>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</si>
  <si>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</si>
  <si>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</si>
  <si>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</si>
  <si>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</si>
  <si>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</si>
  <si>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</si>
  <si>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</si>
  <si>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</si>
  <si>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</si>
  <si>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</si>
  <si>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</si>
  <si>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</si>
  <si>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</si>
  <si>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</si>
  <si>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</si>
  <si>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</si>
  <si>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</si>
  <si>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</si>
  <si>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</si>
  <si>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</si>
  <si>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</si>
  <si>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</si>
  <si>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</si>
  <si>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</si>
  <si>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</si>
  <si>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</si>
  <si>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</si>
  <si>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</si>
  <si>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</si>
  <si>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</si>
  <si>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</si>
  <si>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</si>
  <si>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</si>
  <si>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</si>
  <si>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</si>
  <si>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</si>
  <si>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</si>
  <si>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</si>
  <si>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</si>
  <si>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</si>
  <si>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</si>
  <si>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</si>
  <si>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</si>
  <si>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</si>
  <si>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</si>
  <si>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</si>
  <si>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</si>
  <si>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</si>
  <si>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</si>
  <si>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</si>
  <si>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</si>
  <si>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</si>
  <si>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</si>
  <si>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</si>
  <si>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</si>
  <si>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</si>
  <si>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</si>
  <si>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</si>
  <si>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</si>
  <si>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</si>
  <si>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</si>
  <si>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</si>
  <si>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</si>
  <si>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</si>
  <si>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</si>
  <si>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</si>
  <si>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</si>
  <si>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</si>
  <si>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</si>
  <si>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</si>
  <si>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</si>
  <si>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</si>
  <si>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</si>
  <si>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</si>
  <si>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</si>
  <si>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</si>
  <si>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</si>
  <si>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</si>
  <si>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</si>
  <si>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</si>
  <si>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</si>
  <si>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</si>
  <si>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</si>
  <si>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</si>
  <si>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</si>
  <si>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</si>
  <si>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</si>
  <si>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</si>
  <si>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</si>
  <si>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</si>
  <si>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</si>
  <si>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</si>
  <si>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</si>
  <si>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</si>
  <si>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</si>
  <si>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</si>
  <si>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</si>
  <si>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</si>
  <si>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</si>
  <si>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</si>
  <si>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</si>
  <si>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</si>
  <si>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</si>
  <si>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</si>
  <si>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</si>
  <si>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</si>
  <si>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</si>
  <si>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</si>
  <si>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</si>
  <si>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</si>
  <si>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</si>
  <si>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</si>
  <si>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</si>
  <si>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</si>
  <si>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</si>
  <si>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</si>
  <si>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</si>
  <si>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</si>
  <si>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</si>
  <si>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</si>
  <si>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</si>
  <si>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</si>
  <si>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</si>
  <si>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</si>
  <si>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</si>
  <si>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</si>
  <si>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</si>
  <si>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</si>
  <si>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</si>
  <si>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</si>
  <si>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</si>
  <si>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</si>
  <si>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</si>
  <si>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</si>
  <si>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</si>
  <si>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</si>
  <si>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</si>
  <si>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</si>
  <si>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</si>
  <si>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</si>
  <si>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</si>
  <si>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</si>
  <si>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</si>
  <si>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</si>
  <si>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</si>
  <si>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</si>
  <si>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</si>
  <si>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</si>
  <si>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</si>
  <si>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</si>
  <si>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</si>
  <si>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</si>
  <si>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</si>
  <si>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</si>
  <si>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</si>
  <si>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</si>
  <si>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</si>
  <si>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</si>
  <si>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</si>
  <si>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</si>
  <si>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</si>
  <si>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</si>
  <si>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</si>
  <si>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</si>
  <si>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</si>
  <si>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</si>
  <si>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</si>
  <si>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</si>
  <si>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</si>
  <si>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</si>
  <si>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</si>
  <si>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</si>
  <si>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</si>
  <si>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</si>
  <si>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</si>
  <si>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</si>
  <si>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</si>
  <si>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</si>
  <si>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</si>
  <si>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</si>
  <si>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</si>
  <si>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</si>
  <si>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</si>
  <si>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</si>
  <si>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</si>
  <si>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</si>
  <si>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</si>
  <si>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</si>
  <si>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</si>
  <si>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</si>
  <si>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</si>
  <si>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</si>
  <si>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</si>
  <si>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</si>
  <si>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</si>
  <si>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</si>
  <si>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</si>
  <si>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</si>
  <si>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</si>
  <si>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</si>
  <si>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</si>
  <si>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</si>
  <si>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</si>
  <si>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</si>
  <si>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</si>
  <si>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</si>
  <si>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</si>
  <si>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</si>
  <si>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</si>
  <si>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</si>
  <si>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</si>
  <si>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</si>
  <si>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</si>
  <si>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</si>
  <si>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</si>
  <si>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</si>
  <si>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</si>
  <si>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</si>
  <si>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</si>
  <si>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</si>
  <si>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</si>
  <si>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</si>
  <si>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</si>
  <si>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</si>
  <si>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</si>
  <si>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</si>
  <si>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</si>
  <si>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</si>
  <si>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</si>
  <si>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</si>
  <si>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</si>
  <si>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</si>
  <si>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</si>
  <si>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</si>
  <si>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</si>
  <si>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</si>
  <si>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</si>
  <si>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</si>
  <si>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</si>
  <si>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</si>
  <si>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</si>
  <si>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</si>
  <si>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</si>
  <si>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</si>
  <si>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</si>
  <si>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</si>
  <si>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</si>
  <si>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</si>
  <si>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</si>
  <si>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</si>
  <si>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</si>
  <si>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</si>
  <si>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</si>
  <si>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</si>
  <si>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</si>
  <si>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</si>
  <si>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</si>
  <si>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</si>
  <si>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</si>
  <si>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</si>
  <si>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</si>
  <si>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</si>
  <si>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</si>
  <si>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</si>
  <si>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</si>
  <si>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</si>
  <si>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</si>
  <si>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</si>
  <si>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</si>
  <si>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</si>
  <si>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</si>
  <si>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</si>
  <si>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</si>
  <si>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</si>
  <si>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</si>
  <si>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</si>
  <si>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</si>
  <si>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</si>
  <si>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</si>
  <si>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</si>
  <si>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</si>
  <si>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</si>
  <si>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</si>
  <si>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</si>
  <si>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</si>
  <si>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</si>
  <si>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</si>
  <si>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</si>
  <si>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</si>
  <si>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</si>
  <si>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</si>
  <si>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</si>
  <si>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</si>
  <si>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</si>
  <si>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</si>
  <si>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</si>
  <si>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</si>
  <si>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</si>
  <si>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</si>
  <si>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</si>
  <si>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</si>
  <si>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</si>
  <si>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</si>
  <si>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</si>
  <si>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</si>
  <si>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</si>
  <si>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</si>
  <si>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</si>
  <si>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</si>
  <si>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</si>
  <si>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</si>
  <si>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</si>
  <si>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</si>
  <si>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</si>
  <si>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</si>
  <si>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</si>
  <si>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</si>
  <si>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</si>
  <si>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</si>
  <si>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</si>
  <si>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</si>
  <si>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</si>
  <si>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</si>
  <si>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</si>
  <si>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</si>
  <si>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</si>
  <si>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</si>
  <si>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</si>
  <si>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</si>
  <si>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</si>
  <si>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</si>
  <si>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</si>
  <si>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</si>
  <si>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</si>
  <si>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</si>
  <si>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</si>
  <si>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</si>
  <si>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</si>
  <si>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</si>
  <si>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</si>
  <si>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</si>
  <si>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</si>
  <si>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</si>
  <si>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</si>
  <si>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</si>
  <si>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</si>
  <si>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</si>
  <si>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</si>
  <si>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</si>
  <si>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</si>
  <si>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</si>
  <si>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</si>
  <si>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</si>
  <si>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</si>
  <si>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</si>
  <si>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</si>
  <si>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</si>
  <si>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</si>
  <si>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</si>
  <si>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</si>
  <si>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</si>
  <si>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</si>
  <si>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</si>
  <si>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</si>
  <si>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</si>
  <si>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</si>
  <si>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</si>
  <si>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</si>
  <si>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</si>
  <si>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</si>
  <si>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</si>
  <si>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</si>
  <si>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</si>
  <si>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</si>
  <si>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</si>
  <si>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</si>
  <si>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</si>
  <si>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</si>
  <si>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</si>
  <si>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</si>
  <si>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</si>
  <si>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</si>
  <si>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</si>
  <si>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</si>
  <si>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</si>
  <si>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</si>
  <si>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</si>
  <si>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</si>
  <si>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</si>
  <si>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</si>
  <si>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</si>
  <si>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</si>
  <si>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</si>
  <si>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</si>
  <si>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</si>
  <si>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</si>
  <si>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</si>
  <si>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</si>
  <si>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</si>
  <si>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</si>
  <si>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</si>
  <si>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</si>
  <si>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</si>
  <si>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</si>
  <si>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</si>
  <si>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</si>
  <si>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</si>
  <si>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</si>
  <si>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</si>
  <si>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</si>
  <si>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</si>
  <si>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</si>
  <si>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</si>
  <si>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</si>
  <si>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</si>
  <si>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</si>
  <si>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</si>
  <si>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</si>
  <si>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</si>
  <si>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</si>
  <si>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</si>
  <si>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</si>
  <si>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</si>
  <si>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</si>
  <si>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</si>
  <si>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</si>
  <si>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</si>
  <si>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</si>
  <si>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</si>
  <si>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</si>
  <si>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</si>
  <si>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</si>
  <si>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</si>
  <si>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</si>
  <si>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</si>
  <si>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</si>
  <si>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</si>
  <si>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</si>
  <si>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</si>
  <si>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</si>
  <si>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</si>
  <si>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</si>
  <si>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</si>
  <si>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</si>
  <si>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</si>
  <si>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</si>
  <si>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</si>
  <si>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</si>
  <si>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</si>
  <si>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</si>
  <si>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</si>
  <si>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</si>
  <si>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</si>
  <si>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</si>
  <si>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</si>
  <si>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</si>
  <si>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</si>
  <si>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</si>
  <si>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</si>
  <si>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</si>
  <si>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</si>
  <si>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</si>
  <si>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</si>
  <si>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</si>
  <si>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</si>
  <si>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</si>
  <si>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</si>
  <si>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</si>
  <si>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</si>
  <si>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</si>
  <si>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</si>
  <si>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</si>
  <si>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</si>
  <si>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</si>
  <si>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</si>
  <si>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</si>
  <si>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</si>
  <si>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</si>
  <si>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</si>
  <si>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</si>
  <si>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</si>
  <si>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</si>
  <si>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</si>
  <si>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</si>
  <si>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</si>
  <si>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</si>
  <si>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</si>
  <si>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</si>
  <si>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</si>
  <si>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</si>
  <si>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</si>
  <si>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</si>
  <si>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</si>
  <si>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</si>
  <si>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</si>
  <si>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</si>
  <si>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</si>
  <si>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</si>
  <si>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</si>
  <si>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</si>
  <si>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</si>
  <si>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</si>
  <si>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</si>
  <si>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</si>
  <si>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</si>
  <si>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</si>
  <si>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</si>
  <si>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</si>
  <si>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</si>
  <si>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</si>
  <si>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</si>
  <si>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</si>
  <si>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</si>
  <si>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</si>
  <si>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</si>
  <si>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</si>
  <si>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</si>
  <si>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</si>
  <si>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</si>
  <si>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</si>
  <si>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</si>
  <si>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</si>
  <si>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</si>
  <si>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</si>
  <si>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</si>
  <si>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</si>
  <si>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</si>
  <si>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</si>
  <si>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</si>
  <si>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</si>
  <si>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</si>
  <si>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</si>
  <si>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</si>
  <si>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</si>
  <si>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</si>
  <si>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</si>
  <si>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</si>
  <si>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</si>
  <si>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</si>
  <si>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</si>
  <si>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</si>
  <si>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</si>
  <si>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</si>
  <si>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</si>
  <si>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</si>
  <si>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</si>
  <si>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</si>
  <si>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</si>
  <si>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</si>
  <si>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</si>
  <si>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</si>
  <si>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</si>
  <si>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</si>
  <si>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</si>
  <si>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</si>
  <si>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</si>
  <si>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</si>
  <si>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</si>
  <si>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</si>
  <si>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</si>
  <si>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</si>
  <si>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</si>
  <si>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</si>
  <si>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</si>
  <si>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</si>
  <si>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</si>
  <si>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</si>
  <si>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</si>
  <si>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</si>
  <si>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</si>
  <si>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</si>
  <si>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</si>
  <si>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</si>
  <si>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</si>
  <si>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</si>
  <si>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</si>
  <si>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</si>
  <si>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</si>
  <si>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</si>
  <si>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</si>
  <si>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</si>
  <si>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</si>
  <si>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</si>
  <si>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</si>
  <si>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</si>
  <si>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</si>
  <si>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</si>
  <si>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</si>
  <si>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</si>
  <si>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</si>
  <si>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</si>
  <si>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</si>
  <si>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</si>
  <si>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</si>
  <si>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</si>
  <si>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</si>
  <si>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</si>
  <si>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</si>
  <si>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</si>
  <si>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</si>
  <si>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</si>
  <si>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</si>
  <si>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</si>
  <si>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</si>
  <si>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</si>
  <si>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</si>
  <si>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</si>
  <si>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</si>
  <si>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</si>
  <si>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</si>
  <si>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</si>
  <si>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</si>
  <si>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</si>
  <si>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</si>
  <si>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</si>
  <si>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</si>
  <si>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</si>
  <si>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</si>
  <si>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</si>
  <si>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</si>
  <si>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</si>
  <si>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</si>
  <si>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</si>
  <si>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</si>
  <si>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</si>
  <si>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</si>
  <si>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</si>
  <si>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</si>
  <si>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</si>
  <si>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</si>
  <si>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</si>
  <si>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</si>
  <si>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</si>
  <si>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</si>
  <si>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</si>
  <si>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</si>
  <si>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</si>
  <si>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</si>
  <si>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</si>
  <si>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</si>
  <si>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</si>
  <si>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</si>
  <si>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</si>
  <si>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</si>
  <si>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</si>
  <si>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</si>
  <si>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</si>
  <si>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</si>
  <si>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</si>
  <si>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</si>
  <si>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</si>
  <si>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</si>
  <si>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</si>
  <si>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</si>
  <si>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</si>
  <si>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</si>
  <si>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</si>
  <si>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</si>
  <si>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</si>
  <si>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</si>
  <si>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</si>
  <si>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</si>
  <si>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</si>
  <si>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</si>
  <si>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</si>
  <si>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</si>
  <si>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</si>
  <si>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</si>
  <si>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</si>
  <si>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</si>
  <si>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</si>
  <si>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</si>
  <si>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</si>
  <si>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</si>
  <si>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</si>
  <si>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</si>
  <si>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</si>
  <si>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</si>
  <si>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</si>
  <si>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</si>
  <si>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</si>
  <si>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</si>
  <si>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</si>
  <si>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</si>
  <si>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</si>
  <si>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</si>
  <si>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</si>
  <si>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</si>
  <si>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</si>
  <si>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</si>
  <si>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</si>
  <si>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</si>
  <si>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</si>
  <si>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</si>
  <si>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</si>
  <si>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</si>
  <si>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</si>
  <si>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</si>
  <si>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</si>
  <si>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</si>
  <si>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</si>
  <si>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</si>
  <si>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</si>
  <si>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</si>
  <si>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</si>
  <si>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</si>
  <si>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</si>
  <si>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</si>
  <si>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</si>
  <si>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</si>
  <si>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</si>
  <si>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</si>
  <si>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</si>
  <si>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</si>
  <si>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</si>
  <si>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</si>
  <si>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</si>
  <si>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</si>
  <si>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</si>
  <si>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</si>
  <si>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</si>
  <si>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</si>
  <si>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</si>
  <si>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</si>
  <si>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</si>
  <si>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</si>
  <si>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</si>
  <si>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</si>
  <si>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</si>
  <si>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</si>
  <si>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</si>
  <si>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</si>
  <si>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</si>
  <si>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</si>
  <si>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</si>
  <si>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</si>
  <si>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</si>
  <si>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</si>
  <si>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</si>
  <si>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</si>
  <si>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</si>
  <si>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</si>
  <si>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</si>
  <si>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</si>
  <si>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</si>
  <si>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</si>
  <si>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</si>
  <si>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</si>
  <si>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</si>
  <si>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</si>
  <si>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</si>
  <si>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</si>
  <si>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</si>
  <si>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</si>
  <si>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</si>
  <si>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</si>
  <si>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</si>
  <si>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</si>
  <si>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</si>
  <si>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</si>
  <si>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</si>
  <si>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</si>
  <si>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</si>
  <si>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</si>
  <si>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</si>
  <si>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</si>
  <si>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</si>
  <si>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</si>
  <si>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</si>
  <si>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</si>
  <si>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</si>
  <si>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</si>
  <si>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</si>
  <si>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</si>
  <si>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</si>
  <si>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</si>
  <si>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</si>
  <si>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</si>
  <si>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</si>
  <si>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</si>
  <si>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</si>
  <si>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</si>
  <si>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</si>
  <si>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</si>
  <si>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</si>
  <si>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</si>
  <si>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</si>
  <si>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</si>
  <si>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</si>
  <si>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</si>
  <si>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</si>
  <si>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</si>
  <si>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</si>
  <si>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</si>
  <si>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</si>
  <si>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</si>
  <si>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</si>
  <si>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</si>
  <si>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</si>
  <si>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</si>
  <si>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</si>
  <si>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</si>
  <si>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</si>
  <si>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</si>
  <si>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</si>
  <si>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</si>
  <si>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</si>
  <si>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</si>
  <si>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</si>
  <si>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</si>
  <si>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</si>
  <si>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</si>
  <si>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</si>
  <si>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</si>
  <si>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</si>
  <si>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</si>
  <si>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</si>
  <si>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</si>
  <si>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</si>
  <si>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</si>
  <si>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</si>
  <si>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</si>
  <si>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</si>
  <si>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</si>
  <si>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</si>
  <si>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</si>
  <si>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</si>
  <si>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</si>
  <si>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</si>
  <si>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</si>
  <si>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</si>
  <si>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</si>
  <si>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</si>
  <si>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</si>
  <si>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</si>
  <si>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</si>
  <si>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</si>
  <si>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</si>
  <si>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</si>
  <si>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</si>
  <si>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</si>
  <si>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</si>
  <si>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</si>
  <si>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</si>
  <si>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</si>
  <si>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</si>
  <si>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</si>
  <si>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</si>
  <si>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</si>
  <si>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</si>
  <si>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</si>
  <si>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</si>
  <si>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</si>
  <si>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</si>
  <si>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</si>
  <si>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</si>
  <si>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</si>
  <si>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</si>
  <si>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</si>
  <si>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</si>
  <si>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</si>
  <si>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</si>
  <si>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</si>
  <si>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</si>
  <si>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</si>
  <si>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</si>
  <si>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</si>
  <si>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</si>
  <si>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</si>
  <si>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</si>
  <si>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</si>
  <si>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</si>
  <si>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</si>
  <si>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</si>
  <si>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</si>
  <si>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</si>
  <si>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</si>
  <si>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</si>
  <si>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</si>
  <si>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</si>
  <si>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</si>
  <si>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</si>
  <si>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</si>
  <si>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</si>
  <si>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</si>
  <si>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</si>
  <si>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</si>
  <si>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</si>
  <si>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</si>
  <si>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</si>
  <si>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</si>
  <si>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</si>
  <si>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</si>
  <si>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</si>
  <si>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</si>
  <si>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</si>
  <si>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</si>
  <si>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</si>
  <si>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</si>
  <si>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</si>
  <si>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</si>
  <si>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</si>
  <si>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</si>
  <si>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</si>
  <si>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</si>
  <si>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</si>
  <si>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</si>
  <si>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</si>
  <si>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</si>
  <si>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</si>
  <si>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</si>
  <si>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</si>
  <si>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</si>
  <si>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</si>
  <si>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</si>
  <si>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</si>
  <si>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</si>
  <si>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</si>
  <si>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</si>
  <si>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</si>
  <si>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</si>
  <si>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</si>
  <si>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</si>
  <si>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</si>
  <si>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</si>
  <si>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</si>
  <si>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</si>
  <si>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</si>
  <si>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</si>
  <si>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</si>
  <si>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</si>
  <si>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</si>
  <si>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</si>
  <si>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</si>
  <si>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</si>
  <si>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</si>
  <si>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</si>
  <si>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</si>
  <si>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</si>
  <si>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</si>
  <si>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</si>
  <si>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</si>
  <si>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</si>
  <si>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</si>
  <si>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</si>
  <si>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</si>
  <si>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</si>
  <si>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</si>
  <si>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</si>
  <si>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</si>
  <si>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</si>
  <si>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</si>
  <si>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</si>
  <si>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</si>
  <si>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</si>
  <si>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</si>
  <si>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</si>
  <si>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</si>
  <si>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</si>
  <si>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</si>
  <si>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</si>
  <si>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</si>
  <si>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</si>
  <si>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</si>
  <si>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</si>
  <si>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</si>
  <si>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</si>
  <si>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</si>
  <si>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</si>
  <si>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</si>
  <si>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</si>
  <si>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</si>
  <si>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</si>
  <si>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</si>
  <si>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</si>
  <si>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</si>
  <si>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</si>
  <si>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</si>
  <si>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</si>
  <si>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</si>
  <si>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</si>
  <si>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</si>
  <si>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</si>
  <si>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</si>
  <si>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</si>
  <si>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</si>
  <si>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</si>
  <si>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</si>
  <si>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</si>
  <si>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</si>
  <si>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</si>
  <si>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</si>
  <si>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</si>
  <si>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</si>
  <si>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</si>
  <si>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</si>
  <si>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</si>
  <si>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</si>
  <si>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</si>
  <si>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</si>
  <si>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</si>
  <si>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</si>
  <si>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</si>
  <si>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</si>
  <si>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</si>
  <si>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</si>
  <si>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</si>
  <si>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</si>
  <si>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</si>
  <si>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</si>
  <si>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</si>
  <si>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</si>
  <si>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</si>
  <si>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</si>
  <si>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</si>
  <si>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</si>
  <si>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</si>
  <si>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</si>
  <si>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</si>
  <si>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</si>
  <si>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</si>
  <si>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</si>
  <si>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</si>
  <si>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</si>
  <si>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</si>
  <si>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</si>
  <si>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</si>
  <si>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</si>
  <si>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</si>
  <si>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</si>
  <si>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</si>
  <si>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</si>
  <si>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</si>
  <si>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</si>
  <si>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</si>
  <si>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</si>
  <si>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</si>
  <si>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</si>
  <si>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</si>
  <si>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</si>
  <si>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</si>
  <si>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</si>
  <si>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</si>
  <si>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</si>
  <si>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</si>
  <si>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</si>
  <si>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</si>
  <si>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</si>
  <si>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</si>
  <si>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</si>
  <si>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</si>
  <si>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</si>
  <si>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</si>
  <si>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</si>
  <si>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</si>
  <si>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</si>
  <si>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</si>
  <si>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</si>
  <si>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</si>
  <si>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</si>
  <si>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</si>
  <si>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</si>
  <si>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</si>
  <si>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</si>
  <si>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</si>
  <si>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</si>
  <si>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</si>
  <si>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</si>
  <si>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</si>
  <si>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</si>
  <si>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</si>
  <si>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</si>
  <si>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</si>
  <si>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</si>
  <si>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</si>
  <si>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</si>
  <si>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</si>
  <si>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</si>
  <si>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</si>
  <si>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</si>
  <si>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</si>
  <si>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</si>
  <si>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</si>
  <si>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</si>
  <si>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</si>
  <si>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</si>
  <si>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</si>
  <si>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</si>
  <si>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</si>
  <si>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</si>
  <si>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</si>
  <si>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</si>
  <si>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</si>
  <si>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</si>
  <si>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</si>
  <si>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</si>
  <si>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</si>
  <si>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</si>
  <si>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</si>
  <si>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</si>
  <si>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</si>
  <si>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</si>
  <si>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</si>
  <si>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</si>
  <si>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</si>
  <si>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</si>
  <si>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</si>
  <si>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</si>
  <si>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</si>
  <si>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</si>
  <si>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</si>
  <si>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</si>
  <si>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</si>
  <si>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</si>
  <si>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</si>
  <si>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</si>
  <si>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</si>
  <si>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</si>
  <si>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</si>
  <si>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</si>
  <si>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</si>
  <si>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</si>
  <si>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</si>
  <si>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</si>
  <si>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</si>
  <si>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</si>
  <si>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</si>
  <si>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</si>
  <si>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</si>
  <si>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</si>
  <si>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</si>
  <si>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</si>
  <si>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</si>
  <si>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</si>
  <si>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</si>
  <si>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</si>
  <si>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</si>
  <si>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</si>
  <si>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</si>
  <si>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</si>
  <si>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</si>
  <si>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</si>
  <si>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</si>
  <si>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</si>
  <si>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</si>
  <si>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</si>
  <si>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</si>
  <si>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</si>
  <si>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</si>
  <si>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</si>
  <si>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</si>
  <si>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</si>
  <si>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</si>
  <si>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</si>
  <si>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</si>
  <si>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</si>
  <si>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</si>
  <si>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</si>
  <si>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</si>
  <si>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</si>
  <si>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</si>
  <si>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</si>
  <si>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</si>
  <si>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</si>
  <si>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</si>
  <si>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</si>
  <si>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</si>
  <si>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</si>
  <si>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</si>
  <si>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</si>
  <si>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</si>
  <si>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</si>
  <si>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</si>
  <si>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</si>
  <si>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</si>
  <si>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</si>
  <si>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</si>
  <si>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</si>
  <si>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</si>
  <si>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</si>
  <si>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</si>
  <si>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</si>
  <si>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</si>
  <si>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</si>
  <si>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</si>
  <si>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</si>
  <si>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</si>
  <si>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</si>
  <si>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</si>
  <si>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</si>
  <si>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</si>
  <si>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</si>
  <si>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</si>
  <si>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</si>
  <si>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</si>
  <si>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</si>
  <si>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</si>
  <si>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</si>
  <si>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</si>
  <si>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</si>
  <si>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</si>
  <si>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</si>
  <si>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</si>
  <si>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</si>
  <si>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</si>
  <si>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</si>
  <si>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</si>
  <si>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</si>
  <si>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</si>
  <si>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</si>
  <si>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</si>
  <si>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</si>
  <si>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</si>
  <si>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</si>
  <si>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</si>
  <si>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</si>
  <si>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</si>
  <si>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</si>
  <si>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</si>
  <si>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</si>
  <si>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</si>
  <si>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</si>
  <si>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</si>
  <si>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</si>
  <si>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</si>
  <si>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</si>
  <si>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</si>
  <si>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</si>
  <si>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</si>
  <si>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</si>
  <si>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</si>
  <si>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</si>
  <si>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</si>
  <si>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</si>
  <si>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</si>
  <si>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</si>
  <si>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</si>
  <si>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</si>
  <si>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</si>
  <si>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</si>
  <si>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</si>
  <si>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</si>
  <si>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</si>
  <si>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</si>
  <si>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</si>
  <si>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</si>
  <si>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</si>
  <si>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</si>
  <si>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</si>
  <si>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</si>
  <si>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</si>
  <si>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</si>
  <si>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</si>
  <si>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</si>
  <si>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</si>
  <si>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</si>
  <si>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</si>
  <si>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</si>
  <si>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</si>
  <si>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</si>
  <si>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</si>
  <si>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</si>
  <si>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</si>
  <si>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</si>
  <si>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</si>
  <si>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</si>
  <si>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</si>
  <si>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</si>
  <si>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</si>
  <si>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</si>
  <si>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</si>
  <si>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</si>
  <si>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</si>
  <si>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</si>
  <si>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</si>
  <si>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</si>
  <si>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</si>
  <si>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</si>
  <si>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</si>
  <si>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</si>
  <si>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</si>
  <si>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</si>
  <si>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</si>
  <si>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</si>
  <si>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</si>
  <si>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</si>
  <si>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</si>
  <si>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</si>
  <si>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</si>
  <si>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</si>
  <si>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</si>
  <si>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</si>
  <si>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</si>
  <si>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</si>
  <si>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</si>
  <si>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</si>
  <si>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</si>
  <si>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</si>
  <si>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</si>
  <si>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</si>
  <si>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</si>
  <si>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</si>
  <si>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</si>
  <si>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</si>
  <si>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</si>
  <si>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</si>
  <si>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</si>
  <si>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</si>
  <si>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</si>
  <si>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</si>
  <si>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</si>
  <si>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</si>
  <si>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</si>
  <si>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</si>
  <si>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</si>
  <si>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</si>
  <si>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</si>
  <si>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</si>
  <si>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</si>
  <si>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</si>
  <si>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</si>
  <si>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</si>
  <si>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</si>
  <si>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</si>
  <si>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</si>
  <si>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</si>
  <si>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</si>
  <si>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</si>
  <si>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</si>
  <si>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</si>
  <si>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</si>
  <si>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</si>
  <si>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</si>
  <si>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</si>
  <si>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</si>
  <si>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</si>
  <si>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</si>
  <si>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</si>
  <si>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</si>
  <si>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</si>
  <si>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</si>
  <si>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</si>
  <si>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</si>
  <si>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</si>
  <si>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</si>
  <si>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</si>
  <si>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</si>
  <si>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</si>
  <si>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</si>
  <si>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</si>
  <si>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</si>
  <si>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</si>
  <si>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</si>
  <si>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</si>
  <si>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</si>
  <si>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</si>
  <si>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</si>
  <si>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</si>
  <si>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</si>
  <si>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</si>
  <si>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</si>
  <si>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</si>
  <si>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</si>
  <si>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</si>
  <si>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</si>
  <si>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</si>
  <si>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</si>
  <si>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</si>
  <si>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</si>
  <si>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</si>
  <si>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</si>
  <si>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</si>
  <si>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</si>
  <si>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</si>
  <si>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</si>
  <si>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</si>
  <si>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</si>
  <si>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</si>
  <si>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</si>
  <si>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</si>
  <si>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</si>
  <si>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</si>
  <si>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</si>
  <si>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</si>
  <si>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</si>
  <si>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</si>
  <si>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</si>
  <si>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</si>
  <si>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</si>
  <si>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</si>
  <si>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</si>
  <si>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</si>
  <si>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</si>
  <si>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</si>
  <si>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</si>
  <si>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</si>
  <si>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</si>
  <si>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</si>
  <si>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</si>
  <si>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</si>
  <si>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</si>
  <si>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</si>
  <si>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</si>
  <si>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</si>
  <si>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</si>
  <si>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</si>
  <si>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</si>
  <si>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</si>
  <si>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</si>
  <si>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</si>
  <si>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</si>
  <si>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</si>
  <si>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</si>
  <si>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</si>
  <si>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</si>
  <si>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</si>
  <si>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</si>
  <si>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</si>
  <si>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</si>
  <si>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</si>
  <si>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</si>
  <si>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</si>
  <si>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</si>
  <si>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</si>
  <si>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</si>
  <si>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</si>
  <si>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</si>
  <si>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</si>
  <si>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</si>
  <si>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</si>
  <si>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</si>
  <si>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</si>
  <si>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</si>
  <si>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</si>
  <si>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</si>
  <si>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</si>
  <si>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</si>
  <si>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</si>
  <si>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</si>
  <si>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</si>
  <si>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</si>
  <si>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</si>
  <si>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</si>
  <si>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</si>
  <si>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</si>
  <si>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</si>
  <si>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</si>
  <si>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</si>
  <si>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</si>
  <si>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</si>
  <si>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</si>
  <si>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</si>
  <si>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</si>
  <si>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</si>
  <si>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</si>
  <si>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</si>
  <si>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</si>
  <si>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</si>
  <si>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</si>
  <si>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</si>
  <si>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</si>
  <si>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</si>
  <si>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</si>
  <si>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</si>
  <si>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</si>
  <si>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</si>
  <si>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</si>
  <si>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</si>
  <si>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</si>
  <si>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</si>
  <si>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</si>
  <si>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</si>
  <si>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</si>
  <si>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</si>
  <si>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</si>
  <si>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</si>
  <si>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</si>
  <si>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</si>
  <si>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</si>
  <si>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</si>
  <si>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</si>
  <si>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</si>
  <si>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</si>
  <si>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</si>
  <si>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</si>
  <si>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</si>
  <si>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</si>
  <si>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</si>
  <si>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</si>
  <si>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</si>
  <si>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</si>
  <si>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</si>
  <si>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</si>
  <si>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</si>
  <si>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</si>
  <si>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</si>
  <si>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</si>
  <si>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</si>
  <si>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</si>
  <si>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</si>
  <si>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</si>
  <si>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</si>
  <si>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</si>
  <si>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</si>
  <si>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</si>
  <si>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</si>
  <si>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</si>
  <si>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</si>
  <si>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</si>
  <si>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</si>
  <si>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</si>
  <si>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</si>
  <si>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</si>
  <si>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</si>
  <si>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</si>
  <si>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</si>
  <si>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</si>
  <si>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</si>
  <si>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</si>
  <si>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</si>
  <si>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</si>
  <si>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</si>
  <si>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</si>
  <si>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</si>
  <si>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</si>
  <si>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</si>
  <si>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</si>
  <si>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</si>
  <si>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</si>
  <si>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</si>
  <si>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</si>
  <si>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</si>
  <si>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</si>
  <si>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</si>
  <si>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</si>
  <si>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</si>
  <si>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</si>
  <si>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</si>
  <si>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</si>
  <si>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</si>
  <si>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</si>
  <si>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</si>
  <si>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</si>
  <si>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</si>
  <si>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</si>
  <si>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</si>
  <si>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</si>
  <si>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</si>
  <si>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</si>
  <si>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</si>
  <si>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</si>
  <si>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</si>
  <si>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</si>
  <si>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</si>
  <si>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</si>
  <si>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</si>
  <si>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</si>
  <si>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</si>
  <si>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</si>
  <si>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</si>
  <si>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</si>
  <si>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</si>
  <si>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</si>
  <si>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</si>
  <si>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</si>
  <si>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</si>
  <si>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</si>
  <si>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</si>
  <si>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</si>
  <si>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</si>
  <si>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</si>
  <si>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</si>
  <si>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</si>
  <si>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</si>
  <si>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</si>
  <si>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</si>
  <si>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</si>
  <si>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</si>
  <si>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</si>
  <si>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</si>
  <si>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</si>
  <si>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</si>
  <si>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</si>
  <si>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</si>
  <si>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</si>
  <si>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</si>
  <si>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</si>
  <si>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</si>
  <si>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</si>
  <si>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</si>
  <si>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</si>
  <si>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</si>
  <si>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</si>
  <si>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</si>
  <si>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</si>
  <si>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</si>
  <si>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</si>
  <si>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</si>
  <si>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</si>
  <si>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</si>
  <si>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</si>
  <si>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</si>
  <si>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</si>
  <si>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</si>
  <si>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</si>
  <si>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</si>
  <si>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</si>
  <si>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</si>
  <si>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</si>
  <si>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</si>
  <si>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</si>
  <si>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</si>
  <si>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</si>
  <si>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</si>
  <si>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</si>
  <si>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</si>
  <si>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</si>
  <si>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</si>
  <si>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</si>
  <si>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</si>
  <si>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</si>
  <si>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</si>
  <si>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</si>
  <si>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</si>
  <si>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</si>
  <si>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</si>
  <si>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</si>
  <si>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</si>
  <si>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</si>
  <si>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</si>
  <si>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</si>
  <si>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</si>
  <si>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</si>
  <si>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</si>
  <si>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</si>
  <si>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</si>
  <si>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</si>
  <si>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</si>
  <si>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</si>
  <si>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</si>
  <si>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</si>
  <si>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</si>
  <si>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</si>
  <si>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</si>
  <si>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</si>
  <si>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</si>
  <si>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</si>
  <si>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</si>
  <si>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</si>
  <si>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</si>
  <si>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</si>
  <si>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</si>
  <si>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</si>
  <si>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</si>
  <si>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</si>
  <si>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</si>
  <si>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</si>
  <si>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</si>
  <si>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</si>
  <si>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</si>
  <si>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</si>
  <si>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</si>
  <si>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</si>
  <si>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</si>
  <si>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</si>
  <si>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</si>
  <si>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</si>
  <si>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</si>
  <si>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</si>
  <si>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</si>
  <si>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</si>
  <si>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</si>
  <si>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</si>
  <si>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</si>
  <si>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</si>
  <si>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</si>
  <si>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</si>
  <si>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</si>
  <si>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</si>
  <si>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</si>
  <si>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</si>
  <si>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</si>
  <si>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</si>
  <si>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</si>
  <si>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</si>
  <si>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</si>
  <si>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</si>
  <si>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</si>
  <si>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</si>
  <si>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</si>
  <si>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</si>
  <si>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</si>
  <si>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</si>
  <si>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</si>
  <si>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</si>
  <si>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</si>
  <si>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</si>
  <si>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</si>
  <si>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</si>
  <si>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</si>
  <si>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</si>
  <si>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</si>
  <si>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</si>
  <si>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</si>
  <si>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</si>
  <si>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</si>
  <si>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</si>
  <si>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</si>
  <si>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</si>
  <si>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</si>
  <si>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</si>
  <si>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</si>
  <si>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</si>
  <si>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</si>
  <si>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</si>
  <si>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</si>
  <si>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</si>
  <si>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</si>
  <si>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</si>
  <si>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</si>
  <si>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</si>
  <si>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</si>
  <si>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</si>
  <si>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</si>
  <si>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</si>
  <si>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</si>
  <si>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</si>
  <si>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</si>
  <si>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</si>
  <si>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</si>
  <si>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</si>
  <si>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</si>
  <si>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</si>
  <si>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</si>
  <si>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</si>
  <si>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</si>
  <si>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</si>
  <si>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</si>
  <si>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</si>
  <si>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</si>
  <si>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</si>
  <si>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</si>
  <si>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</si>
  <si>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</si>
  <si>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</si>
  <si>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</si>
  <si>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</si>
  <si>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</si>
  <si>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</si>
  <si>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</si>
  <si>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</si>
  <si>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</si>
  <si>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</si>
  <si>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</si>
  <si>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</si>
  <si>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</si>
  <si>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</si>
  <si>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</si>
  <si>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</si>
  <si>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</si>
  <si>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</si>
  <si>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</si>
  <si>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</si>
  <si>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</si>
  <si>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</si>
  <si>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</si>
  <si>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</si>
  <si>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</si>
  <si>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</si>
  <si>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</si>
  <si>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</si>
  <si>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</si>
  <si>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</si>
  <si>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</si>
  <si>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</si>
  <si>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</si>
  <si>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</si>
  <si>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</si>
  <si>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</si>
  <si>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</si>
  <si>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</si>
  <si>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</si>
  <si>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</si>
  <si>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</si>
  <si>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</si>
  <si>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</si>
  <si>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</si>
  <si>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</si>
  <si>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</si>
  <si>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</si>
  <si>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</si>
  <si>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</si>
  <si>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</si>
  <si>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</si>
  <si>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</si>
  <si>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</si>
  <si>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</si>
  <si>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</si>
  <si>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</si>
  <si>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</si>
  <si>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</si>
  <si>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</si>
  <si>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</si>
  <si>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</si>
  <si>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</si>
  <si>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</si>
  <si>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</si>
  <si>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</si>
  <si>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</si>
  <si>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</si>
  <si>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</si>
  <si>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</si>
  <si>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</si>
  <si>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</si>
  <si>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</si>
  <si>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</si>
  <si>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</si>
  <si>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</si>
  <si>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</si>
  <si>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</si>
  <si>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</si>
  <si>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</si>
  <si>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</si>
  <si>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</si>
  <si>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</si>
  <si>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</si>
  <si>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</si>
  <si>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</si>
  <si>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</si>
  <si>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</si>
  <si>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</si>
  <si>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</si>
  <si>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</si>
  <si>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</si>
  <si>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</si>
  <si>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</si>
  <si>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</si>
  <si>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</si>
  <si>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</si>
  <si>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</si>
  <si>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</si>
  <si>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</si>
  <si>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</si>
  <si>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</si>
  <si>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</si>
  <si>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</si>
  <si>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</si>
  <si>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</si>
  <si>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</si>
  <si>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</si>
  <si>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</si>
  <si>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</si>
  <si>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</si>
  <si>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</si>
  <si>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</si>
  <si>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</si>
  <si>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</si>
  <si>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</si>
  <si>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</si>
  <si>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</si>
  <si>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</si>
  <si>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</si>
  <si>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</si>
  <si>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</si>
  <si>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</si>
  <si>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</si>
  <si>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</si>
  <si>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</si>
  <si>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</si>
  <si>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</si>
  <si>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</si>
  <si>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</si>
  <si>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</si>
  <si>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</si>
  <si>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</si>
  <si>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</si>
  <si>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</si>
  <si>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</si>
  <si>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</si>
  <si>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</si>
  <si>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</si>
  <si>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</si>
  <si>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</si>
  <si>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</si>
  <si>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</si>
  <si>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</si>
  <si>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</si>
  <si>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</si>
  <si>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</si>
  <si>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</si>
  <si>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</si>
  <si>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</si>
  <si>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</si>
  <si>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</si>
  <si>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</si>
  <si>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</si>
  <si>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</si>
  <si>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</si>
  <si>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</si>
  <si>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</si>
  <si>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</si>
  <si>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</si>
  <si>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</si>
  <si>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</si>
  <si>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</si>
  <si>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</si>
  <si>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</si>
  <si>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</si>
  <si>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</si>
  <si>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</si>
  <si>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</si>
  <si>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</si>
  <si>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</si>
  <si>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</si>
  <si>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</si>
  <si>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</si>
  <si>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</si>
  <si>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</si>
  <si>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</si>
  <si>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</si>
  <si>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</si>
  <si>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</si>
  <si>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</si>
  <si>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</si>
  <si>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</si>
  <si>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</si>
  <si>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</si>
  <si>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</si>
  <si>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</si>
  <si>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</si>
  <si>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</si>
  <si>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</si>
  <si>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</si>
  <si>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</si>
  <si>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</si>
  <si>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</si>
  <si>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</si>
  <si>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</si>
  <si>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</si>
  <si>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</si>
  <si>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</si>
  <si>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</si>
  <si>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</si>
  <si>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</si>
  <si>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</si>
  <si>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</si>
  <si>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</si>
  <si>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</si>
  <si>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</si>
  <si>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</si>
  <si>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</si>
  <si>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</si>
  <si>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</si>
  <si>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</si>
  <si>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</si>
  <si>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</si>
  <si>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</si>
  <si>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</si>
  <si>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</si>
  <si>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</si>
  <si>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</si>
  <si>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</si>
  <si>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</si>
  <si>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</si>
  <si>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</si>
  <si>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</si>
  <si>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</si>
  <si>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</si>
  <si>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</si>
  <si>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</si>
  <si>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</si>
  <si>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</si>
  <si>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</si>
  <si>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</si>
  <si>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</si>
  <si>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</si>
  <si>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</si>
  <si>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</si>
  <si>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</si>
  <si>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</si>
  <si>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</si>
  <si>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</si>
  <si>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</si>
  <si>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</si>
  <si>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</si>
  <si>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</si>
  <si>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</si>
  <si>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</si>
  <si>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</si>
  <si>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</si>
  <si>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</si>
  <si>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</si>
  <si>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</si>
  <si>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</si>
  <si>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</si>
  <si>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</si>
  <si>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</si>
  <si>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</si>
  <si>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</si>
  <si>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</si>
  <si>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</si>
  <si>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</si>
  <si>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</si>
  <si>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</si>
  <si>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</si>
  <si>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</si>
  <si>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</si>
  <si>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</si>
  <si>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</si>
  <si>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</si>
  <si>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</si>
  <si>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</si>
  <si>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</si>
  <si>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</si>
  <si>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</si>
  <si>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</si>
  <si>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</si>
  <si>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</si>
  <si>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</si>
  <si>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</si>
  <si>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</si>
  <si>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</si>
  <si>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</si>
  <si>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</si>
  <si>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</si>
  <si>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</si>
  <si>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</si>
  <si>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</si>
  <si>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</si>
  <si>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</si>
  <si>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</si>
  <si>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</si>
  <si>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</si>
  <si>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</si>
  <si>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</si>
  <si>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</si>
  <si>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</si>
  <si>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</si>
  <si>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</si>
  <si>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</si>
  <si>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</si>
  <si>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</si>
  <si>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</si>
  <si>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</si>
  <si>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</si>
  <si>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</si>
  <si>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</si>
  <si>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</si>
  <si>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</si>
  <si>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</si>
  <si>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</si>
  <si>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</si>
  <si>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</si>
  <si>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</si>
  <si>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</si>
  <si>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</si>
  <si>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</si>
  <si>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</si>
  <si>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</si>
  <si>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</si>
  <si>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</si>
  <si>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</si>
  <si>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</si>
  <si>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</si>
  <si>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</si>
  <si>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</si>
  <si>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</si>
  <si>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</si>
  <si>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</si>
  <si>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</si>
  <si>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</si>
  <si>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</si>
  <si>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</si>
  <si>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</si>
  <si>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</si>
  <si>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</si>
  <si>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</si>
  <si>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</si>
  <si>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</si>
  <si>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</si>
  <si>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</si>
  <si>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</si>
  <si>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</si>
  <si>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</si>
  <si>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</si>
  <si>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</si>
  <si>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</si>
  <si>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</si>
  <si>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</si>
  <si>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</si>
  <si>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</si>
  <si>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</si>
  <si>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</si>
  <si>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</si>
  <si>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</si>
  <si>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</si>
  <si>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</si>
  <si>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</si>
  <si>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</si>
  <si>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</si>
  <si>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</si>
  <si>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</si>
  <si>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</si>
  <si>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</si>
  <si>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</si>
  <si>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</si>
  <si>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</si>
  <si>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</si>
  <si>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</si>
  <si>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</si>
  <si>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</si>
  <si>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</si>
  <si>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</si>
  <si>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</si>
  <si>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</si>
  <si>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</si>
  <si>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</si>
  <si>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</si>
  <si>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</si>
  <si>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</si>
  <si>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</si>
  <si>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</si>
  <si>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</si>
  <si>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</si>
  <si>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</si>
  <si>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</si>
  <si>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</si>
  <si>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</si>
  <si>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</si>
  <si>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</si>
  <si>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</si>
  <si>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</si>
  <si>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</si>
  <si>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</si>
  <si>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</si>
  <si>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</si>
  <si>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</si>
  <si>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</si>
  <si>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</si>
  <si>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</si>
  <si>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</si>
  <si>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</si>
  <si>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</si>
  <si>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</si>
  <si>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</si>
  <si>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</si>
  <si>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</si>
  <si>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</si>
  <si>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</si>
  <si>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</si>
  <si>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</si>
  <si>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</si>
  <si>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</si>
  <si>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</si>
  <si>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</si>
  <si>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</si>
  <si>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</si>
  <si>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</si>
  <si>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</si>
  <si>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</si>
  <si>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</si>
  <si>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</si>
  <si>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</si>
  <si>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</si>
  <si>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</si>
  <si>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</si>
  <si>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</si>
  <si>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</si>
  <si>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</si>
  <si>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</si>
  <si>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</si>
  <si>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</si>
  <si>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</si>
  <si>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</si>
  <si>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</si>
  <si>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</si>
  <si>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</si>
  <si>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</si>
  <si>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</si>
  <si>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</si>
  <si>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</si>
  <si>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</si>
  <si>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</si>
  <si>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</si>
  <si>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</si>
  <si>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</si>
  <si>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</si>
  <si>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</si>
  <si>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</si>
  <si>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</si>
  <si>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</si>
  <si>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</si>
  <si>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</si>
  <si>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</si>
  <si>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</si>
  <si>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</si>
  <si>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</si>
  <si>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</si>
  <si>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</si>
  <si>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</si>
  <si>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</si>
  <si>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</si>
  <si>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</si>
  <si>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</si>
  <si>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</si>
  <si>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</si>
  <si>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</si>
  <si>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</si>
  <si>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</si>
  <si>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</si>
  <si>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</si>
  <si>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</si>
  <si>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</si>
  <si>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</si>
  <si>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</si>
  <si>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</si>
  <si>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</si>
  <si>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</si>
  <si>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</si>
  <si>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</si>
  <si>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</si>
  <si>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</si>
  <si>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</si>
  <si>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</si>
  <si>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</si>
  <si>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</si>
  <si>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</si>
  <si>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</si>
  <si>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</si>
  <si>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</si>
  <si>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</si>
  <si>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</si>
  <si>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</si>
  <si>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</si>
  <si>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</si>
  <si>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</si>
  <si>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</si>
  <si>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</si>
  <si>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</si>
  <si>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</si>
  <si>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</si>
  <si>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</si>
  <si>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</si>
  <si>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</si>
  <si>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</si>
  <si>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</si>
  <si>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</si>
  <si>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</si>
  <si>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</si>
  <si>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</si>
  <si>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</si>
  <si>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</si>
  <si>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</si>
  <si>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</si>
  <si>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</si>
  <si>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</si>
  <si>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</si>
  <si>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</si>
  <si>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</si>
  <si>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</si>
  <si>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</si>
  <si>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</si>
  <si>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</si>
  <si>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</si>
  <si>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</si>
  <si>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</si>
  <si>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</si>
  <si>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</si>
  <si>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</si>
  <si>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</si>
  <si>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</si>
  <si>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</si>
  <si>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</si>
  <si>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</si>
  <si>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</si>
  <si>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</si>
  <si>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</si>
  <si>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</si>
  <si>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</si>
  <si>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</si>
  <si>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</si>
  <si>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</si>
  <si>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</si>
  <si>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</si>
  <si>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</si>
  <si>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</si>
  <si>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</si>
  <si>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</si>
  <si>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</si>
  <si>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</si>
  <si>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</si>
  <si>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</si>
  <si>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</si>
  <si>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</si>
  <si>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</si>
  <si>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</si>
  <si>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</si>
  <si>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</si>
  <si>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</si>
  <si>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</si>
  <si>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</si>
  <si>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</si>
  <si>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</si>
  <si>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</si>
  <si>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</si>
  <si>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</si>
  <si>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</si>
  <si>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</si>
  <si>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</si>
  <si>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</si>
  <si>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</si>
  <si>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</si>
  <si>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</si>
  <si>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</si>
  <si>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</si>
  <si>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</si>
  <si>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</si>
  <si>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</si>
  <si>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</si>
  <si>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</si>
  <si>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</si>
  <si>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</si>
  <si>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</si>
  <si>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</si>
  <si>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</si>
  <si>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</si>
  <si>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</si>
  <si>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</si>
  <si>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</si>
  <si>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</si>
  <si>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</si>
  <si>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</si>
  <si>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</si>
  <si>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</si>
  <si>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</si>
  <si>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</si>
  <si>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</si>
  <si>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</si>
  <si>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</si>
  <si>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</si>
  <si>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</si>
  <si>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</si>
  <si>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</si>
  <si>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</si>
  <si>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</si>
  <si>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</si>
  <si>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</si>
  <si>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</si>
  <si>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</si>
  <si>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</si>
  <si>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</si>
  <si>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</si>
  <si>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</si>
  <si>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</si>
  <si>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</si>
  <si>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</si>
  <si>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</si>
  <si>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</si>
  <si>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</si>
  <si>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</si>
  <si>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</si>
  <si>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</si>
  <si>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</si>
  <si>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</si>
  <si>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</si>
  <si>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</si>
  <si>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</si>
  <si>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</si>
  <si>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</si>
  <si>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</si>
  <si>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</si>
  <si>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</si>
  <si>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</si>
  <si>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</si>
  <si>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</si>
  <si>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</si>
  <si>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</si>
  <si>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</si>
  <si>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</si>
  <si>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</si>
  <si>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</si>
  <si>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</si>
  <si>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</si>
  <si>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</si>
  <si>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</si>
  <si>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</si>
  <si>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</si>
  <si>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</si>
  <si>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</si>
  <si>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</si>
  <si>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</si>
  <si>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</si>
  <si>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</si>
  <si>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</si>
  <si>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</si>
  <si>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</si>
  <si>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</si>
  <si>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</si>
  <si>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</si>
  <si>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</si>
  <si>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</si>
  <si>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</si>
  <si>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</si>
  <si>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</si>
  <si>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</si>
  <si>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</si>
  <si>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</si>
  <si>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</si>
  <si>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</si>
  <si>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</si>
  <si>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</si>
  <si>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</si>
  <si>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</si>
  <si>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</si>
  <si>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</si>
  <si>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</si>
  <si>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</si>
  <si>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</si>
  <si>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</si>
  <si>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</si>
  <si>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</si>
  <si>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</si>
  <si>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</si>
  <si>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</si>
  <si>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</si>
  <si>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</si>
  <si>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</si>
  <si>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</si>
  <si>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</si>
  <si>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</si>
  <si>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</si>
  <si>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</si>
  <si>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</si>
  <si>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</si>
  <si>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</si>
  <si>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</si>
  <si>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</si>
  <si>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</si>
  <si>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</si>
  <si>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</si>
  <si>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</si>
  <si>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</si>
  <si>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</si>
  <si>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</si>
  <si>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</si>
  <si>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</si>
  <si>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</si>
  <si>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</si>
  <si>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</si>
  <si>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</si>
  <si>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</si>
  <si>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</si>
  <si>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</si>
  <si>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</si>
  <si>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</si>
  <si>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</si>
  <si>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</si>
  <si>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</si>
  <si>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</si>
  <si>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</si>
  <si>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</si>
  <si>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</si>
  <si>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</si>
  <si>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</si>
  <si>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</si>
  <si>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</si>
  <si>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</si>
  <si>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</si>
  <si>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</si>
  <si>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</si>
  <si>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</si>
  <si>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</si>
  <si>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</si>
  <si>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</si>
  <si>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</si>
  <si>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</si>
  <si>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</si>
  <si>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</si>
  <si>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</si>
  <si>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</si>
  <si>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</si>
  <si>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</si>
  <si>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</si>
  <si>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</si>
  <si>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</si>
  <si>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</si>
  <si>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</si>
  <si>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</si>
  <si>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</si>
  <si>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</si>
  <si>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</si>
  <si>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</si>
  <si>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</si>
  <si>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</si>
  <si>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</si>
  <si>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</si>
  <si>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</si>
  <si>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</si>
  <si>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</si>
  <si>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</si>
  <si>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</si>
  <si>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</si>
  <si>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</si>
  <si>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</si>
  <si>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</si>
  <si>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</si>
  <si>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</si>
  <si>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</si>
  <si>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</si>
  <si>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</si>
  <si>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</si>
  <si>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</si>
  <si>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</si>
  <si>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</si>
  <si>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</si>
  <si>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</si>
  <si>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</si>
  <si>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</si>
  <si>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</si>
  <si>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</si>
  <si>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</si>
  <si>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</si>
  <si>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</si>
  <si>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</si>
  <si>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</si>
  <si>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</si>
  <si>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</si>
  <si>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</si>
  <si>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</si>
  <si>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</si>
  <si>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</si>
  <si>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</si>
  <si>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</si>
  <si>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</si>
  <si>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</si>
  <si>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</si>
  <si>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</si>
  <si>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</si>
  <si>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</si>
  <si>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</si>
  <si>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</si>
  <si>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</si>
  <si>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</si>
  <si>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</si>
  <si>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</si>
  <si>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</si>
  <si>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</si>
  <si>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</si>
  <si>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</si>
  <si>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</si>
  <si>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</si>
  <si>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</si>
  <si>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</si>
  <si>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</si>
  <si>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</si>
  <si>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</si>
  <si>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</si>
  <si>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</si>
  <si>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</si>
  <si>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</si>
  <si>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</si>
  <si>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</si>
  <si>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</si>
  <si>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</si>
  <si>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</si>
  <si>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</si>
  <si>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</si>
  <si>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</si>
  <si>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</si>
  <si>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</si>
  <si>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</si>
  <si>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</si>
  <si>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</si>
  <si>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</si>
  <si>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</si>
  <si>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</si>
  <si>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</si>
  <si>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</si>
  <si>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</si>
  <si>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</si>
  <si>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</si>
  <si>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</si>
  <si>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</si>
  <si>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</si>
  <si>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</si>
  <si>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</si>
  <si>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</si>
  <si>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</si>
  <si>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</si>
  <si>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</si>
  <si>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</si>
  <si>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</si>
  <si>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</si>
  <si>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</si>
  <si>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</si>
  <si>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</si>
  <si>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</si>
  <si>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</si>
  <si>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</si>
  <si>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</si>
  <si>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</si>
  <si>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</si>
  <si>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</si>
  <si>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</si>
  <si>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</si>
  <si>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</si>
  <si>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</si>
  <si>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</si>
  <si>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</si>
  <si>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</si>
  <si>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</si>
  <si>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</si>
  <si>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</si>
  <si>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</si>
  <si>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</si>
  <si>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</si>
  <si>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</si>
  <si>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</si>
  <si>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</si>
  <si>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</si>
  <si>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</si>
  <si>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</si>
  <si>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</si>
  <si>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</si>
  <si>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</si>
  <si>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</si>
  <si>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</si>
  <si>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</si>
  <si>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</si>
  <si>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</si>
  <si>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</si>
  <si>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</si>
  <si>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</si>
  <si>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</si>
  <si>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</si>
  <si>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</si>
  <si>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</si>
  <si>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</si>
  <si>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</si>
  <si>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</si>
  <si>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</si>
  <si>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</si>
  <si>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</si>
  <si>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</si>
  <si>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</si>
  <si>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</si>
  <si>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</si>
  <si>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</si>
  <si>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</si>
  <si>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</si>
  <si>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</si>
  <si>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</si>
  <si>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</si>
  <si>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</si>
  <si>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</si>
  <si>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</si>
  <si>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</si>
  <si>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</si>
  <si>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</si>
  <si>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</si>
  <si>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</si>
  <si>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</si>
  <si>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</si>
  <si>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</si>
  <si>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</si>
  <si>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</si>
  <si>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</si>
  <si>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</si>
  <si>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</si>
  <si>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</si>
  <si>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</si>
  <si>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</si>
  <si>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</si>
  <si>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</si>
  <si>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</si>
  <si>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</si>
  <si>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</si>
  <si>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</si>
  <si>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</si>
  <si>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</si>
  <si>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</si>
  <si>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</si>
  <si>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</si>
  <si>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</si>
  <si>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</si>
  <si>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</si>
  <si>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</si>
  <si>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</si>
  <si>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</si>
  <si>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</si>
  <si>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</si>
  <si>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</si>
  <si>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</si>
  <si>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</si>
  <si>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</si>
  <si>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</si>
  <si>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</si>
  <si>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</si>
  <si>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</si>
  <si>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</si>
  <si>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</si>
  <si>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</si>
  <si>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</si>
  <si>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</si>
  <si>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</si>
  <si>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</si>
  <si>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</si>
  <si>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</si>
  <si>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</si>
  <si>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</si>
  <si>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</si>
  <si>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</si>
  <si>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</si>
  <si>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</si>
  <si>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</si>
  <si>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</si>
  <si>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</si>
  <si>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</si>
  <si>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</si>
  <si>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</si>
  <si>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</si>
  <si>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</si>
  <si>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</si>
  <si>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</si>
  <si>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</si>
  <si>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</si>
  <si>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</si>
  <si>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</si>
  <si>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</si>
  <si>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</si>
  <si>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</si>
  <si>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</si>
  <si>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</si>
  <si>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</si>
  <si>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</si>
  <si>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</si>
  <si>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</si>
  <si>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</si>
  <si>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</si>
  <si>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</si>
  <si>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</si>
  <si>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</si>
  <si>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</si>
  <si>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</si>
  <si>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</si>
  <si>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</si>
  <si>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</si>
  <si>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</si>
  <si>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</si>
  <si>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</si>
  <si>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</si>
  <si>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</si>
  <si>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</si>
  <si>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</si>
  <si>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</si>
  <si>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</si>
  <si>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</si>
  <si>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</si>
  <si>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</si>
  <si>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</si>
  <si>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</si>
  <si>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</si>
  <si>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</si>
  <si>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</si>
  <si>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</si>
  <si>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</si>
  <si>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</si>
  <si>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</si>
  <si>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</si>
  <si>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</si>
  <si>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</si>
  <si>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</si>
  <si>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</si>
  <si>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</si>
  <si>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</si>
  <si>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</si>
  <si>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</si>
  <si>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</si>
  <si>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</si>
  <si>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</si>
  <si>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</si>
  <si>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</si>
  <si>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</si>
  <si>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</si>
  <si>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</si>
  <si>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</si>
  <si>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</si>
  <si>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</si>
  <si>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</si>
  <si>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</si>
  <si>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</si>
  <si>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</si>
  <si>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</si>
  <si>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</si>
  <si>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</si>
  <si>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</si>
  <si>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</si>
  <si>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</si>
  <si>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</si>
  <si>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</si>
  <si>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</si>
  <si>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</si>
  <si>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</si>
  <si>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</si>
  <si>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</si>
  <si>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</si>
  <si>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</si>
  <si>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</si>
  <si>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</si>
  <si>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</si>
  <si>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</si>
  <si>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</si>
  <si>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</si>
  <si>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</si>
  <si>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</si>
  <si>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</si>
  <si>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</si>
  <si>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</si>
  <si>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</si>
  <si>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</si>
  <si>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</si>
  <si>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</si>
  <si>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</si>
  <si>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</si>
  <si>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</si>
  <si>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</si>
  <si>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</si>
  <si>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</si>
  <si>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</si>
  <si>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</si>
  <si>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</si>
  <si>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</si>
  <si>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</si>
  <si>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</si>
  <si>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</si>
  <si>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</si>
  <si>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</si>
  <si>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</si>
  <si>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</si>
  <si>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</si>
  <si>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</si>
  <si>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</si>
  <si>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</si>
  <si>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</si>
  <si>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</si>
  <si>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</si>
  <si>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</si>
  <si>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</si>
  <si>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</si>
  <si>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</si>
  <si>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</si>
  <si>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</si>
  <si>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</si>
  <si>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</si>
  <si>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</si>
  <si>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</si>
  <si>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</si>
  <si>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</si>
  <si>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</si>
  <si>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</si>
  <si>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</si>
  <si>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</si>
  <si>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</si>
  <si>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</si>
  <si>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</si>
  <si>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</si>
  <si>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</si>
  <si>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</si>
  <si>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</si>
  <si>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</si>
  <si>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</si>
  <si>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</si>
  <si>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</si>
  <si>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</si>
  <si>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</si>
  <si>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</si>
  <si>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</si>
  <si>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</si>
  <si>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</si>
  <si>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</si>
  <si>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</si>
  <si>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</si>
  <si>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</si>
  <si>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</si>
  <si>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</si>
  <si>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</si>
  <si>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</si>
  <si>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</si>
  <si>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</si>
  <si>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</si>
  <si>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</si>
  <si>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</si>
  <si>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</si>
  <si>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</si>
  <si>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</si>
  <si>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</si>
  <si>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</si>
  <si>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</si>
  <si>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</si>
  <si>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</si>
  <si>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</si>
  <si>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</si>
  <si>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</si>
  <si>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</si>
  <si>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</si>
  <si>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</si>
  <si>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</si>
  <si>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</si>
  <si>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</si>
  <si>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</si>
  <si>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</si>
  <si>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</si>
  <si>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</si>
  <si>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</si>
  <si>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</si>
  <si>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</si>
  <si>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</si>
  <si>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</si>
  <si>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</si>
  <si>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</si>
  <si>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</si>
  <si>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</si>
  <si>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</si>
  <si>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</si>
  <si>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</si>
  <si>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</si>
  <si>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</si>
  <si>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</si>
  <si>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</si>
  <si>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</si>
  <si>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</si>
  <si>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</si>
  <si>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</si>
  <si>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</si>
  <si>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</si>
  <si>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</si>
  <si>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</si>
  <si>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</si>
  <si>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</si>
  <si>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</si>
  <si>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</si>
  <si>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</si>
  <si>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</si>
  <si>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</si>
  <si>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</si>
  <si>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</si>
  <si>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</si>
  <si>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</si>
  <si>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</si>
  <si>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</si>
  <si>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</si>
  <si>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</si>
  <si>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</si>
  <si>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</si>
  <si>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</si>
  <si>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</si>
  <si>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</si>
  <si>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</si>
  <si>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</si>
  <si>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</si>
  <si>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</si>
  <si>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</si>
  <si>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</si>
  <si>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</si>
  <si>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</si>
  <si>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</si>
  <si>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</si>
  <si>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</si>
  <si>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</si>
  <si>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</si>
  <si>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</si>
  <si>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</si>
  <si>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</si>
  <si>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</si>
  <si>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</si>
  <si>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</si>
  <si>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</si>
  <si>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</si>
  <si>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</si>
  <si>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</si>
  <si>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</si>
  <si>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</si>
  <si>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</si>
  <si>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</si>
  <si>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</si>
  <si>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</si>
  <si>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</si>
  <si>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</si>
  <si>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</si>
  <si>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</si>
  <si>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</si>
  <si>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</si>
  <si>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</si>
  <si>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</si>
  <si>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</si>
  <si>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</si>
  <si>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</si>
  <si>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</si>
  <si>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</si>
  <si>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</si>
  <si>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</si>
  <si>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</si>
  <si>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</si>
  <si>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</si>
  <si>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</si>
  <si>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</si>
  <si>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</si>
  <si>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</si>
  <si>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</si>
  <si>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</si>
  <si>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</si>
  <si>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</si>
  <si>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</si>
  <si>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</si>
  <si>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</si>
  <si>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</si>
  <si>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</si>
  <si>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</si>
  <si>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</si>
  <si>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</si>
  <si>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</si>
  <si>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</si>
  <si>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</si>
  <si>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</si>
  <si>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</si>
  <si>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</si>
  <si>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</si>
  <si>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</si>
  <si>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</si>
  <si>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</si>
  <si>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</si>
  <si>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</si>
  <si>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</si>
  <si>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</si>
  <si>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</si>
  <si>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</si>
  <si>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</si>
  <si>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</si>
  <si>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</si>
  <si>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</si>
  <si>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</si>
  <si>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</si>
  <si>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</si>
  <si>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</si>
  <si>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</si>
  <si>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</si>
  <si>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</si>
  <si>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</si>
  <si>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</si>
  <si>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</si>
  <si>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</si>
  <si>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</si>
  <si>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</si>
  <si>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</si>
  <si>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</si>
  <si>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</si>
  <si>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</si>
  <si>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</si>
  <si>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</si>
  <si>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</si>
  <si>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</si>
  <si>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</si>
  <si>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</si>
  <si>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</si>
  <si>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</si>
  <si>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</si>
  <si>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</si>
  <si>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</si>
  <si>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</si>
  <si>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</si>
  <si>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</si>
  <si>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</si>
  <si>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</si>
  <si>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</si>
  <si>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</si>
  <si>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</si>
  <si>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</si>
  <si>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</si>
  <si>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</si>
  <si>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</si>
  <si>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</si>
  <si>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</si>
  <si>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</si>
  <si>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</si>
  <si>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</si>
  <si>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</si>
  <si>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</si>
  <si>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</si>
  <si>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</si>
  <si>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</si>
  <si>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</si>
  <si>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</si>
  <si>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</si>
  <si>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</si>
  <si>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</si>
  <si>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</si>
  <si>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</si>
  <si>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</si>
  <si>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</si>
  <si>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</si>
  <si>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</si>
  <si>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</si>
  <si>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</si>
  <si>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</si>
  <si>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</si>
  <si>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</si>
  <si>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</si>
  <si>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</si>
  <si>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</si>
  <si>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</si>
  <si>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</si>
  <si>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</si>
  <si>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</si>
  <si>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</si>
  <si>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</si>
  <si>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</si>
  <si>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</si>
  <si>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</si>
  <si>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</si>
  <si>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</si>
  <si>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</si>
  <si>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</si>
  <si>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</si>
  <si>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</si>
  <si>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</si>
  <si>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</si>
  <si>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</si>
  <si>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</si>
  <si>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</si>
  <si>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</si>
  <si>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</si>
  <si>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</si>
  <si>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</si>
  <si>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</si>
  <si>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</si>
  <si>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</si>
  <si>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</si>
  <si>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</si>
  <si>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</si>
  <si>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</si>
  <si>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</si>
  <si>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</si>
  <si>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</si>
  <si>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</si>
  <si>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</si>
  <si>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</si>
  <si>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</si>
  <si>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</si>
  <si>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</si>
  <si>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</si>
  <si>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</si>
  <si>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</si>
  <si>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</si>
  <si>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</si>
  <si>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</si>
  <si>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</si>
  <si>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</si>
  <si>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</si>
  <si>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</si>
  <si>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</si>
  <si>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</si>
  <si>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</si>
  <si>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</si>
  <si>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</si>
  <si>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</si>
  <si>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</si>
  <si>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</si>
  <si>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</si>
  <si>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</si>
  <si>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</si>
  <si>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</si>
  <si>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</si>
  <si>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</si>
  <si>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</si>
  <si>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</si>
  <si>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</si>
  <si>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</si>
  <si>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</si>
  <si>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</si>
  <si>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</si>
  <si>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</si>
  <si>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</si>
  <si>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</si>
  <si>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</si>
  <si>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</si>
  <si>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</si>
  <si>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</si>
  <si>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</si>
  <si>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</si>
  <si>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</si>
  <si>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</si>
  <si>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</si>
  <si>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</si>
  <si>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</si>
  <si>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</si>
  <si>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</si>
  <si>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</si>
  <si>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</si>
  <si>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</si>
  <si>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</si>
  <si>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</si>
  <si>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</si>
  <si>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</si>
  <si>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</si>
  <si>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</si>
  <si>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</si>
  <si>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</si>
  <si>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</si>
  <si>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</si>
  <si>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</si>
  <si>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</si>
  <si>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</si>
  <si>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</si>
  <si>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</si>
  <si>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</si>
  <si>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</si>
  <si>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</si>
  <si>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</si>
  <si>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</si>
  <si>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</si>
  <si>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</si>
  <si>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</si>
  <si>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</si>
  <si>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</si>
  <si>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</si>
  <si>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</si>
  <si>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</si>
  <si>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</si>
  <si>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</si>
  <si>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</si>
  <si>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</si>
  <si>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</si>
  <si>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</si>
  <si>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</si>
  <si>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</si>
  <si>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</si>
  <si>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</si>
  <si>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</si>
  <si>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</si>
  <si>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</si>
  <si>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</si>
  <si>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</si>
  <si>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</si>
  <si>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</si>
  <si>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</si>
  <si>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</si>
  <si>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</si>
  <si>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</si>
  <si>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</si>
  <si>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</si>
  <si>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</si>
  <si>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</si>
  <si>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</si>
  <si>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</si>
  <si>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</si>
  <si>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</si>
  <si>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</si>
  <si>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</si>
  <si>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</si>
  <si>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</si>
  <si>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</si>
  <si>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</si>
  <si>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</si>
  <si>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</si>
  <si>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</si>
  <si>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</si>
  <si>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</si>
  <si>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</si>
  <si>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</si>
  <si>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</si>
  <si>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</si>
  <si>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</si>
  <si>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</si>
  <si>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</si>
  <si>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</si>
  <si>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</si>
  <si>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</si>
  <si>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</si>
  <si>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</si>
  <si>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</si>
  <si>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</si>
  <si>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</si>
  <si>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</si>
  <si>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</si>
  <si>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</si>
  <si>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</si>
  <si>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</si>
  <si>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</si>
  <si>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</si>
  <si>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</si>
  <si>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</si>
  <si>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</si>
  <si>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</si>
  <si>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</si>
  <si>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</si>
  <si>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</si>
  <si>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</si>
  <si>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</si>
  <si>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</si>
  <si>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</si>
  <si>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</si>
  <si>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</si>
  <si>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</si>
  <si>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</si>
  <si>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</si>
  <si>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</si>
  <si>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</si>
  <si>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</si>
  <si>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</si>
  <si>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</si>
  <si>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</si>
  <si>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</si>
  <si>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</si>
  <si>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</si>
  <si>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</si>
  <si>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</si>
  <si>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</si>
  <si>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</si>
  <si>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</si>
  <si>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</si>
  <si>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</si>
  <si>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</si>
  <si>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</si>
  <si>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</si>
  <si>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</si>
  <si>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</si>
  <si>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</si>
  <si>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</si>
  <si>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</si>
  <si>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</si>
  <si>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</si>
  <si>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</si>
  <si>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</si>
  <si>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</si>
  <si>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</si>
  <si>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</si>
  <si>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</si>
  <si>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</si>
  <si>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</si>
  <si>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</si>
  <si>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</si>
  <si>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</si>
  <si>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</si>
  <si>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</si>
  <si>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</si>
  <si>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</si>
  <si>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</si>
  <si>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</si>
  <si>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</si>
  <si>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</si>
  <si>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</si>
  <si>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</si>
  <si>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</si>
  <si>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</si>
  <si>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</si>
  <si>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</si>
  <si>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</si>
  <si>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</si>
  <si>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</si>
  <si>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</si>
  <si>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</si>
  <si>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</si>
  <si>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</si>
  <si>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</si>
  <si>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</si>
  <si>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</si>
  <si>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</si>
  <si>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</si>
  <si>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</si>
  <si>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</si>
  <si>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</si>
  <si>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</si>
  <si>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</si>
  <si>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</si>
  <si>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</si>
  <si>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</si>
  <si>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</si>
  <si>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</si>
  <si>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</si>
  <si>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</si>
  <si>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</si>
  <si>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</si>
  <si>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</si>
  <si>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</si>
  <si>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</si>
  <si>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</si>
  <si>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</si>
  <si>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</si>
  <si>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</si>
  <si>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</si>
  <si>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</si>
  <si>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</si>
  <si>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</si>
  <si>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</si>
  <si>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</si>
  <si>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</si>
  <si>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</si>
  <si>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</si>
  <si>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</si>
  <si>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</si>
  <si>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</si>
  <si>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</si>
  <si>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</si>
  <si>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</si>
  <si>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</si>
  <si>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</si>
  <si>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</si>
  <si>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</si>
  <si>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</si>
  <si>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</si>
  <si>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</si>
  <si>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</si>
  <si>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</si>
  <si>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</si>
  <si>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</si>
  <si>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</si>
  <si>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</si>
  <si>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</si>
  <si>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</si>
  <si>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</si>
  <si>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</si>
  <si>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</si>
  <si>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</si>
  <si>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</si>
  <si>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</si>
  <si>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</si>
  <si>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</si>
  <si>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</si>
  <si>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</si>
  <si>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</si>
  <si>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</si>
  <si>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</si>
  <si>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</si>
  <si>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</si>
  <si>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</si>
  <si>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</si>
  <si>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</si>
  <si>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</si>
  <si>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</si>
  <si>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</si>
  <si>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</si>
  <si>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</si>
  <si>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</si>
  <si>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</si>
  <si>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</si>
  <si>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</si>
  <si>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</si>
  <si>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</si>
  <si>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</si>
  <si>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</si>
  <si>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</si>
  <si>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</si>
  <si>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</si>
  <si>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</si>
  <si>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</si>
  <si>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</si>
  <si>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</si>
  <si>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</si>
  <si>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</si>
  <si>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</si>
  <si>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</si>
  <si>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</si>
  <si>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</si>
  <si>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</si>
  <si>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</si>
  <si>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</si>
  <si>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</si>
  <si>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</si>
  <si>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</si>
  <si>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</si>
  <si>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</si>
  <si>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</si>
  <si>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</si>
  <si>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</si>
  <si>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</si>
  <si>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</si>
  <si>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</si>
  <si>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</si>
  <si>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</si>
  <si>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</si>
  <si>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</si>
  <si>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</si>
  <si>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</si>
  <si>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</si>
  <si>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</si>
  <si>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</si>
  <si>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</si>
  <si>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</si>
  <si>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</si>
  <si>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</si>
  <si>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</si>
  <si>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</si>
  <si>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</si>
  <si>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</si>
  <si>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</si>
  <si>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</si>
  <si>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</si>
  <si>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</si>
  <si>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</si>
  <si>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</si>
  <si>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</si>
  <si>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</si>
  <si>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</si>
  <si>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</si>
  <si>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</si>
  <si>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</si>
  <si>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</si>
  <si>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</si>
  <si>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</si>
  <si>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</si>
  <si>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</si>
  <si>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</si>
  <si>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</si>
  <si>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</si>
  <si>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</si>
  <si>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</si>
  <si>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</si>
  <si>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</si>
  <si>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</si>
  <si>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</si>
  <si>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</si>
  <si>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</si>
  <si>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</si>
  <si>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</si>
  <si>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</si>
  <si>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</si>
  <si>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</si>
  <si>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</si>
  <si>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</si>
  <si>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</si>
  <si>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</si>
  <si>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</si>
  <si>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</si>
  <si>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</si>
  <si>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</si>
  <si>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</si>
  <si>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</si>
  <si>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</si>
  <si>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</si>
  <si>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</si>
  <si>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</si>
  <si>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</si>
  <si>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</si>
  <si>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</si>
  <si>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</si>
  <si>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</si>
  <si>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</si>
  <si>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</si>
  <si>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</si>
  <si>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</si>
  <si>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</si>
  <si>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</si>
  <si>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</si>
  <si>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</si>
  <si>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</si>
  <si>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</si>
  <si>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</si>
  <si>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</si>
  <si>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</si>
  <si>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</si>
  <si>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</si>
  <si>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</si>
  <si>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</si>
  <si>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</si>
  <si>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</si>
  <si>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</si>
  <si>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</si>
  <si>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</si>
  <si>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</si>
  <si>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</si>
  <si>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</si>
  <si>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</si>
  <si>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</si>
  <si>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</si>
  <si>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</si>
  <si>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</si>
  <si>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</si>
  <si>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</si>
  <si>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</si>
  <si>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</si>
  <si>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</si>
  <si>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</si>
  <si>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</si>
  <si>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</si>
  <si>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</si>
  <si>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</si>
  <si>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</si>
  <si>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</si>
  <si>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</si>
  <si>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</si>
  <si>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</si>
  <si>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</si>
  <si>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</si>
  <si>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</si>
  <si>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</si>
  <si>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</si>
  <si>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</si>
  <si>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</si>
  <si>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</si>
  <si>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</si>
  <si>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</si>
  <si>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</si>
  <si>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</si>
  <si>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</si>
  <si>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</si>
  <si>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</si>
  <si>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</si>
  <si>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</si>
  <si>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</si>
  <si>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</si>
  <si>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</si>
  <si>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</si>
  <si>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</si>
  <si>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</si>
  <si>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</si>
  <si>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</si>
  <si>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</si>
  <si>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</si>
  <si>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</si>
  <si>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</si>
  <si>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</si>
  <si>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</si>
  <si>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</si>
  <si>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</si>
  <si>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</si>
  <si>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</si>
  <si>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</si>
  <si>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</si>
  <si>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</si>
  <si>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</si>
  <si>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</si>
  <si>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</si>
  <si>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</si>
  <si>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</si>
  <si>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</si>
  <si>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</si>
  <si>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</si>
  <si>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</si>
  <si>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</si>
  <si>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</si>
  <si>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</si>
  <si>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</si>
  <si>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</si>
  <si>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</si>
  <si>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</si>
  <si>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</si>
  <si>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</si>
  <si>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</si>
  <si>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</si>
  <si>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</si>
  <si>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</si>
  <si>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</si>
  <si>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</si>
  <si>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</si>
  <si>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</si>
  <si>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</si>
  <si>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</si>
  <si>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</si>
  <si>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</si>
  <si>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</si>
  <si>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</si>
  <si>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</si>
  <si>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</si>
  <si>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</si>
  <si>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</si>
  <si>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</si>
  <si>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</si>
  <si>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</si>
  <si>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</si>
  <si>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</si>
  <si>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</si>
  <si>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</si>
  <si>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</si>
  <si>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</si>
  <si>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</si>
  <si>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</si>
  <si>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</si>
  <si>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</si>
  <si>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</si>
  <si>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</si>
  <si>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</si>
  <si>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</si>
  <si>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</si>
  <si>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</si>
  <si>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</si>
  <si>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</si>
  <si>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</si>
  <si>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</si>
  <si>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</si>
  <si>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</si>
  <si>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</si>
  <si>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</si>
  <si>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</si>
  <si>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</si>
  <si>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</si>
  <si>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</si>
  <si>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</si>
  <si>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</si>
  <si>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</si>
  <si>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</si>
  <si>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</si>
  <si>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</si>
  <si>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</si>
  <si>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</si>
  <si>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</si>
  <si>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</si>
  <si>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</si>
  <si>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</si>
  <si>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</si>
  <si>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</si>
  <si>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</si>
  <si>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</si>
  <si>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</si>
  <si>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</si>
  <si>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</si>
  <si>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</si>
  <si>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</si>
  <si>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</si>
  <si>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</si>
  <si>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</si>
  <si>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</si>
  <si>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</si>
  <si>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</si>
  <si>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</si>
  <si>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</si>
  <si>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</si>
  <si>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</si>
  <si>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</si>
  <si>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</si>
  <si>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</si>
  <si>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</si>
  <si>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</si>
  <si>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</si>
  <si>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</si>
  <si>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</si>
  <si>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</si>
  <si>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</si>
  <si>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</si>
  <si>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</si>
  <si>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</si>
  <si>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</si>
  <si>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</si>
  <si>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</si>
  <si>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</si>
  <si>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</si>
  <si>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</si>
  <si>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</si>
  <si>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</si>
  <si>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</si>
  <si>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</si>
  <si>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</si>
  <si>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</si>
  <si>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</si>
  <si>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</si>
  <si>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</si>
  <si>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</si>
  <si>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</si>
  <si>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</si>
  <si>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</si>
  <si>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</si>
  <si>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</si>
  <si>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</si>
  <si>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</si>
  <si>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</si>
  <si>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</si>
  <si>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</si>
  <si>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</si>
  <si>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</si>
  <si>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</si>
  <si>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</si>
  <si>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</si>
  <si>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</si>
  <si>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</si>
  <si>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</si>
  <si>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</si>
  <si>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</si>
  <si>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</si>
  <si>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</si>
  <si>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</si>
  <si>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</si>
  <si>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</si>
  <si>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</si>
  <si>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</si>
  <si>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</si>
  <si>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</si>
  <si>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</si>
  <si>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</si>
  <si>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</si>
  <si>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</si>
  <si>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</si>
  <si>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</si>
  <si>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</si>
  <si>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</si>
  <si>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</si>
  <si>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</si>
  <si>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</si>
  <si>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</si>
  <si>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</si>
  <si>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</si>
  <si>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</si>
  <si>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</si>
  <si>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</si>
  <si>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</si>
  <si>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</si>
  <si>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</si>
  <si>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</si>
  <si>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</si>
  <si>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</si>
  <si>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</si>
  <si>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</si>
  <si>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</si>
  <si>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</si>
  <si>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</si>
  <si>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</si>
  <si>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</si>
  <si>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</si>
  <si>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</si>
  <si>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</si>
  <si>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</si>
  <si>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</si>
  <si>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</si>
  <si>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</si>
  <si>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</si>
  <si>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</si>
  <si>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</si>
  <si>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</si>
  <si>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</si>
  <si>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</si>
  <si>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</si>
  <si>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</si>
  <si>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</si>
  <si>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</si>
  <si>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</si>
  <si>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</si>
  <si>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</si>
  <si>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</si>
  <si>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</si>
  <si>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</si>
  <si>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</si>
  <si>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</si>
  <si>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</si>
  <si>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</si>
  <si>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</si>
  <si>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</si>
  <si>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</si>
  <si>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</si>
  <si>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</si>
  <si>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</si>
  <si>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</si>
  <si>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</si>
  <si>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</si>
  <si>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</si>
  <si>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</si>
  <si>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</si>
  <si>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</si>
  <si>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</si>
  <si>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</si>
  <si>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</si>
  <si>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</si>
  <si>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</si>
  <si>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</si>
  <si>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</si>
  <si>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</si>
  <si>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</si>
  <si>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</si>
  <si>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</si>
  <si>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</si>
  <si>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</si>
  <si>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</si>
  <si>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</si>
  <si>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</si>
  <si>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</si>
  <si>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</si>
  <si>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</si>
  <si>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</si>
  <si>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</si>
  <si>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</si>
  <si>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</si>
  <si>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</si>
  <si>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</si>
  <si>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</si>
  <si>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</si>
  <si>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</si>
  <si>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</si>
  <si>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</si>
  <si>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</si>
  <si>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</si>
  <si>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</si>
  <si>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</si>
  <si>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</si>
  <si>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</si>
  <si>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</si>
  <si>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</si>
  <si>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</si>
  <si>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</si>
  <si>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</si>
  <si>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</si>
  <si>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</si>
  <si>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</si>
  <si>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</si>
  <si>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</si>
  <si>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</si>
  <si>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</si>
  <si>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</si>
  <si>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</si>
  <si>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</si>
  <si>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</si>
  <si>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</si>
  <si>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</si>
  <si>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</si>
  <si>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</si>
  <si>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</si>
  <si>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</si>
  <si>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</si>
  <si>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</si>
  <si>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</si>
  <si>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</si>
  <si>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</si>
  <si>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</si>
  <si>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</si>
  <si>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</si>
  <si>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</si>
  <si>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</si>
  <si>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</si>
  <si>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</si>
  <si>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</si>
  <si>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</si>
  <si>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</si>
  <si>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</si>
  <si>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</si>
  <si>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</si>
  <si>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</si>
  <si>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</si>
  <si>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</si>
  <si>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</si>
  <si>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</si>
  <si>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</si>
  <si>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</si>
  <si>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</si>
  <si>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</si>
  <si>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</si>
  <si>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</si>
  <si>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</si>
  <si>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</si>
  <si>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</si>
  <si>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</si>
  <si>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</si>
  <si>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</si>
  <si>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</si>
  <si>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</si>
  <si>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</si>
  <si>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</si>
  <si>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</si>
  <si>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</si>
  <si>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</si>
  <si>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</si>
  <si>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</si>
  <si>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</si>
  <si>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</si>
  <si>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</si>
  <si>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</si>
  <si>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</si>
  <si>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</si>
  <si>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</si>
  <si>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</si>
  <si>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</si>
  <si>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</si>
  <si>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</si>
  <si>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</si>
  <si>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</si>
  <si>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</si>
  <si>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</si>
  <si>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</si>
  <si>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</si>
  <si>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</si>
  <si>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</si>
  <si>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</si>
  <si>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</si>
  <si>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</si>
  <si>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</si>
  <si>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</si>
  <si>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</si>
  <si>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</si>
  <si>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</si>
  <si>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</si>
  <si>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</si>
  <si>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</si>
  <si>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</si>
  <si>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</si>
  <si>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</si>
  <si>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</si>
  <si>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</si>
  <si>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</si>
  <si>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</si>
  <si>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</si>
  <si>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</si>
  <si>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</si>
  <si>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</si>
  <si>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</si>
  <si>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</si>
  <si>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</si>
  <si>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</si>
  <si>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</si>
  <si>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</si>
  <si>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</si>
  <si>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</si>
  <si>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</si>
  <si>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</si>
  <si>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</si>
  <si>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</si>
  <si>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</si>
  <si>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</si>
  <si>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</si>
  <si>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</si>
  <si>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</si>
  <si>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</si>
  <si>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</si>
  <si>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</si>
  <si>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</si>
  <si>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</si>
  <si>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</si>
  <si>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</si>
  <si>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</si>
  <si>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</si>
  <si>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</si>
  <si>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</si>
  <si>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</si>
  <si>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</si>
  <si>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</si>
  <si>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</si>
  <si>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</si>
  <si>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</si>
  <si>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</si>
  <si>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</si>
  <si>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</si>
  <si>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</si>
  <si>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</si>
  <si>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</si>
  <si>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</si>
  <si>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</si>
  <si>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</si>
  <si>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</si>
  <si>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</si>
  <si>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</si>
  <si>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</si>
  <si>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</si>
  <si>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</si>
  <si>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</si>
  <si>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</si>
  <si>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</si>
  <si>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</si>
  <si>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</si>
  <si>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</si>
  <si>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</si>
  <si>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</si>
  <si>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</si>
  <si>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</si>
  <si>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</si>
  <si>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</si>
  <si>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</si>
  <si>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</si>
  <si>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</si>
  <si>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</si>
  <si>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</si>
  <si>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</si>
  <si>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</si>
  <si>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</si>
  <si>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</si>
  <si>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</si>
  <si>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</si>
  <si>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</si>
  <si>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</si>
  <si>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</si>
  <si>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</si>
  <si>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</si>
  <si>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</si>
  <si>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</si>
  <si>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</si>
  <si>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</si>
  <si>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</si>
  <si>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</si>
  <si>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</si>
  <si>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</si>
  <si>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</si>
  <si>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</si>
  <si>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</si>
  <si>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</si>
  <si>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</si>
  <si>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</si>
  <si>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</si>
  <si>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</si>
  <si>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</si>
  <si>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</si>
  <si>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</si>
  <si>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</si>
  <si>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</si>
  <si>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</si>
  <si>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</si>
  <si>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</si>
  <si>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</si>
  <si>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</si>
  <si>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</si>
  <si>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</si>
  <si>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</si>
  <si>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</si>
  <si>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</si>
  <si>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</si>
  <si>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</si>
  <si>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</si>
  <si>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</si>
  <si>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</si>
  <si>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</si>
  <si>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</si>
  <si>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</si>
  <si>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</si>
  <si>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</si>
  <si>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</si>
  <si>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</si>
  <si>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</si>
  <si>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</si>
  <si>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</si>
  <si>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</si>
  <si>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</si>
  <si>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</si>
  <si>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</si>
  <si>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</si>
  <si>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</si>
  <si>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</si>
  <si>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</si>
  <si>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</si>
  <si>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</si>
  <si>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</si>
  <si>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</si>
  <si>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</si>
  <si>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</si>
  <si>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</si>
  <si>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</si>
  <si>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</si>
  <si>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</si>
  <si>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</si>
  <si>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</si>
  <si>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</si>
  <si>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</si>
  <si>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</si>
  <si>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</si>
  <si>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</si>
  <si>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</si>
  <si>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</si>
  <si>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</si>
  <si>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</si>
  <si>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</si>
  <si>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</si>
  <si>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</si>
  <si>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</si>
  <si>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</si>
  <si>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</si>
  <si>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</si>
  <si>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</si>
  <si>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</si>
  <si>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</si>
  <si>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</si>
  <si>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</si>
  <si>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</si>
  <si>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</si>
  <si>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</si>
  <si>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</si>
  <si>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</si>
  <si>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</si>
  <si>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</si>
  <si>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</si>
  <si>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</si>
  <si>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</si>
  <si>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</si>
  <si>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</si>
  <si>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</si>
  <si>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</si>
  <si>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</si>
  <si>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</si>
  <si>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</si>
  <si>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</si>
  <si>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</si>
  <si>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</si>
  <si>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</si>
  <si>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</si>
  <si>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</si>
  <si>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</si>
  <si>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</si>
  <si>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</si>
  <si>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</si>
  <si>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</si>
  <si>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</si>
  <si>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</si>
  <si>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</si>
  <si>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</si>
  <si>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</si>
  <si>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</si>
  <si>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</si>
  <si>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</si>
  <si>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</si>
  <si>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</si>
  <si>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</si>
  <si>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</si>
  <si>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</si>
  <si>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</si>
  <si>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</si>
  <si>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</si>
  <si>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</si>
  <si>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</si>
  <si>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</si>
  <si>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</si>
  <si>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</si>
  <si>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</si>
  <si>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</si>
  <si>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</si>
  <si>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</si>
  <si>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</si>
  <si>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</si>
  <si>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</si>
  <si>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</si>
  <si>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</si>
  <si>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</si>
  <si>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</si>
  <si>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</si>
  <si>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</si>
  <si>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</si>
  <si>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</si>
  <si>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</si>
  <si>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</si>
  <si>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</si>
  <si>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</si>
  <si>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</si>
  <si>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</si>
  <si>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</si>
  <si>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</si>
  <si>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</si>
  <si>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</si>
  <si>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</si>
  <si>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</si>
  <si>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</si>
  <si>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</si>
  <si>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</si>
  <si>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</si>
  <si>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</si>
  <si>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</si>
  <si>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</si>
  <si>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</si>
  <si>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</si>
  <si>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</si>
  <si>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</si>
  <si>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</si>
  <si>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</si>
  <si>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</si>
  <si>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</si>
  <si>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</si>
  <si>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</si>
  <si>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</si>
  <si>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</si>
  <si>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</si>
  <si>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</si>
  <si>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</si>
  <si>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</si>
  <si>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</si>
  <si>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</si>
  <si>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</si>
  <si>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</si>
  <si>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</si>
  <si>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</si>
  <si>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</si>
  <si>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</si>
  <si>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</si>
  <si>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</si>
  <si>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</si>
  <si>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</si>
  <si>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</si>
  <si>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</si>
  <si>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</si>
  <si>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</si>
  <si>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</si>
  <si>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</si>
  <si>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</si>
  <si>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</si>
  <si>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</si>
  <si>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</si>
  <si>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</si>
  <si>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</si>
  <si>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</si>
  <si>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</si>
  <si>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</si>
  <si>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</si>
  <si>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</si>
  <si>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</si>
  <si>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</si>
  <si>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</si>
  <si>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</si>
  <si>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</si>
  <si>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</si>
  <si>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</si>
  <si>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</si>
  <si>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</si>
  <si>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</si>
  <si>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</si>
  <si>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</si>
  <si>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</si>
  <si>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</si>
  <si>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</si>
  <si>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</si>
  <si>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</si>
  <si>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</si>
  <si>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</si>
  <si>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</si>
  <si>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</si>
  <si>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</si>
  <si>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</si>
  <si>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</si>
  <si>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</si>
  <si>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</si>
  <si>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</si>
  <si>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</si>
  <si>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</si>
  <si>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</si>
  <si>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</si>
  <si>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</si>
  <si>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</si>
  <si>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</si>
  <si>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</si>
  <si>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</si>
  <si>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</si>
  <si>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</si>
  <si>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</si>
  <si>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</si>
  <si>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</si>
  <si>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</si>
  <si>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</si>
  <si>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</si>
  <si>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</si>
  <si>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</si>
  <si>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</si>
  <si>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</si>
  <si>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</si>
  <si>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</si>
  <si>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</si>
  <si>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</si>
  <si>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</si>
  <si>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</si>
  <si>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</si>
  <si>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</si>
  <si>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</si>
  <si>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</si>
  <si>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</si>
  <si>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</si>
  <si>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</si>
  <si>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</si>
  <si>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</si>
  <si>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</si>
  <si>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</si>
  <si>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</si>
  <si>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</si>
  <si>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</si>
  <si>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</si>
  <si>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</si>
  <si>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</si>
  <si>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</si>
  <si>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</si>
  <si>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</si>
  <si>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</si>
  <si>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</si>
  <si>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</si>
  <si>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</si>
  <si>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</si>
  <si>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</si>
  <si>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</si>
  <si>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</si>
  <si>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</si>
  <si>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</si>
  <si>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</si>
  <si>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</si>
  <si>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</si>
  <si>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</si>
  <si>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</si>
  <si>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</si>
  <si>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</si>
  <si>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</si>
  <si>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</si>
  <si>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</si>
  <si>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</si>
  <si>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</si>
  <si>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</si>
  <si>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</si>
  <si>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</si>
  <si>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</si>
  <si>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</si>
  <si>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</si>
  <si>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</si>
  <si>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</si>
  <si>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</si>
  <si>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</si>
  <si>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</si>
  <si>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</si>
  <si>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</si>
  <si>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</si>
  <si>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</si>
  <si>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</si>
  <si>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</si>
  <si>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</si>
  <si>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</si>
  <si>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</si>
  <si>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</si>
  <si>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</si>
  <si>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</si>
  <si>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</si>
  <si>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</si>
  <si>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</si>
  <si>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</si>
  <si>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</si>
  <si>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</si>
  <si>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</si>
  <si>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</si>
  <si>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</si>
  <si>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</si>
  <si>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</si>
  <si>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</si>
  <si>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</si>
  <si>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</si>
  <si>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</si>
  <si>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</si>
  <si>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</si>
  <si>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</si>
  <si>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</si>
  <si>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</si>
  <si>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</si>
  <si>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</si>
  <si>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</si>
  <si>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</si>
  <si>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</si>
  <si>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</si>
  <si>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</si>
  <si>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</si>
  <si>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</si>
  <si>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</si>
  <si>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</si>
  <si>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</si>
  <si>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</si>
  <si>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</si>
  <si>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</si>
  <si>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</si>
  <si>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</si>
  <si>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</si>
  <si>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</si>
  <si>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</si>
  <si>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</si>
  <si>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</si>
  <si>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</si>
  <si>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</si>
  <si>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</si>
  <si>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</si>
  <si>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</si>
  <si>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</si>
  <si>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</si>
  <si>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</si>
  <si>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</si>
  <si>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</si>
  <si>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</si>
  <si>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</si>
  <si>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</si>
  <si>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</si>
  <si>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</si>
  <si>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</si>
  <si>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</si>
  <si>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</si>
  <si>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</si>
  <si>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</si>
  <si>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</si>
  <si>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</si>
  <si>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</si>
  <si>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</si>
  <si>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</si>
  <si>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</si>
  <si>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</si>
  <si>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</si>
  <si>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</si>
  <si>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</si>
  <si>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</si>
  <si>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</si>
  <si>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</si>
  <si>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</si>
  <si>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</si>
  <si>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</si>
  <si>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</si>
  <si>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</si>
  <si>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</si>
  <si>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</si>
  <si>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</si>
  <si>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</si>
  <si>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</si>
  <si>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</si>
  <si>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</si>
  <si>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</si>
  <si>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</si>
  <si>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</si>
  <si>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</si>
  <si>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</si>
  <si>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</si>
  <si>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</si>
  <si>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</si>
  <si>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</si>
  <si>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</si>
  <si>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</si>
  <si>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</si>
  <si>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</si>
  <si>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</si>
  <si>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</si>
  <si>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</si>
  <si>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</si>
  <si>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</si>
  <si>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</si>
  <si>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</si>
  <si>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</si>
  <si>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</si>
  <si>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</si>
  <si>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</si>
  <si>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</si>
  <si>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</si>
  <si>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</si>
  <si>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</si>
  <si>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</si>
  <si>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</si>
  <si>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</si>
  <si>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</si>
  <si>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</si>
  <si>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</si>
  <si>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</si>
  <si>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</si>
  <si>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</si>
  <si>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</si>
  <si>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</si>
  <si>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</si>
  <si>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</si>
  <si>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</si>
  <si>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</si>
  <si>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</si>
  <si>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</si>
  <si>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</si>
  <si>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</si>
  <si>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</si>
  <si>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</si>
  <si>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</si>
  <si>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</si>
  <si>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</si>
  <si>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</si>
  <si>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</si>
  <si>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</si>
  <si>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</si>
  <si>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</si>
  <si>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</si>
  <si>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</si>
  <si>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</si>
  <si>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</si>
  <si>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</si>
  <si>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</si>
  <si>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</si>
  <si>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</si>
  <si>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</si>
  <si>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</si>
  <si>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</si>
  <si>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</si>
  <si>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</si>
  <si>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</si>
  <si>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</si>
  <si>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</si>
  <si>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</si>
  <si>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</si>
  <si>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</si>
  <si>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</si>
  <si>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</si>
  <si>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</si>
  <si>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</si>
  <si>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</si>
  <si>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</si>
  <si>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</si>
  <si>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</si>
  <si>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</si>
  <si>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</si>
  <si>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</si>
  <si>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</si>
  <si>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</si>
  <si>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</si>
  <si>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</si>
  <si>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</si>
  <si>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</si>
  <si>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</si>
  <si>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</si>
  <si>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</si>
  <si>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</si>
  <si>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</si>
  <si>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</si>
  <si>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</si>
  <si>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</si>
  <si>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</si>
  <si>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</si>
  <si>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</si>
  <si>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</si>
  <si>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</si>
  <si>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</si>
  <si>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</si>
  <si>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</si>
  <si>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</si>
  <si>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</si>
  <si>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</si>
  <si>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</si>
  <si>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</si>
  <si>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</si>
  <si>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</si>
  <si>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</si>
  <si>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</si>
  <si>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</si>
  <si>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</si>
  <si>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</si>
  <si>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</si>
  <si>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</si>
  <si>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</si>
  <si>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</si>
  <si>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</si>
  <si>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</si>
  <si>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</si>
  <si>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</si>
  <si>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</si>
  <si>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</si>
  <si>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</si>
  <si>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</si>
  <si>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</si>
  <si>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</si>
  <si>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</si>
  <si>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</si>
  <si>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</si>
  <si>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</si>
  <si>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</si>
  <si>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</si>
  <si>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</si>
  <si>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</si>
  <si>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</si>
  <si>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</si>
  <si>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</si>
  <si>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</si>
  <si>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</si>
  <si>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</si>
  <si>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</si>
  <si>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</si>
  <si>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</si>
  <si>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</si>
  <si>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</si>
  <si>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</si>
  <si>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</si>
  <si>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</si>
  <si>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</si>
  <si>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</si>
  <si>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</si>
  <si>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</si>
  <si>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</si>
  <si>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</si>
  <si>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</si>
  <si>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</si>
  <si>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</si>
  <si>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</si>
  <si>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</si>
  <si>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</si>
  <si>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</si>
  <si>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</si>
  <si>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</si>
  <si>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</si>
  <si>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</si>
  <si>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</si>
  <si>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</si>
  <si>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</si>
  <si>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</si>
  <si>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</si>
  <si>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</si>
  <si>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</si>
  <si>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</si>
  <si>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</si>
  <si>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</si>
  <si>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</si>
  <si>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</si>
  <si>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</si>
  <si>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</si>
  <si>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</si>
  <si>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</si>
  <si>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</si>
  <si>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</si>
  <si>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</si>
  <si>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</si>
  <si>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</si>
  <si>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</si>
  <si>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</si>
  <si>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</si>
  <si>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</si>
  <si>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</si>
  <si>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</si>
  <si>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</si>
  <si>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</si>
  <si>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</si>
  <si>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</si>
  <si>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</si>
  <si>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</si>
  <si>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</si>
  <si>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</si>
  <si>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</si>
  <si>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</si>
  <si>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</si>
  <si>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</si>
  <si>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</si>
  <si>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</si>
  <si>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</si>
  <si>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</si>
  <si>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</si>
  <si>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</si>
  <si>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</si>
  <si>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</si>
  <si>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</si>
  <si>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</si>
  <si>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</si>
  <si>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</si>
  <si>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</si>
  <si>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</si>
  <si>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</si>
  <si>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</si>
  <si>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</si>
  <si>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</si>
  <si>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</si>
  <si>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</si>
  <si>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</si>
  <si>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</si>
  <si>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</si>
  <si>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</si>
  <si>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</si>
  <si>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</si>
  <si>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</si>
  <si>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</si>
  <si>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</si>
  <si>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</si>
  <si>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</si>
  <si>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</si>
  <si>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</si>
  <si>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</si>
  <si>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</si>
  <si>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</si>
  <si>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</si>
  <si>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</si>
  <si>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</si>
  <si>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</si>
  <si>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</si>
  <si>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</si>
  <si>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</si>
  <si>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</si>
  <si>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</si>
  <si>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</si>
  <si>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</si>
  <si>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</si>
  <si>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</si>
  <si>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</si>
  <si>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</si>
  <si>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</si>
  <si>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</si>
  <si>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</si>
  <si>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</si>
  <si>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</si>
  <si>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</si>
  <si>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</si>
  <si>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</si>
  <si>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</si>
  <si>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</si>
  <si>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</si>
  <si>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</si>
  <si>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</si>
  <si>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</si>
  <si>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</si>
  <si>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</si>
  <si>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</si>
  <si>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</si>
  <si>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</si>
  <si>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</si>
  <si>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</si>
  <si>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</si>
  <si>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</si>
  <si>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</si>
  <si>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</si>
  <si>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</si>
  <si>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</si>
  <si>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</si>
  <si>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</si>
  <si>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</si>
  <si>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</si>
  <si>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</si>
  <si>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</si>
  <si>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</si>
  <si>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</si>
  <si>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</si>
  <si>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</si>
  <si>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</si>
  <si>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</si>
  <si>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</si>
  <si>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</si>
  <si>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</si>
  <si>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</si>
  <si>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</si>
  <si>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</si>
  <si>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</si>
  <si>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</si>
  <si>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</si>
  <si>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</si>
  <si>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</si>
  <si>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</si>
  <si>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</si>
  <si>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</si>
  <si>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</si>
  <si>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</si>
  <si>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</si>
  <si>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</si>
  <si>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</si>
  <si>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</si>
  <si>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</si>
  <si>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</si>
  <si>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</si>
  <si>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</si>
  <si>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</si>
  <si>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</si>
  <si>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</si>
  <si>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</si>
  <si>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</si>
  <si>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</si>
  <si>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</si>
  <si>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</si>
  <si>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</si>
  <si>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</si>
  <si>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</si>
  <si>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</si>
  <si>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</si>
  <si>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</si>
  <si>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</si>
  <si>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</si>
  <si>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</si>
  <si>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</si>
  <si>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</si>
  <si>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</si>
  <si>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</si>
  <si>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</si>
  <si>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</si>
  <si>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</si>
  <si>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</si>
  <si>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</si>
  <si>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</si>
  <si>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</si>
  <si>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</si>
  <si>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</si>
  <si>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</si>
  <si>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</si>
  <si>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</si>
  <si>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</si>
  <si>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</si>
  <si>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</si>
  <si>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</si>
  <si>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</si>
  <si>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</si>
  <si>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</si>
  <si>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</si>
  <si>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</si>
  <si>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</si>
  <si>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</si>
  <si>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</si>
  <si>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</si>
  <si>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</si>
  <si>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</si>
  <si>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</si>
  <si>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</si>
  <si>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</si>
  <si>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</si>
  <si>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</si>
  <si>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</si>
  <si>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</si>
  <si>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</si>
  <si>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</si>
  <si>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</si>
  <si>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</si>
  <si>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</si>
  <si>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</si>
  <si>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</si>
  <si>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</si>
  <si>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</si>
  <si>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</si>
  <si>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</si>
  <si>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</si>
  <si>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</si>
  <si>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</si>
  <si>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</si>
  <si>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</si>
  <si>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</si>
  <si>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</si>
  <si>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</si>
  <si>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</si>
  <si>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</si>
  <si>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</si>
  <si>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</si>
  <si>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</si>
  <si>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</si>
  <si>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</si>
  <si>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</si>
  <si>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</si>
  <si>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</si>
  <si>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</si>
  <si>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</si>
  <si>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</si>
  <si>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</si>
  <si>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</si>
  <si>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</si>
  <si>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</si>
  <si>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</si>
  <si>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</si>
  <si>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</si>
  <si>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</si>
  <si>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</si>
  <si>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</si>
  <si>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</si>
  <si>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</si>
  <si>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</si>
  <si>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</si>
  <si>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</si>
  <si>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</si>
  <si>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</si>
  <si>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</si>
  <si>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</si>
  <si>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</si>
  <si>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</si>
  <si>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</si>
  <si>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</si>
  <si>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</si>
  <si>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</si>
  <si>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</si>
  <si>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</si>
  <si>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</si>
  <si>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</si>
  <si>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</si>
  <si>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</si>
  <si>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</si>
  <si>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</si>
  <si>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</si>
  <si>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</si>
  <si>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</si>
  <si>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</si>
  <si>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</si>
  <si>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</si>
  <si>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</si>
  <si>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</si>
  <si>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</si>
  <si>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</si>
  <si>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</si>
  <si>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</si>
  <si>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</si>
  <si>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</si>
  <si>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</si>
  <si>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</si>
  <si>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</si>
  <si>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</si>
  <si>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</si>
  <si>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</si>
  <si>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</si>
  <si>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</si>
  <si>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</si>
  <si>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</si>
  <si>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</si>
  <si>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</si>
  <si>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</si>
  <si>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</si>
  <si>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</si>
  <si>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</si>
  <si>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</si>
  <si>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</si>
  <si>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</si>
  <si>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</si>
  <si>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</si>
  <si>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</si>
  <si>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</si>
  <si>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</si>
  <si>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</si>
  <si>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</si>
  <si>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</si>
  <si>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</si>
  <si>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</si>
  <si>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</si>
  <si>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</si>
  <si>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</si>
  <si>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</si>
  <si>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</si>
  <si>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</si>
  <si>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</si>
  <si>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</si>
  <si>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</si>
  <si>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</si>
  <si>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</si>
  <si>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</si>
  <si>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</si>
  <si>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</si>
  <si>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</si>
  <si>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</si>
  <si>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</si>
  <si>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</si>
  <si>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</si>
  <si>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</si>
  <si>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</si>
  <si>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</si>
  <si>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</si>
  <si>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</si>
  <si>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</si>
  <si>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</si>
  <si>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</si>
  <si>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</si>
  <si>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</si>
  <si>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</si>
  <si>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</si>
  <si>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</si>
  <si>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</si>
  <si>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</si>
  <si>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</si>
  <si>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</si>
  <si>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</si>
  <si>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</si>
  <si>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</si>
  <si>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</si>
  <si>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</si>
  <si>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</si>
  <si>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</si>
  <si>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</si>
  <si>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</si>
  <si>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</si>
  <si>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</si>
  <si>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</si>
  <si>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</si>
  <si>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</si>
  <si>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</si>
  <si>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</si>
  <si>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</si>
  <si>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</si>
  <si>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</si>
  <si>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</si>
  <si>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</si>
  <si>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</si>
  <si>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</si>
  <si>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</si>
  <si>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</si>
  <si>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</si>
  <si>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</si>
  <si>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</si>
  <si>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</si>
  <si>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</si>
  <si>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</si>
  <si>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</si>
  <si>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</si>
  <si>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</si>
  <si>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</si>
  <si>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</si>
  <si>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</si>
  <si>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</si>
  <si>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</si>
  <si>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</si>
  <si>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</si>
  <si>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</si>
  <si>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</si>
  <si>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</si>
  <si>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</si>
  <si>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</si>
  <si>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</si>
  <si>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</si>
  <si>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</si>
  <si>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</si>
  <si>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</si>
  <si>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</si>
  <si>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</si>
  <si>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</si>
  <si>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</si>
  <si>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</si>
  <si>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</si>
  <si>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</si>
  <si>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</si>
  <si>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</si>
  <si>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</si>
  <si>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</si>
  <si>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</si>
  <si>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</si>
  <si>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</si>
  <si>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</si>
  <si>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</si>
  <si>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</si>
  <si>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</si>
  <si>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</si>
  <si>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</si>
  <si>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</si>
  <si>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</si>
  <si>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</si>
  <si>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</si>
  <si>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</si>
  <si>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</si>
  <si>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</si>
  <si>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</si>
  <si>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</si>
  <si>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</si>
  <si>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</si>
  <si>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</si>
  <si>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</si>
  <si>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</si>
  <si>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</si>
  <si>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</si>
  <si>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</si>
  <si>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</si>
  <si>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</si>
  <si>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</si>
  <si>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</si>
  <si>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</si>
  <si>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</si>
  <si>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</si>
  <si>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</si>
  <si>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</si>
  <si>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</si>
  <si>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</si>
  <si>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</si>
  <si>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</si>
  <si>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</si>
  <si>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</si>
  <si>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</si>
  <si>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</si>
  <si>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</si>
  <si>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</si>
  <si>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</si>
  <si>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</si>
  <si>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</si>
  <si>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</si>
  <si>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</si>
  <si>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</si>
  <si>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</si>
  <si>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</si>
  <si>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</si>
  <si>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</si>
  <si>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</si>
  <si>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</si>
  <si>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</si>
  <si>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</si>
  <si>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</si>
  <si>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</si>
  <si>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</si>
  <si>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</si>
  <si>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</si>
  <si>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</si>
  <si>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</si>
  <si>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</si>
  <si>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</si>
  <si>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</si>
  <si>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</si>
  <si>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</si>
  <si>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</si>
  <si>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</si>
  <si>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</si>
  <si>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</si>
  <si>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</si>
  <si>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</si>
  <si>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</si>
  <si>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</si>
  <si>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</si>
  <si>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</si>
  <si>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</si>
  <si>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</si>
  <si>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</si>
  <si>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</si>
  <si>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</si>
  <si>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</si>
  <si>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</si>
  <si>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</si>
  <si>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</si>
  <si>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</si>
  <si>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</si>
  <si>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</si>
  <si>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</si>
  <si>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</si>
  <si>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</si>
  <si>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</si>
  <si>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</si>
  <si>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</si>
  <si>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</si>
  <si>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</si>
  <si>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</si>
  <si>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</si>
  <si>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</si>
  <si>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</si>
  <si>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</si>
  <si>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</si>
  <si>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</si>
  <si>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</si>
  <si>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</si>
  <si>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</si>
  <si>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</si>
  <si>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</si>
  <si>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</si>
  <si>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</si>
  <si>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</si>
  <si>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</si>
  <si>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</si>
  <si>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</si>
  <si>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</si>
  <si>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</si>
  <si>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</si>
  <si>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</si>
  <si>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</si>
  <si>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</si>
  <si>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</si>
  <si>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</si>
  <si>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</si>
  <si>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</si>
  <si>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</si>
  <si>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</si>
  <si>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</si>
  <si>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</si>
  <si>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</si>
  <si>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</si>
  <si>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</si>
  <si>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</si>
  <si>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</si>
  <si>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</si>
  <si>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</si>
  <si>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</si>
  <si>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</si>
  <si>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</si>
  <si>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</si>
  <si>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</si>
  <si>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</si>
  <si>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</si>
  <si>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</si>
  <si>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</si>
  <si>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</si>
  <si>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</si>
  <si>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</si>
  <si>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</si>
  <si>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</si>
  <si>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</si>
  <si>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</si>
  <si>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</si>
  <si>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</si>
  <si>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</si>
  <si>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</si>
  <si>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</si>
  <si>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</si>
  <si>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</si>
  <si>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</si>
  <si>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</si>
  <si>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</si>
  <si>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</si>
  <si>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</si>
  <si>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</si>
  <si>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</si>
  <si>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</si>
  <si>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</si>
  <si>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</si>
  <si>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</si>
  <si>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</si>
  <si>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</si>
  <si>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</si>
  <si>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</si>
  <si>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</si>
  <si>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</si>
  <si>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</si>
  <si>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</si>
  <si>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</si>
  <si>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</si>
  <si>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</si>
  <si>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</si>
  <si>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</si>
  <si>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</si>
  <si>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</si>
  <si>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</si>
  <si>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</si>
  <si>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</si>
  <si>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</si>
  <si>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</si>
  <si>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</si>
  <si>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</si>
  <si>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</si>
  <si>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</si>
  <si>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</si>
  <si>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</si>
  <si>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</si>
  <si>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</si>
  <si>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</si>
  <si>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</si>
  <si>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</si>
  <si>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</si>
  <si>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</si>
  <si>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</si>
  <si>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</si>
  <si>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</si>
  <si>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</si>
  <si>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</si>
  <si>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</si>
  <si>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</si>
  <si>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</si>
  <si>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</si>
  <si>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</si>
  <si>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</si>
  <si>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</si>
  <si>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</si>
  <si>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</si>
  <si>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</si>
  <si>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</si>
  <si>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</si>
  <si>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</si>
  <si>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</si>
  <si>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</si>
  <si>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</si>
  <si>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</si>
  <si>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</si>
  <si>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</si>
  <si>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</si>
  <si>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</si>
  <si>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</si>
  <si>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</si>
  <si>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</si>
  <si>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</si>
  <si>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</si>
  <si>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</si>
  <si>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</si>
  <si>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</si>
  <si>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</si>
  <si>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</si>
  <si>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</si>
  <si>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</si>
  <si>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</si>
  <si>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</si>
  <si>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</si>
  <si>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</si>
  <si>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</si>
  <si>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</si>
  <si>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</si>
  <si>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</si>
  <si>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</si>
  <si>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</si>
  <si>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</si>
  <si>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</si>
  <si>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</si>
  <si>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</si>
  <si>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</si>
  <si>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</si>
  <si>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</si>
  <si>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</si>
  <si>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</si>
  <si>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</si>
  <si>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</si>
  <si>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</si>
  <si>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</si>
  <si>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</si>
  <si>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</si>
  <si>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</si>
  <si>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</si>
  <si>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</si>
  <si>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</si>
  <si>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</si>
  <si>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</si>
  <si>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</si>
  <si>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</si>
  <si>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</si>
  <si>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</si>
  <si>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</si>
  <si>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</si>
  <si>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</si>
  <si>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</si>
  <si>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</si>
  <si>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</si>
  <si>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</si>
  <si>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</si>
  <si>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</si>
  <si>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</si>
  <si>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</si>
  <si>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</si>
  <si>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</si>
  <si>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</si>
  <si>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</si>
  <si>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</si>
  <si>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</si>
  <si>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</si>
  <si>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</si>
  <si>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</si>
  <si>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</si>
  <si>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</si>
  <si>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</si>
  <si>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</si>
  <si>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</si>
  <si>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</si>
  <si>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</si>
  <si>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</si>
  <si>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</si>
  <si>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</si>
  <si>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</si>
  <si>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</si>
  <si>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</si>
  <si>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</si>
  <si>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</si>
  <si>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</si>
  <si>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</si>
  <si>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</si>
  <si>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</si>
  <si>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</si>
  <si>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</si>
  <si>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</si>
  <si>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</si>
  <si>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</si>
  <si>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</si>
  <si>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</si>
  <si>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</si>
  <si>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</si>
  <si>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</si>
  <si>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</si>
  <si>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</si>
  <si>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</si>
  <si>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</si>
  <si>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</si>
  <si>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</si>
  <si>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</si>
  <si>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</si>
  <si>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</si>
  <si>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</si>
  <si>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</si>
  <si>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</si>
  <si>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</si>
  <si>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</si>
  <si>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</si>
  <si>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</si>
  <si>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</si>
  <si>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</si>
  <si>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</si>
  <si>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</si>
  <si>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</si>
  <si>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</si>
  <si>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</si>
  <si>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</si>
  <si>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</si>
  <si>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</si>
  <si>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</si>
  <si>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</si>
  <si>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</si>
  <si>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</si>
  <si>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</si>
  <si>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</si>
  <si>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</si>
  <si>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</si>
  <si>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</si>
  <si>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</si>
  <si>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</si>
  <si>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</si>
  <si>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</si>
  <si>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</si>
  <si>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</si>
  <si>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</si>
  <si>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</si>
  <si>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</si>
  <si>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</si>
  <si>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</si>
  <si>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</si>
  <si>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</si>
  <si>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</si>
  <si>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</si>
  <si>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</si>
  <si>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</si>
  <si>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</si>
  <si>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</si>
  <si>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</si>
  <si>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</si>
  <si>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</si>
  <si>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</si>
  <si>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</si>
  <si>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</si>
  <si>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</si>
  <si>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</si>
  <si>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</si>
  <si>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</si>
  <si>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</si>
  <si>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</si>
  <si>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</si>
  <si>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</si>
  <si>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</si>
  <si>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</si>
  <si>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</si>
  <si>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</si>
  <si>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</si>
  <si>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</si>
  <si>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</si>
  <si>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</si>
  <si>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</si>
  <si>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</si>
  <si>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</si>
  <si>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</si>
  <si>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</si>
  <si>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</si>
  <si>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</si>
  <si>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</si>
  <si>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</si>
  <si>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</si>
  <si>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</si>
  <si>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</si>
  <si>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</si>
  <si>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</si>
  <si>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</si>
  <si>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</si>
  <si>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</si>
  <si>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</si>
  <si>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</si>
  <si>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</si>
  <si>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</si>
  <si>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</si>
  <si>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</si>
  <si>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</si>
  <si>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</si>
  <si>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</si>
  <si>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</si>
  <si>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</si>
  <si>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</si>
  <si>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</si>
  <si>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</si>
  <si>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</si>
  <si>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</si>
  <si>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</si>
  <si>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</si>
  <si>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</si>
  <si>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</si>
  <si>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</si>
  <si>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</si>
  <si>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</si>
  <si>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</si>
  <si>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</si>
  <si>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</si>
  <si>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</si>
  <si>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</si>
  <si>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</si>
  <si>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</si>
  <si>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</si>
  <si>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</si>
  <si>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</si>
  <si>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</si>
  <si>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</si>
  <si>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</si>
  <si>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</si>
  <si>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</si>
  <si>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</si>
  <si>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</si>
  <si>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</si>
  <si>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</si>
  <si>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</si>
  <si>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</si>
  <si>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</si>
  <si>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</si>
  <si>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</si>
  <si>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</si>
  <si>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</si>
  <si>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</si>
  <si>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</si>
  <si>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</si>
  <si>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</si>
  <si>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</si>
  <si>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</si>
  <si>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</si>
  <si>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</si>
  <si>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</si>
  <si>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</si>
  <si>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</si>
  <si>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</si>
  <si>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</si>
  <si>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</si>
  <si>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</si>
  <si>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</si>
  <si>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</si>
  <si>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</si>
  <si>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</si>
  <si>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</si>
  <si>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</si>
  <si>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</si>
  <si>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</si>
  <si>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</si>
  <si>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</si>
  <si>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</si>
  <si>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</si>
  <si>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</si>
  <si>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</si>
  <si>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</si>
  <si>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</si>
  <si>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</si>
  <si>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</si>
  <si>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</si>
  <si>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</si>
  <si>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</si>
  <si>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</si>
  <si>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</si>
  <si>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</si>
  <si>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</si>
  <si>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</si>
  <si>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</si>
  <si>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</si>
  <si>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</si>
  <si>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</si>
  <si>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</si>
  <si>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</si>
  <si>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</si>
  <si>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</si>
  <si>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</si>
  <si>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</si>
  <si>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</si>
  <si>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</si>
  <si>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</si>
  <si>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</si>
  <si>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</si>
  <si>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</si>
  <si>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</si>
  <si>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</si>
  <si>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</si>
  <si>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</si>
  <si>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</si>
  <si>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</si>
  <si>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</si>
  <si>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</si>
  <si>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</si>
  <si>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</si>
  <si>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</si>
  <si>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</si>
  <si>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</si>
  <si>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</si>
  <si>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</si>
  <si>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</si>
  <si>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</si>
  <si>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</si>
  <si>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</si>
  <si>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</si>
  <si>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</si>
  <si>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</si>
  <si>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</si>
  <si>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</si>
  <si>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</si>
  <si>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</si>
  <si>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</si>
  <si>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</si>
  <si>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</si>
  <si>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</si>
  <si>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</si>
  <si>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</si>
  <si>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</si>
  <si>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</si>
  <si>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</si>
  <si>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</si>
  <si>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</si>
  <si>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</si>
  <si>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</si>
  <si>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</si>
  <si>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</si>
  <si>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</si>
  <si>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</si>
  <si>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</si>
  <si>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</si>
  <si>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</si>
  <si>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</si>
  <si>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</si>
  <si>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</si>
  <si>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</si>
  <si>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</si>
  <si>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</si>
  <si>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</si>
  <si>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</si>
  <si>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</si>
  <si>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</si>
  <si>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</si>
  <si>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</si>
  <si>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</si>
  <si>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</si>
  <si>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</si>
  <si>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</si>
  <si>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</si>
  <si>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</si>
  <si>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</si>
  <si>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</si>
  <si>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</si>
  <si>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</si>
  <si>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</si>
  <si>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</si>
  <si>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</si>
  <si>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</si>
  <si>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</si>
  <si>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</si>
  <si>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</si>
  <si>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</si>
  <si>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</si>
  <si>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</si>
  <si>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</si>
  <si>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</si>
  <si>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</si>
  <si>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</si>
  <si>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</si>
  <si>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</si>
  <si>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</si>
  <si>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</si>
  <si>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</si>
  <si>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</si>
  <si>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</si>
  <si>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</si>
  <si>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</si>
  <si>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</si>
  <si>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</si>
  <si>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</si>
  <si>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</si>
  <si>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</si>
  <si>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</si>
  <si>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</si>
  <si>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</si>
  <si>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</si>
  <si>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</si>
  <si>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</si>
  <si>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</si>
  <si>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</si>
  <si>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</si>
  <si>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</si>
  <si>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</si>
  <si>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</si>
  <si>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</si>
  <si>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</si>
  <si>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</si>
  <si>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</si>
  <si>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</si>
  <si>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</si>
  <si>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</si>
  <si>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</si>
  <si>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</si>
  <si>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</si>
  <si>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</si>
  <si>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</si>
  <si>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</si>
  <si>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</si>
  <si>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</si>
  <si>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</si>
  <si>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</si>
  <si>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</si>
  <si>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</si>
  <si>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</si>
  <si>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</si>
  <si>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</si>
  <si>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</si>
  <si>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</si>
  <si>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</si>
  <si>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</si>
  <si>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</si>
  <si>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</si>
  <si>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</si>
  <si>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</si>
  <si>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</si>
  <si>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</si>
  <si>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</si>
  <si>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</si>
  <si>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</si>
  <si>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</si>
  <si>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</si>
  <si>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</si>
  <si>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</si>
  <si>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</si>
  <si>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</si>
  <si>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</si>
  <si>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</si>
  <si>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</si>
  <si>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</si>
  <si>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</si>
  <si>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</si>
  <si>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</si>
  <si>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</si>
  <si>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</si>
  <si>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</si>
  <si>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</si>
  <si>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</si>
  <si>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</si>
  <si>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</si>
  <si>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</si>
  <si>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</si>
  <si>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</si>
  <si>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</si>
  <si>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</si>
  <si>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</si>
  <si>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</si>
  <si>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</si>
  <si>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</si>
  <si>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</si>
  <si>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</si>
  <si>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</si>
  <si>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</si>
  <si>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</si>
  <si>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</si>
  <si>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</si>
  <si>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</si>
  <si>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</si>
  <si>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</si>
  <si>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</si>
  <si>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</si>
  <si>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</si>
  <si>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</si>
  <si>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</si>
  <si>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</si>
  <si>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</si>
  <si>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</si>
  <si>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</si>
  <si>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</si>
  <si>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</si>
  <si>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</si>
  <si>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</si>
  <si>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</si>
  <si>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</si>
  <si>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</si>
  <si>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</si>
  <si>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</si>
  <si>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</si>
  <si>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</si>
  <si>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</si>
  <si>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</si>
  <si>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</si>
  <si>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</si>
  <si>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</si>
  <si>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</si>
  <si>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</si>
  <si>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</si>
  <si>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</si>
  <si>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</si>
  <si>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</si>
  <si>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</si>
  <si>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</si>
  <si>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</si>
  <si>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</si>
  <si>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</si>
  <si>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</si>
  <si>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</si>
  <si>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</si>
  <si>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</si>
  <si>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</si>
  <si>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</si>
  <si>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</si>
  <si>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</si>
  <si>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</si>
  <si>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</si>
  <si>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</si>
  <si>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</si>
  <si>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</si>
  <si>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</si>
  <si>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</si>
  <si>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</si>
  <si>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</si>
  <si>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</si>
  <si>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</si>
  <si>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</si>
  <si>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</si>
  <si>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</si>
  <si>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</si>
  <si>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</si>
  <si>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</si>
  <si>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</si>
  <si>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</si>
  <si>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</si>
  <si>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</si>
  <si>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</si>
  <si>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</si>
  <si>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</si>
  <si>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</si>
  <si>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</si>
  <si>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</si>
  <si>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</si>
  <si>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</si>
  <si>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</si>
  <si>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</si>
  <si>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</si>
  <si>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</si>
  <si>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</si>
  <si>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</si>
  <si>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</si>
  <si>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</si>
  <si>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</si>
  <si>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</si>
  <si>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</si>
  <si>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</si>
  <si>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</si>
  <si>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</si>
  <si>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</si>
  <si>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</si>
  <si>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</si>
  <si>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</si>
  <si>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</si>
  <si>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</si>
  <si>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</si>
  <si>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</si>
  <si>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</si>
  <si>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</si>
  <si>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</si>
  <si>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</si>
  <si>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</si>
  <si>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</si>
  <si>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</si>
  <si>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</si>
  <si>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</si>
  <si>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</si>
  <si>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</si>
  <si>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</si>
  <si>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</si>
  <si>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</si>
  <si>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</si>
  <si>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</si>
  <si>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</si>
  <si>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</si>
  <si>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</si>
  <si>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</si>
  <si>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</si>
  <si>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</si>
  <si>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</si>
  <si>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</si>
  <si>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</si>
  <si>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</si>
  <si>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</si>
  <si>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</si>
  <si>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</si>
  <si>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</si>
  <si>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</si>
  <si>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</si>
  <si>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</si>
  <si>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</si>
  <si>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</si>
  <si>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</si>
  <si>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</si>
  <si>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</si>
  <si>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</si>
  <si>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</si>
  <si>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</si>
  <si>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</si>
  <si>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</si>
  <si>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</si>
  <si>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</si>
  <si>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</si>
  <si>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</si>
  <si>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</si>
  <si>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</si>
  <si>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</si>
  <si>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</si>
  <si>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</si>
  <si>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</si>
  <si>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</si>
  <si>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</si>
  <si>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</si>
  <si>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</si>
  <si>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</si>
  <si>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</si>
  <si>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</si>
  <si>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</si>
  <si>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</si>
  <si>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</si>
  <si>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</si>
  <si>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</si>
  <si>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</si>
  <si>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</si>
  <si>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</si>
  <si>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</si>
  <si>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</si>
  <si>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</si>
  <si>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</si>
  <si>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</si>
  <si>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</si>
  <si>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</si>
  <si>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</si>
  <si>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</si>
  <si>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</si>
  <si>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</si>
  <si>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</si>
  <si>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</si>
  <si>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</si>
  <si>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</si>
  <si>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</si>
  <si>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</si>
  <si>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</si>
  <si>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</si>
  <si>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</si>
  <si>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</si>
  <si>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</si>
  <si>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</si>
  <si>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</si>
  <si>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</si>
  <si>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</si>
  <si>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</si>
  <si>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</si>
  <si>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</si>
  <si>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</si>
  <si>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</si>
  <si>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</si>
  <si>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</si>
  <si>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</si>
  <si>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</si>
  <si>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</si>
  <si>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</si>
  <si>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</si>
  <si>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</si>
  <si>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</si>
  <si>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</si>
  <si>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</si>
  <si>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</si>
  <si>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</si>
  <si>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</si>
  <si>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</si>
  <si>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</si>
  <si>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</si>
  <si>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</si>
  <si>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</si>
  <si>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</si>
  <si>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</si>
  <si>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</si>
  <si>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</si>
  <si>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</si>
  <si>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</si>
  <si>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</si>
  <si>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</si>
  <si>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</si>
  <si>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</si>
  <si>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</si>
  <si>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</si>
  <si>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</si>
  <si>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</si>
  <si>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</si>
  <si>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</si>
  <si>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</si>
  <si>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</si>
  <si>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</si>
  <si>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</si>
  <si>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</si>
  <si>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</si>
  <si>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</si>
  <si>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</si>
  <si>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</si>
  <si>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</si>
  <si>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</si>
  <si>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</si>
  <si>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</si>
  <si>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</si>
  <si>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</si>
  <si>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</si>
  <si>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</si>
  <si>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</si>
  <si>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</si>
  <si>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</si>
  <si>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</si>
  <si>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</si>
  <si>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</si>
  <si>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</si>
  <si>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</si>
  <si>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</si>
  <si>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</si>
  <si>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</si>
  <si>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</si>
  <si>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</si>
  <si>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</si>
  <si>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</si>
  <si>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</si>
  <si>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</si>
  <si>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</si>
  <si>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</si>
  <si>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</si>
  <si>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</si>
  <si>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</si>
  <si>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</si>
  <si>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</si>
  <si>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</si>
  <si>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</si>
  <si>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</si>
  <si>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</si>
  <si>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</si>
  <si>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</si>
  <si>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</si>
  <si>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</si>
  <si>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</si>
  <si>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</si>
  <si>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</si>
  <si>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</si>
  <si>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</si>
  <si>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</si>
  <si>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</si>
  <si>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</si>
  <si>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</si>
  <si>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</si>
  <si>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</si>
  <si>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</si>
  <si>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</si>
  <si>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</si>
  <si>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</si>
  <si>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</si>
  <si>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</si>
  <si>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</si>
  <si>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</si>
  <si>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</si>
  <si>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</si>
  <si>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</si>
  <si>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</si>
  <si>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</si>
  <si>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</si>
  <si>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</si>
  <si>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</si>
  <si>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</si>
  <si>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</si>
  <si>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</si>
  <si>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</si>
  <si>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</si>
  <si>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</si>
  <si>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</si>
  <si>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</si>
  <si>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</si>
  <si>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</si>
  <si>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</si>
  <si>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</si>
  <si>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</si>
  <si>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</si>
  <si>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</si>
  <si>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</si>
  <si>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</si>
  <si>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</si>
  <si>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</si>
  <si>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</si>
  <si>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</si>
  <si>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</si>
  <si>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</si>
  <si>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</si>
  <si>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</si>
  <si>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</si>
  <si>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</si>
  <si>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</si>
  <si>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</si>
  <si>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</si>
  <si>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</si>
  <si>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</si>
  <si>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</si>
  <si>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</si>
  <si>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</si>
  <si>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</si>
  <si>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</si>
  <si>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</si>
  <si>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</si>
  <si>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</si>
  <si>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</si>
  <si>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</si>
  <si>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</si>
  <si>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</si>
  <si>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</si>
  <si>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</si>
  <si>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</si>
  <si>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</si>
  <si>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</si>
  <si>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</si>
  <si>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</si>
  <si>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</si>
  <si>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</si>
  <si>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</si>
  <si>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</si>
  <si>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</si>
  <si>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</si>
  <si>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</si>
  <si>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</si>
  <si>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</si>
  <si>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</si>
  <si>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</si>
  <si>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</si>
  <si>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</si>
  <si>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</si>
  <si>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</si>
  <si>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</si>
  <si>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</si>
  <si>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</si>
  <si>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</si>
  <si>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</si>
  <si>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</si>
  <si>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</si>
  <si>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</si>
  <si>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</si>
  <si>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</si>
  <si>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</si>
  <si>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</si>
  <si>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</si>
  <si>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</si>
  <si>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</si>
  <si>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</si>
  <si>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</si>
  <si>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</si>
  <si>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</si>
  <si>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</si>
  <si>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</si>
  <si>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</si>
  <si>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</si>
  <si>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</si>
  <si>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</si>
  <si>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</si>
  <si>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</si>
  <si>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</si>
  <si>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</si>
  <si>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</si>
  <si>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</si>
  <si>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</si>
  <si>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</si>
  <si>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</si>
  <si>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</si>
  <si>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</si>
  <si>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</si>
  <si>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</si>
  <si>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</si>
  <si>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</si>
  <si>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</si>
  <si>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</si>
  <si>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</si>
  <si>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</si>
  <si>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</si>
  <si>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</si>
  <si>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</si>
  <si>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</si>
  <si>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</si>
  <si>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</si>
  <si>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</si>
  <si>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</si>
  <si>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</si>
  <si>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</si>
  <si>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</si>
  <si>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</si>
  <si>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</si>
  <si>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</si>
  <si>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</si>
  <si>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</si>
  <si>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</si>
  <si>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</si>
  <si>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</si>
  <si>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</si>
  <si>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</si>
  <si>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</si>
  <si>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</si>
  <si>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</si>
  <si>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</si>
  <si>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</si>
  <si>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</si>
  <si>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</si>
  <si>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</si>
  <si>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</si>
  <si>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</si>
  <si>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</si>
  <si>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</si>
  <si>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</si>
  <si>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</si>
  <si>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</si>
  <si>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</si>
  <si>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</si>
  <si>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</si>
  <si>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</si>
  <si>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</si>
  <si>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</si>
  <si>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</si>
  <si>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</si>
  <si>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</si>
  <si>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</si>
  <si>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</si>
  <si>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</si>
  <si>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</si>
  <si>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</si>
  <si>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</si>
  <si>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</si>
  <si>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</si>
  <si>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</si>
  <si>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</si>
  <si>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</si>
  <si>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</si>
  <si>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</si>
  <si>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</si>
  <si>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</si>
  <si>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</si>
  <si>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</si>
  <si>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</si>
  <si>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</si>
  <si>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</si>
  <si>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</si>
  <si>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</si>
  <si>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</si>
  <si>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</si>
  <si>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</si>
  <si>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</si>
  <si>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</si>
  <si>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</si>
  <si>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</si>
  <si>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</si>
  <si>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</si>
  <si>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</si>
  <si>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</si>
  <si>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</si>
  <si>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</si>
  <si>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</si>
  <si>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</si>
  <si>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</si>
  <si>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</si>
  <si>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</si>
  <si>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</si>
  <si>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</si>
  <si>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</si>
  <si>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</si>
  <si>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</si>
  <si>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</si>
  <si>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</si>
  <si>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</si>
  <si>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</si>
  <si>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</si>
  <si>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</si>
  <si>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</si>
  <si>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</si>
  <si>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</si>
  <si>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</si>
  <si>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</si>
  <si>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</si>
  <si>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</si>
  <si>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</si>
  <si>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</si>
  <si>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</si>
  <si>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</si>
  <si>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</si>
  <si>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</si>
  <si>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</si>
  <si>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</si>
  <si>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</si>
  <si>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</si>
  <si>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</si>
  <si>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</si>
  <si>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</si>
  <si>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</si>
  <si>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</si>
  <si>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</si>
  <si>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</si>
  <si>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</si>
  <si>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</si>
  <si>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</si>
  <si>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</si>
  <si>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</si>
  <si>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</si>
  <si>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</si>
  <si>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</si>
  <si>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</si>
  <si>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</si>
  <si>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</si>
  <si>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</si>
  <si>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</si>
  <si>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</si>
  <si>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</si>
  <si>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</si>
  <si>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</si>
  <si>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</si>
  <si>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</si>
  <si>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</si>
  <si>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</si>
  <si>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</si>
  <si>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</si>
  <si>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</si>
  <si>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</si>
  <si>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</si>
  <si>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</si>
  <si>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</si>
  <si>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</si>
  <si>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</si>
  <si>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</si>
  <si>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</si>
  <si>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</si>
  <si>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</si>
  <si>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</si>
  <si>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</si>
  <si>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</si>
  <si>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</si>
  <si>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</si>
  <si>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</si>
  <si>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</si>
  <si>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</si>
  <si>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</si>
  <si>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</si>
  <si>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</si>
  <si>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</si>
  <si>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</si>
  <si>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</si>
  <si>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</si>
  <si>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</si>
  <si>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</si>
  <si>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</si>
  <si>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</si>
  <si>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</si>
  <si>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</si>
  <si>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</si>
  <si>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</si>
  <si>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</si>
  <si>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</si>
  <si>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</si>
  <si>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</si>
  <si>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</si>
  <si>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</si>
  <si>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</si>
  <si>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</si>
  <si>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</si>
  <si>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</si>
  <si>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</si>
  <si>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</si>
  <si>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</si>
  <si>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</si>
  <si>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</si>
  <si>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</si>
  <si>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</si>
  <si>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</si>
  <si>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</si>
  <si>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</si>
  <si>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</si>
  <si>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</si>
  <si>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</si>
  <si>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</si>
  <si>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</si>
  <si>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</si>
  <si>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</si>
  <si>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</si>
  <si>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</si>
  <si>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</si>
  <si>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</si>
  <si>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</si>
  <si>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</si>
  <si>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</si>
  <si>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</si>
  <si>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</si>
  <si>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</si>
  <si>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</si>
  <si>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</si>
  <si>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</si>
  <si>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</si>
  <si>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</si>
  <si>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</si>
  <si>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</si>
  <si>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</si>
  <si>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</si>
  <si>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</si>
  <si>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</si>
  <si>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</si>
  <si>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</si>
  <si>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</si>
  <si>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</si>
  <si>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</si>
  <si>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</si>
  <si>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</si>
  <si>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</si>
  <si>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</si>
  <si>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</si>
  <si>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</si>
  <si>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</si>
  <si>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</si>
  <si>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</si>
  <si>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</si>
  <si>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</si>
  <si>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</si>
  <si>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</si>
  <si>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</si>
  <si>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</si>
  <si>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</si>
  <si>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</si>
  <si>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</si>
  <si>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</si>
  <si>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</si>
  <si>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</si>
  <si>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</si>
  <si>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</si>
  <si>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</si>
  <si>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</si>
  <si>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</si>
  <si>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</si>
  <si>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</si>
  <si>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</si>
  <si>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</si>
  <si>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</si>
  <si>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</si>
  <si>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</si>
  <si>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</si>
  <si>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</si>
  <si>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</si>
  <si>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</si>
  <si>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</si>
  <si>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</si>
  <si>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</si>
  <si>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</si>
  <si>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</si>
  <si>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</si>
  <si>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</si>
  <si>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</si>
  <si>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</si>
  <si>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</si>
  <si>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</si>
  <si>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</si>
  <si>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</si>
  <si>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</si>
  <si>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</si>
  <si>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</si>
  <si>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</si>
  <si>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</si>
  <si>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</si>
  <si>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</si>
  <si>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</si>
  <si>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</si>
  <si>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</si>
  <si>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</si>
  <si>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</si>
  <si>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</si>
  <si>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</si>
  <si>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</si>
  <si>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</si>
  <si>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</si>
  <si>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</si>
  <si>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</si>
  <si>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</si>
  <si>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</si>
  <si>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</si>
  <si>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</si>
  <si>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</si>
  <si>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</si>
  <si>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</si>
  <si>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</si>
  <si>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</si>
  <si>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</si>
  <si>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</si>
  <si>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</si>
  <si>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</si>
  <si>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</si>
  <si>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</si>
  <si>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</si>
  <si>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</si>
  <si>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</si>
  <si>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</si>
  <si>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</si>
  <si>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</si>
  <si>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</si>
  <si>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</si>
  <si>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</si>
  <si>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</si>
  <si>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</si>
  <si>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</si>
  <si>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</si>
  <si>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</si>
  <si>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</si>
  <si>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</si>
  <si>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</si>
  <si>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</si>
  <si>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</si>
  <si>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</si>
  <si>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</si>
  <si>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</si>
  <si>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</si>
  <si>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</si>
  <si>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</si>
  <si>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</si>
  <si>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</si>
  <si>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</si>
  <si>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</si>
  <si>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</si>
  <si>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</si>
  <si>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</si>
  <si>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</si>
  <si>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</si>
  <si>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</si>
  <si>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</si>
  <si>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</si>
  <si>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</si>
  <si>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</si>
  <si>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</si>
  <si>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</si>
  <si>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</si>
  <si>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</si>
  <si>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</si>
  <si>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</si>
  <si>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</si>
  <si>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</si>
  <si>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</si>
  <si>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</si>
  <si>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</si>
  <si>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</si>
  <si>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</si>
  <si>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</si>
  <si>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</si>
  <si>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</si>
  <si>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</si>
  <si>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</si>
  <si>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</si>
  <si>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</si>
  <si>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</si>
  <si>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</si>
  <si>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</si>
  <si>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</si>
  <si>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</si>
  <si>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</si>
  <si>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</si>
  <si>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</si>
  <si>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</si>
  <si>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</si>
  <si>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</si>
  <si>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</si>
  <si>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</si>
  <si>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</si>
  <si>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</si>
  <si>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</si>
  <si>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</si>
  <si>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</si>
  <si>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</si>
  <si>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</si>
  <si>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</si>
  <si>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</si>
  <si>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</si>
  <si>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</si>
  <si>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</si>
  <si>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</si>
  <si>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</si>
  <si>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</si>
  <si>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</si>
  <si>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</si>
  <si>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</si>
  <si>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</si>
  <si>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</si>
  <si>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</si>
  <si>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</si>
  <si>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</si>
  <si>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</si>
  <si>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</si>
  <si>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</si>
  <si>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</si>
  <si>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</si>
  <si>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</si>
  <si>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</si>
  <si>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</si>
  <si>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</si>
  <si>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</si>
  <si>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</si>
  <si>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</si>
  <si>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</si>
  <si>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</si>
  <si>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</si>
  <si>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</si>
  <si>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</si>
  <si>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</si>
  <si>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</si>
  <si>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</si>
  <si>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</si>
  <si>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</si>
  <si>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</si>
  <si>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</si>
  <si>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</si>
  <si>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</si>
  <si>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</si>
  <si>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</si>
  <si>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</si>
  <si>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</si>
  <si>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</si>
  <si>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</si>
  <si>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</si>
  <si>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</si>
  <si>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</si>
  <si>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</si>
  <si>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</si>
  <si>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</si>
  <si>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</si>
  <si>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</si>
  <si>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</si>
  <si>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</si>
  <si>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</si>
  <si>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</si>
  <si>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</si>
  <si>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</si>
  <si>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</si>
  <si>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</si>
  <si>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</si>
  <si>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</si>
  <si>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</si>
  <si>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</si>
  <si>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</si>
  <si>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</si>
  <si>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</si>
  <si>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</si>
  <si>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</si>
  <si>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</si>
  <si>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</si>
  <si>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</si>
  <si>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</si>
  <si>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</si>
  <si>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</si>
  <si>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</si>
  <si>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</si>
  <si>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</si>
  <si>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</si>
  <si>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</si>
  <si>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</si>
  <si>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</si>
  <si>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</si>
  <si>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</si>
  <si>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</si>
  <si>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</si>
  <si>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</si>
  <si>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</si>
  <si>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</si>
  <si>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</si>
  <si>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</si>
  <si>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</si>
  <si>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</si>
  <si>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</si>
  <si>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</si>
  <si>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</si>
  <si>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</si>
  <si>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</si>
  <si>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</si>
  <si>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</si>
  <si>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</si>
  <si>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</si>
  <si>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</si>
  <si>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</si>
  <si>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</si>
  <si>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</si>
  <si>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</si>
  <si>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</si>
  <si>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</si>
  <si>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</si>
  <si>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</si>
  <si>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</si>
  <si>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</si>
  <si>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</si>
  <si>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</si>
  <si>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</si>
  <si>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</si>
  <si>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</si>
  <si>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</si>
  <si>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</si>
  <si>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</si>
  <si>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</si>
  <si>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</si>
  <si>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</si>
  <si>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</si>
  <si>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</si>
  <si>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</si>
  <si>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</si>
  <si>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</si>
  <si>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</si>
  <si>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</si>
  <si>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</si>
  <si>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</si>
  <si>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</si>
  <si>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</si>
  <si>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</si>
  <si>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</si>
  <si>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</si>
  <si>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</si>
  <si>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</si>
  <si>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</si>
  <si>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</si>
  <si>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</si>
  <si>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</si>
  <si>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</si>
  <si>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</si>
  <si>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</si>
  <si>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</si>
  <si>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</si>
  <si>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</si>
  <si>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</si>
  <si>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</si>
  <si>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</si>
  <si>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</si>
  <si>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</si>
  <si>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</si>
  <si>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</si>
  <si>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</si>
  <si>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</si>
  <si>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</si>
  <si>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</si>
  <si>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</si>
  <si>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</si>
  <si>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</si>
  <si>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</si>
  <si>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</si>
  <si>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</si>
  <si>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</si>
  <si>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</si>
  <si>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</si>
  <si>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</si>
  <si>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</si>
  <si>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</si>
  <si>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</si>
  <si>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</si>
  <si>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</si>
  <si>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</si>
  <si>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</si>
  <si>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</si>
  <si>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</si>
  <si>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</si>
  <si>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</si>
  <si>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</si>
  <si>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</si>
  <si>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</si>
  <si>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</si>
  <si>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</si>
  <si>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</si>
  <si>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</si>
  <si>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</si>
  <si>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</si>
  <si>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</si>
  <si>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</si>
  <si>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</si>
  <si>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</si>
  <si>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</si>
  <si>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</si>
  <si>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</si>
  <si>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</si>
  <si>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</si>
  <si>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</si>
  <si>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</si>
  <si>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</si>
  <si>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</si>
  <si>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</si>
  <si>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</si>
  <si>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</si>
  <si>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</si>
  <si>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</si>
  <si>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</si>
  <si>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</si>
  <si>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</si>
  <si>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</si>
  <si>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</si>
  <si>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</si>
  <si>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</si>
  <si>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</si>
  <si>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</si>
  <si>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</si>
  <si>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</si>
  <si>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</si>
  <si>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</si>
  <si>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</si>
  <si>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</si>
  <si>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</si>
  <si>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</si>
  <si>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</si>
  <si>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</si>
  <si>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</si>
  <si>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</si>
  <si>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</si>
  <si>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</si>
  <si>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</si>
  <si>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</si>
  <si>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</si>
  <si>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</si>
  <si>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</si>
  <si>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</si>
  <si>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</si>
  <si>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</si>
  <si>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</si>
  <si>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</si>
  <si>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</si>
  <si>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</si>
  <si>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</si>
  <si>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</si>
  <si>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</si>
  <si>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</si>
  <si>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</si>
  <si>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</si>
  <si>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</si>
  <si>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</si>
  <si>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</si>
  <si>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</si>
  <si>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</si>
  <si>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</si>
  <si>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</si>
  <si>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</si>
  <si>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</si>
  <si>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</si>
  <si>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</si>
  <si>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</si>
  <si>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</si>
  <si>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</si>
  <si>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</si>
  <si>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</si>
  <si>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</si>
  <si>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</si>
  <si>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</si>
  <si>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</si>
  <si>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</si>
  <si>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</si>
  <si>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</si>
  <si>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</si>
  <si>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</si>
  <si>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</si>
  <si>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</si>
  <si>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</si>
  <si>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</si>
  <si>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</si>
  <si>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</si>
  <si>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</si>
  <si>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</si>
  <si>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</si>
  <si>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</si>
  <si>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</si>
  <si>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</si>
  <si>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</si>
  <si>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</si>
  <si>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</si>
  <si>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</si>
  <si>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</si>
  <si>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</si>
  <si>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</si>
  <si>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</si>
  <si>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</si>
  <si>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</si>
  <si>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</si>
  <si>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</si>
  <si>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</si>
  <si>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</si>
  <si>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</si>
  <si>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</si>
  <si>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</si>
  <si>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</si>
  <si>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</si>
  <si>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</si>
  <si>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</si>
  <si>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</si>
  <si>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</si>
  <si>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</si>
  <si>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</si>
  <si>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</si>
  <si>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</si>
  <si>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</si>
  <si>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</si>
  <si>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</si>
  <si>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</si>
  <si>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</si>
  <si>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</si>
  <si>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</si>
  <si>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</si>
  <si>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</si>
  <si>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</si>
  <si>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</si>
  <si>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</si>
  <si>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</si>
  <si>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</si>
  <si>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</si>
  <si>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</si>
  <si>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</si>
  <si>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</si>
  <si>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</si>
  <si>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</si>
  <si>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</si>
  <si>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</si>
  <si>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</si>
  <si>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</si>
  <si>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</si>
  <si>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</si>
  <si>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</si>
  <si>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</si>
  <si>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</si>
  <si>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</si>
  <si>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</si>
  <si>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</si>
  <si>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</si>
  <si>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</si>
  <si>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</si>
  <si>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</si>
  <si>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</si>
  <si>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</si>
  <si>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</si>
  <si>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</si>
  <si>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</si>
  <si>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</si>
  <si>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</si>
  <si>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</si>
  <si>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</si>
  <si>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</si>
  <si>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</si>
  <si>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</si>
  <si>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</si>
  <si>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</si>
  <si>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</si>
  <si>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</si>
  <si>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</si>
  <si>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</si>
  <si>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</si>
  <si>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</si>
  <si>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</si>
  <si>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</si>
  <si>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</si>
  <si>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</si>
  <si>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</si>
  <si>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</si>
  <si>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</si>
  <si>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</si>
  <si>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</si>
  <si>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</si>
  <si>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</si>
  <si>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</si>
  <si>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</si>
  <si>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</si>
  <si>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</si>
  <si>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</si>
  <si>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</si>
  <si>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</si>
  <si>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</si>
  <si>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</si>
  <si>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</si>
  <si>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</si>
  <si>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</si>
  <si>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</si>
  <si>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</si>
  <si>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</si>
  <si>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</si>
  <si>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</si>
  <si>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</si>
  <si>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</si>
  <si>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</si>
  <si>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</si>
  <si>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</si>
  <si>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</si>
  <si>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</si>
  <si>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</si>
  <si>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</si>
  <si>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</si>
  <si>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</si>
  <si>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</si>
  <si>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</si>
  <si>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</si>
  <si>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</si>
  <si>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</si>
  <si>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</si>
  <si>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</si>
  <si>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</si>
  <si>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</si>
  <si>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</si>
  <si>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</si>
  <si>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</si>
  <si>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</si>
  <si>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</si>
  <si>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</si>
  <si>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</si>
  <si>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</si>
  <si>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</si>
  <si>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</si>
  <si>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</si>
  <si>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</si>
  <si>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</si>
  <si>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</si>
  <si>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</si>
  <si>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</si>
  <si>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</si>
  <si>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</si>
  <si>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</si>
  <si>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</si>
  <si>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</si>
  <si>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</si>
  <si>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</si>
  <si>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</si>
  <si>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</si>
  <si>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</si>
  <si>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</si>
  <si>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</si>
  <si>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</si>
  <si>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</si>
  <si>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</si>
  <si>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</si>
  <si>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</si>
  <si>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</si>
  <si>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</si>
  <si>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</si>
  <si>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</si>
  <si>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</si>
  <si>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</si>
  <si>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</si>
  <si>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</si>
  <si>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</si>
  <si>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</si>
  <si>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</si>
  <si>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</si>
  <si>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</si>
  <si>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</si>
  <si>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</si>
  <si>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</si>
  <si>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</si>
  <si>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</si>
  <si>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</si>
  <si>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</si>
  <si>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</si>
  <si>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</si>
  <si>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</si>
  <si>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</si>
  <si>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</si>
  <si>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</si>
  <si>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</si>
  <si>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</si>
  <si>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</si>
  <si>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</si>
  <si>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</si>
  <si>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</si>
  <si>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</si>
  <si>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</si>
  <si>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</si>
  <si>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</si>
  <si>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</si>
  <si>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</si>
  <si>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</si>
  <si>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</si>
  <si>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</si>
  <si>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</si>
  <si>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</si>
  <si>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</si>
  <si>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</si>
  <si>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</si>
  <si>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</si>
  <si>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</si>
  <si>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</si>
  <si>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</si>
  <si>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</si>
  <si>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</si>
  <si>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</si>
  <si>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</si>
  <si>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</si>
  <si>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</si>
  <si>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</si>
  <si>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</si>
  <si>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</si>
  <si>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</si>
  <si>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</si>
  <si>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</si>
  <si>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</si>
  <si>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</si>
  <si>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</si>
  <si>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</si>
  <si>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</si>
  <si>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</si>
  <si>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</si>
  <si>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</si>
  <si>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</si>
  <si>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</si>
  <si>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</si>
  <si>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</si>
  <si>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</si>
  <si>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</si>
  <si>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</si>
  <si>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</si>
  <si>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</si>
  <si>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</si>
  <si>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</si>
  <si>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</si>
  <si>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</si>
  <si>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</si>
  <si>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</si>
  <si>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</si>
  <si>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</si>
  <si>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</si>
  <si>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</si>
  <si>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</si>
  <si>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</si>
  <si>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</si>
  <si>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</si>
  <si>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</si>
  <si>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</si>
  <si>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</si>
  <si>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</si>
  <si>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</si>
  <si>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</si>
  <si>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</si>
  <si>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</si>
  <si>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</si>
  <si>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</si>
  <si>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</si>
  <si>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</si>
  <si>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</si>
  <si>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</si>
  <si>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</si>
  <si>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</si>
  <si>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</si>
  <si>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</si>
  <si>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</si>
  <si>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</si>
  <si>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</si>
  <si>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</si>
  <si>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</si>
  <si>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</si>
  <si>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</si>
  <si>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</si>
  <si>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</si>
  <si>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</si>
  <si>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</si>
  <si>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</si>
  <si>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</si>
  <si>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</si>
  <si>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</si>
  <si>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</si>
  <si>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</si>
  <si>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</si>
  <si>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</si>
  <si>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</si>
  <si>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</si>
  <si>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</si>
  <si>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</si>
  <si>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</si>
  <si>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</si>
  <si>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</si>
  <si>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</si>
  <si>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</si>
  <si>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</si>
  <si>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</si>
  <si>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</si>
  <si>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</si>
  <si>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</si>
  <si>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</si>
  <si>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</si>
  <si>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</si>
  <si>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</si>
  <si>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</si>
  <si>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</si>
  <si>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</si>
  <si>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</si>
  <si>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</si>
  <si>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</si>
  <si>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</si>
  <si>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</si>
  <si>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</si>
  <si>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</si>
  <si>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</si>
  <si>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</si>
  <si>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</si>
  <si>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</si>
  <si>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</si>
  <si>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</si>
  <si>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</si>
  <si>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</si>
  <si>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</si>
  <si>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</si>
  <si>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</si>
  <si>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</si>
  <si>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</si>
  <si>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</si>
  <si>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</si>
  <si>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</si>
  <si>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</si>
  <si>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</si>
  <si>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</si>
  <si>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</si>
  <si>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</si>
  <si>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</si>
  <si>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</si>
  <si>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</si>
  <si>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</si>
  <si>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</si>
  <si>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</si>
  <si>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</si>
  <si>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</si>
  <si>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</si>
  <si>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</si>
  <si>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</si>
  <si>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</si>
  <si>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</si>
  <si>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</si>
  <si>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</si>
  <si>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</si>
  <si>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</si>
  <si>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</si>
  <si>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</si>
  <si>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</si>
  <si>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</si>
  <si>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</si>
  <si>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</si>
  <si>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</si>
  <si>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</si>
  <si>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</si>
  <si>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</si>
  <si>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</si>
  <si>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</si>
  <si>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</si>
  <si>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</si>
  <si>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</si>
  <si>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</si>
  <si>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</si>
  <si>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</si>
  <si>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</si>
  <si>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</si>
  <si>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</si>
  <si>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</si>
  <si>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</si>
  <si>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</si>
  <si>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</si>
  <si>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</si>
  <si>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</si>
  <si>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</si>
  <si>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</si>
  <si>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</si>
  <si>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</si>
  <si>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</si>
  <si>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</si>
  <si>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</si>
  <si>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</si>
  <si>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</si>
  <si>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</si>
  <si>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</si>
  <si>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</si>
  <si>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</si>
  <si>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</si>
  <si>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</si>
  <si>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</si>
  <si>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</si>
  <si>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</si>
  <si>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</si>
  <si>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</si>
  <si>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</si>
  <si>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</si>
  <si>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</si>
  <si>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</si>
  <si>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</si>
  <si>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</si>
  <si>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</si>
  <si>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</si>
  <si>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</si>
  <si>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</si>
  <si>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</si>
  <si>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</si>
  <si>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</si>
  <si>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</si>
  <si>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</si>
  <si>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</si>
  <si>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</si>
  <si>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</si>
  <si>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</si>
  <si>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</si>
  <si>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</si>
  <si>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</si>
  <si>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</si>
  <si>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</si>
  <si>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</si>
  <si>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</si>
  <si>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</si>
  <si>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</si>
  <si>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</si>
  <si>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</si>
  <si>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</si>
  <si>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</si>
  <si>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</si>
  <si>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</si>
  <si>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</si>
  <si>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</si>
  <si>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</si>
  <si>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</si>
  <si>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</si>
  <si>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</si>
  <si>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</si>
  <si>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</si>
  <si>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</si>
  <si>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</si>
  <si>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</si>
  <si>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</si>
  <si>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</si>
  <si>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</si>
  <si>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</si>
  <si>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</si>
  <si>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</si>
  <si>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</si>
  <si>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</si>
  <si>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</si>
  <si>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</si>
  <si>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</si>
  <si>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</si>
  <si>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</si>
  <si>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</si>
  <si>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</si>
  <si>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</si>
  <si>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</si>
  <si>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</si>
  <si>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</si>
  <si>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</si>
  <si>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</si>
  <si>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</si>
  <si>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</si>
  <si>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</si>
  <si>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</si>
  <si>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</si>
  <si>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</si>
  <si>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</si>
  <si>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</si>
  <si>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</si>
  <si>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</si>
  <si>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</si>
  <si>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</si>
  <si>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</si>
  <si>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</si>
  <si>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</si>
  <si>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</si>
  <si>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</si>
  <si>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</si>
  <si>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</si>
  <si>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</si>
  <si>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</si>
  <si>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</si>
  <si>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</si>
  <si>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</si>
  <si>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</si>
  <si>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</si>
  <si>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</si>
  <si>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</si>
  <si>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</si>
  <si>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</si>
  <si>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</si>
  <si>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</si>
  <si>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</si>
  <si>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</si>
  <si>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</si>
  <si>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</si>
  <si>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</si>
  <si>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</si>
  <si>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</si>
  <si>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</si>
  <si>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</si>
  <si>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</si>
  <si>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</si>
  <si>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</si>
  <si>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</si>
  <si>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</si>
  <si>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</si>
  <si>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</si>
  <si>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</si>
  <si>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</si>
  <si>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</si>
  <si>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</si>
  <si>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</si>
  <si>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</si>
  <si>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</si>
  <si>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</si>
  <si>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</si>
  <si>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</si>
  <si>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</si>
  <si>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</si>
  <si>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</si>
  <si>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</si>
  <si>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</si>
  <si>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</si>
  <si>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</si>
  <si>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</si>
  <si>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</si>
  <si>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</si>
  <si>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</si>
  <si>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</si>
  <si>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</si>
  <si>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</si>
  <si>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</si>
  <si>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</si>
  <si>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</si>
  <si>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</si>
  <si>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</si>
  <si>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</si>
  <si>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</si>
  <si>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</si>
  <si>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</si>
  <si>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</si>
  <si>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</si>
  <si>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</si>
  <si>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</si>
  <si>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</si>
  <si>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</si>
  <si>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</si>
  <si>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</si>
  <si>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</si>
  <si>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</si>
  <si>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</si>
  <si>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</si>
  <si>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</si>
  <si>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</si>
  <si>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</si>
  <si>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</si>
  <si>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</si>
  <si>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</si>
  <si>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</si>
  <si>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</si>
  <si>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</si>
  <si>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</si>
  <si>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</si>
  <si>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</si>
  <si>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</si>
  <si>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</si>
  <si>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</si>
  <si>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</si>
  <si>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</si>
  <si>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</si>
  <si>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</si>
  <si>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</si>
  <si>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</si>
  <si>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</si>
  <si>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</si>
  <si>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</si>
  <si>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</si>
  <si>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</si>
  <si>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</si>
  <si>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</si>
  <si>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</si>
  <si>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</si>
  <si>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</si>
  <si>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</si>
  <si>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</si>
  <si>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</si>
  <si>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</si>
  <si>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</si>
  <si>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</si>
  <si>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</si>
  <si>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</si>
  <si>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</si>
  <si>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</si>
  <si>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</si>
  <si>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</si>
  <si>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</si>
  <si>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</si>
  <si>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</si>
  <si>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</si>
  <si>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</si>
  <si>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</si>
  <si>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</si>
  <si>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</si>
  <si>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</si>
  <si>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</si>
  <si>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</si>
  <si>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</si>
  <si>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</si>
  <si>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</si>
  <si>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</si>
  <si>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</si>
  <si>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</si>
  <si>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</si>
  <si>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</si>
  <si>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</si>
  <si>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</si>
  <si>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</si>
  <si>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</si>
  <si>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</si>
  <si>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</si>
  <si>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</si>
  <si>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</si>
  <si>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</si>
  <si>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</si>
  <si>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</si>
  <si>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</si>
  <si>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</si>
  <si>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</si>
  <si>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</si>
  <si>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</si>
  <si>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</si>
  <si>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</si>
  <si>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</si>
  <si>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</si>
  <si>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</si>
  <si>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</si>
  <si>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</si>
  <si>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</si>
  <si>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</si>
  <si>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</si>
  <si>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</si>
  <si>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</si>
  <si>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</si>
  <si>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</si>
  <si>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</si>
  <si>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</si>
  <si>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</si>
  <si>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</si>
  <si>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</si>
  <si>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</si>
  <si>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</si>
  <si>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</si>
  <si>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</si>
  <si>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</si>
  <si>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</si>
  <si>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</si>
  <si>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</si>
  <si>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</si>
  <si>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</si>
  <si>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</si>
  <si>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</si>
  <si>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</si>
  <si>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</si>
  <si>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</si>
  <si>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</si>
  <si>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</si>
  <si>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</si>
  <si>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</si>
  <si>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</si>
  <si>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</si>
  <si>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</si>
  <si>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</si>
  <si>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</si>
  <si>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</si>
  <si>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</si>
  <si>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</si>
  <si>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</si>
  <si>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</si>
  <si>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</si>
  <si>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</si>
  <si>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</si>
  <si>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</si>
  <si>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</si>
  <si>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</si>
  <si>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</si>
  <si>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</si>
  <si>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</si>
  <si>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</si>
  <si>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</si>
  <si>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</si>
  <si>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</si>
  <si>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</si>
  <si>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</si>
  <si>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</si>
  <si>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</si>
  <si>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</si>
  <si>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</si>
  <si>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</si>
  <si>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</si>
  <si>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</si>
  <si>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</si>
  <si>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</si>
  <si>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</si>
  <si>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</si>
  <si>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</si>
  <si>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</si>
  <si>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</si>
  <si>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</si>
  <si>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</si>
  <si>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</si>
  <si>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</si>
  <si>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</si>
  <si>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</si>
  <si>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</si>
  <si>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</si>
  <si>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</si>
  <si>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</si>
  <si>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</si>
  <si>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</si>
  <si>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</si>
  <si>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</si>
  <si>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</si>
  <si>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</si>
  <si>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</si>
  <si>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</si>
  <si>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</si>
  <si>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</si>
  <si>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</si>
  <si>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5/14.15</t>
    <phoneticPr fontId="7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</si>
  <si>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</si>
  <si>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</si>
  <si>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</si>
  <si>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</si>
  <si>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</si>
  <si>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</si>
  <si>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</si>
  <si>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</si>
  <si>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</si>
  <si>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</si>
  <si>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</si>
  <si>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</si>
  <si>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</si>
  <si>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</si>
  <si>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</si>
  <si>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</si>
  <si>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</si>
  <si>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</si>
  <si>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</si>
  <si>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</si>
  <si>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</si>
  <si>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</si>
  <si>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</si>
  <si>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</si>
  <si>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</si>
  <si>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</si>
  <si>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</si>
  <si>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</si>
  <si>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</si>
  <si>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</si>
  <si>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</si>
  <si>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</si>
  <si>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</si>
  <si>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</si>
  <si>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</si>
  <si>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</si>
  <si>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</si>
  <si>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</si>
  <si>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</si>
  <si>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</si>
  <si>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</si>
  <si>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</si>
  <si>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</si>
  <si>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</si>
  <si>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</si>
  <si>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</si>
  <si>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</si>
  <si>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</si>
  <si>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</si>
  <si>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</si>
  <si>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</si>
  <si>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</si>
  <si>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</si>
  <si>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</si>
  <si>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</si>
  <si>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</si>
  <si>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</si>
  <si>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</si>
  <si>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</si>
  <si>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</si>
  <si>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</si>
  <si>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</si>
  <si>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</si>
  <si>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</si>
  <si>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</si>
  <si>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</si>
  <si>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</si>
  <si>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</si>
  <si>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</si>
  <si>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</si>
  <si>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</si>
  <si>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</si>
  <si>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</si>
  <si>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</si>
  <si>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</si>
  <si>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</si>
  <si>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</si>
  <si>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</si>
  <si>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</si>
  <si>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</si>
  <si>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</si>
  <si>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</si>
  <si>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</si>
  <si>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</si>
  <si>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</si>
  <si>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</si>
  <si>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</si>
  <si>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</si>
  <si>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</si>
  <si>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</si>
  <si>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</si>
  <si>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</si>
  <si>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</si>
  <si>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</si>
  <si>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</si>
  <si>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</si>
  <si>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</si>
  <si>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</si>
  <si>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</si>
  <si>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</si>
  <si>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</si>
  <si>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</si>
  <si>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</si>
  <si>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</si>
  <si>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</si>
  <si>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</si>
  <si>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</si>
  <si>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</si>
  <si>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</si>
  <si>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</si>
  <si>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</si>
  <si>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</si>
  <si>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</si>
  <si>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</si>
  <si>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</si>
  <si>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</si>
  <si>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</si>
  <si>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</si>
  <si>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</si>
  <si>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</si>
  <si>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</si>
  <si>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</si>
  <si>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</si>
  <si>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</si>
  <si>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</si>
  <si>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</si>
  <si>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</si>
  <si>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</si>
  <si>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</si>
  <si>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</si>
  <si>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</si>
  <si>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</si>
  <si>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</si>
  <si>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</si>
  <si>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</si>
  <si>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</si>
  <si>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</si>
  <si>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</si>
  <si>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</si>
  <si>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</si>
  <si>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</si>
  <si>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</si>
  <si>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</si>
  <si>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</si>
  <si>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</si>
  <si>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</si>
  <si>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</si>
  <si>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</si>
  <si>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</si>
  <si>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</si>
  <si>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</si>
  <si>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</si>
  <si>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</si>
  <si>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</si>
  <si>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</si>
  <si>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</si>
  <si>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</si>
  <si>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</si>
  <si>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</si>
  <si>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</si>
  <si>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</si>
  <si>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</si>
  <si>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</si>
  <si>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</si>
  <si>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</si>
  <si>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</si>
  <si>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</si>
  <si>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</si>
  <si>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</si>
  <si>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</si>
  <si>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</si>
  <si>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</si>
  <si>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</si>
  <si>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</si>
  <si>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</si>
  <si>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</si>
  <si>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</si>
  <si>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</si>
  <si>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</si>
  <si>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</si>
  <si>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</si>
  <si>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</si>
  <si>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</si>
  <si>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</si>
  <si>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</si>
  <si>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</si>
  <si>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</si>
  <si>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</si>
  <si>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</si>
  <si>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</si>
  <si>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</si>
  <si>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</si>
  <si>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</si>
  <si>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</si>
  <si>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</si>
  <si>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</si>
  <si>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</si>
  <si>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</si>
  <si>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</si>
  <si>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</si>
  <si>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</si>
  <si>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</si>
  <si>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</si>
  <si>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</si>
  <si>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</si>
  <si>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</si>
  <si>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</si>
  <si>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</si>
  <si>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</si>
  <si>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</si>
  <si>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7/8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</si>
  <si>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</si>
  <si>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</si>
  <si>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</si>
  <si>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</si>
  <si>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</si>
  <si>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</si>
  <si>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</si>
  <si>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</si>
  <si>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</si>
  <si>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</si>
  <si>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</si>
  <si>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</si>
  <si>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</si>
  <si>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</si>
  <si>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</si>
  <si>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</si>
  <si>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</si>
  <si>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</si>
  <si>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</si>
  <si>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</si>
  <si>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</si>
  <si>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</si>
  <si>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</si>
  <si>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</si>
  <si>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</si>
  <si>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</si>
  <si>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</si>
  <si>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</si>
  <si>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</si>
  <si>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</si>
  <si>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</si>
  <si>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</si>
  <si>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</si>
  <si>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</si>
  <si>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</si>
  <si>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</si>
  <si>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</si>
  <si>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</si>
  <si>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</si>
  <si>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</si>
  <si>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</si>
  <si>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</si>
  <si>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</si>
  <si>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</si>
  <si>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</si>
  <si>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</si>
  <si>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</si>
  <si>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</si>
  <si>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</si>
  <si>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</si>
  <si>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</si>
  <si>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</si>
  <si>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</si>
  <si>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</si>
  <si>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</si>
  <si>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</si>
  <si>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</si>
  <si>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</si>
  <si>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</si>
  <si>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</si>
  <si>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</si>
  <si>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</si>
  <si>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</si>
  <si>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</si>
  <si>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</si>
  <si>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</si>
  <si>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</si>
  <si>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</si>
  <si>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</si>
  <si>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</si>
  <si>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</si>
  <si>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</si>
  <si>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</si>
  <si>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</si>
  <si>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</si>
  <si>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</si>
  <si>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</si>
  <si>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</si>
  <si>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</si>
  <si>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</si>
  <si>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</si>
  <si>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</si>
  <si>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</si>
  <si>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</si>
  <si>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</si>
  <si>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</si>
  <si>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</si>
  <si>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</si>
  <si>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</si>
  <si>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</si>
  <si>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</si>
  <si>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</si>
  <si>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</si>
  <si>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</si>
  <si>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</si>
  <si>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</si>
  <si>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</si>
  <si>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6/18.19  8/1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</si>
  <si>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</si>
  <si>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</si>
  <si>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</si>
  <si>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</si>
  <si>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</si>
  <si>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</si>
  <si>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</si>
  <si>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</si>
  <si>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</si>
  <si>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</si>
  <si>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</si>
  <si>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</si>
  <si>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</si>
  <si>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</si>
  <si>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</si>
  <si>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</si>
  <si>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</si>
  <si>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</si>
  <si>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</si>
  <si>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</si>
  <si>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</si>
  <si>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</si>
  <si>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</si>
  <si>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</si>
  <si>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</si>
  <si>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</si>
  <si>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</si>
  <si>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</si>
  <si>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</si>
  <si>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</si>
  <si>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</si>
  <si>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</si>
  <si>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</si>
  <si>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</si>
  <si>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</si>
  <si>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</si>
  <si>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</si>
  <si>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</si>
  <si>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2026. 8/5~7.8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</si>
  <si>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</si>
  <si>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</si>
  <si>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</si>
  <si>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</si>
  <si>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</si>
  <si>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</si>
  <si>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</si>
  <si>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</si>
  <si>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</si>
  <si>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</si>
  <si>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</si>
  <si>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</si>
  <si>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</si>
  <si>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</si>
  <si>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</si>
  <si>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</si>
  <si>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</si>
  <si>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</si>
  <si>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</si>
  <si>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</si>
  <si>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</si>
  <si>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</si>
  <si>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</si>
  <si>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</si>
  <si>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</si>
  <si>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</si>
  <si>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</si>
  <si>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</si>
  <si>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</si>
  <si>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</si>
  <si>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</si>
  <si>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8/15</t>
    <phoneticPr fontId="7" type="noConversion"/>
  </si>
  <si>
    <t>2026. 8/13</t>
    <phoneticPr fontId="7" type="noConversion"/>
  </si>
  <si>
    <t>2025. 10/17  2026. 8/15</t>
    <phoneticPr fontId="7" type="noConversion"/>
  </si>
  <si>
    <t>2026. 7/9.10.11.12  8/14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</si>
  <si>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</si>
  <si>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</si>
  <si>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</si>
  <si>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</si>
  <si>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</si>
  <si>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</si>
  <si>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</si>
  <si>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</si>
  <si>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</si>
  <si>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</si>
  <si>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</si>
  <si>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</si>
  <si>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</si>
  <si>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</si>
  <si>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</si>
  <si>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</si>
  <si>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</si>
  <si>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</si>
  <si>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</si>
  <si>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</si>
  <si>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</si>
  <si>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</si>
  <si>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</si>
  <si>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</si>
  <si>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8/22</t>
    <phoneticPr fontId="7" type="noConversion"/>
  </si>
  <si>
    <t>2026. 6/8  8/19.20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</si>
  <si>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</si>
  <si>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</si>
  <si>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</si>
  <si>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</si>
  <si>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</si>
  <si>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</si>
  <si>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</si>
  <si>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</si>
  <si>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</si>
  <si>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</si>
  <si>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</si>
  <si>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</si>
  <si>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</si>
  <si>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</si>
  <si>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</si>
  <si>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</si>
  <si>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</si>
  <si>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</si>
  <si>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</si>
  <si>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</si>
  <si>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</si>
  <si>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</si>
  <si>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</si>
  <si>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</si>
  <si>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</si>
  <si>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</si>
  <si>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</si>
  <si>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</si>
  <si>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</si>
  <si>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</si>
  <si>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</si>
  <si>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</si>
  <si>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</si>
  <si>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</si>
  <si>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</si>
  <si>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</si>
  <si>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</si>
  <si>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</si>
  <si>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</si>
  <si>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</si>
  <si>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</si>
  <si>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FCPBGAH 21.0X21.0(50BOX)</t>
    <phoneticPr fontId="7" type="noConversion"/>
  </si>
  <si>
    <t>2026. 8/27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</si>
  <si>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</si>
  <si>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</si>
  <si>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</si>
  <si>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</si>
  <si>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</si>
  <si>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</si>
  <si>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</si>
  <si>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</si>
  <si>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</si>
  <si>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</si>
  <si>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</si>
  <si>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</si>
  <si>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</si>
  <si>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</si>
  <si>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</si>
  <si>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</si>
  <si>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 xml:space="preserve"> </t>
    <phoneticPr fontId="7" type="noConversion"/>
  </si>
  <si>
    <t>KS-881744</t>
  </si>
  <si>
    <t>2026. 9/2</t>
    <phoneticPr fontId="7" type="noConversion"/>
  </si>
  <si>
    <t>2026. 8/11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</si>
  <si>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</si>
  <si>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</si>
  <si>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</si>
  <si>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</si>
  <si>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</si>
  <si>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</si>
  <si>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</si>
  <si>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</si>
  <si>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</si>
  <si>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</si>
  <si>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</si>
  <si>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</si>
  <si>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</si>
  <si>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</si>
  <si>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</si>
  <si>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</si>
  <si>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</si>
  <si>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</si>
  <si>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</si>
  <si>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</si>
  <si>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</si>
  <si>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</si>
  <si>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</si>
  <si>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</si>
  <si>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</si>
  <si>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</si>
  <si>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</si>
  <si>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</si>
  <si>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</si>
  <si>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</si>
  <si>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</si>
  <si>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</si>
  <si>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</si>
  <si>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</si>
  <si>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</si>
  <si>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</si>
  <si>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</si>
  <si>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</si>
  <si>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</si>
  <si>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</si>
  <si>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</si>
  <si>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</si>
  <si>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</si>
  <si>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</si>
  <si>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8/26.29.30  9/1.3.4~6.7.8.9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</si>
  <si>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</si>
  <si>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</si>
  <si>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</si>
  <si>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9/8.9</t>
    <phoneticPr fontId="7" type="noConversion"/>
  </si>
  <si>
    <t>2026. 6/10.11  8/8.9.10  9/8.9.10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</si>
  <si>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</si>
  <si>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</si>
  <si>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</si>
  <si>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</si>
  <si>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</si>
  <si>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</si>
  <si>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</si>
  <si>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</si>
  <si>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</si>
  <si>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</si>
  <si>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</si>
  <si>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</si>
  <si>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</si>
  <si>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</si>
  <si>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</si>
  <si>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</si>
  <si>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</si>
  <si>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5/12.13.14.15.16.18.19.20.21.22.23.25 9/13.14.15</t>
    <phoneticPr fontId="7" type="noConversion"/>
  </si>
  <si>
    <t xml:space="preserve"> 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</si>
  <si>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</si>
  <si>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</si>
  <si>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</si>
  <si>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</si>
  <si>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</si>
  <si>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</si>
  <si>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</si>
  <si>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</si>
  <si>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</si>
  <si>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</si>
  <si>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</si>
  <si>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</si>
  <si>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</si>
  <si>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</si>
  <si>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</si>
  <si>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</si>
  <si>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</si>
  <si>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</si>
  <si>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</si>
  <si>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</si>
  <si>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</si>
  <si>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</si>
  <si>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</si>
  <si>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</si>
  <si>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</si>
  <si>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</si>
  <si>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</si>
  <si>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9/21</t>
    <phoneticPr fontId="7" type="noConversion"/>
  </si>
  <si>
    <t>2026. 9/18.19</t>
    <phoneticPr fontId="7" type="noConversion"/>
  </si>
  <si>
    <t>2026. 8/9.10.11</t>
    <phoneticPr fontId="7" type="noConversion"/>
  </si>
  <si>
    <t>2026. 9/15.16.17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</si>
  <si>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</si>
  <si>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</si>
  <si>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</si>
  <si>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</si>
  <si>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</si>
  <si>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9/25</t>
    <phoneticPr fontId="7" type="noConversion"/>
  </si>
  <si>
    <t>베트남</t>
    <phoneticPr fontId="7" type="noConversion"/>
  </si>
  <si>
    <t>2026. 9/18.20.21</t>
    <phoneticPr fontId="7" type="noConversion"/>
  </si>
  <si>
    <t>2026. 8/27.28.29  9/15.16</t>
    <phoneticPr fontId="7" type="noConversion"/>
  </si>
  <si>
    <t>2026. 9/17.22</t>
    <phoneticPr fontId="7" type="noConversion"/>
  </si>
  <si>
    <t>2026. 8/7  9/3.4.22.23</t>
    <phoneticPr fontId="7" type="noConversion"/>
  </si>
  <si>
    <t>2026. 9/21.23</t>
    <phoneticPr fontId="7" type="noConversion"/>
  </si>
  <si>
    <t>2024. 11/1  2026. 9/26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</si>
  <si>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</si>
  <si>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</si>
  <si>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</si>
  <si>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</si>
  <si>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</si>
  <si>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7/1.2  8/14.15.18.19.20  9/23.~25</t>
    <phoneticPr fontId="7" type="noConversion"/>
  </si>
  <si>
    <t>2026. 9/27</t>
    <phoneticPr fontId="7" type="noConversion"/>
  </si>
  <si>
    <t>2026. 9/3.4</t>
    <phoneticPr fontId="7" type="noConversion"/>
  </si>
  <si>
    <t>2026. 9/16</t>
    <phoneticPr fontId="7" type="noConversion"/>
  </si>
  <si>
    <t>KS-881462-17</t>
  </si>
  <si>
    <t xml:space="preserve"> </t>
    <phoneticPr fontId="7" type="noConversion"/>
  </si>
  <si>
    <t>2026. 8/5.6  9/26.27</t>
    <phoneticPr fontId="7" type="noConversion"/>
  </si>
  <si>
    <t>2026. 9/27.28</t>
    <phoneticPr fontId="7" type="noConversion"/>
  </si>
  <si>
    <t>2026. 9/22.23.24</t>
    <phoneticPr fontId="7" type="noConversion"/>
  </si>
  <si>
    <t>2026. 9/10.21.22.23</t>
    <phoneticPr fontId="7" type="noConversion"/>
  </si>
  <si>
    <t>2026. 7/20.21.22.23  8/21.22.24</t>
    <phoneticPr fontId="7" type="noConversion"/>
  </si>
  <si>
    <t>2026. 3/5.6.7  5/6.7  6/19.20.22.23  7/14.15.16  9/2.3.27.28</t>
    <phoneticPr fontId="7" type="noConversion"/>
  </si>
  <si>
    <t>2026. 7/23.24.25  9/10.11.12.14.15.16.17.18.19.21.22.23.28</t>
    <phoneticPr fontId="7" type="noConversion"/>
  </si>
  <si>
    <t xml:space="preserve"> </t>
    <phoneticPr fontId="7" type="noConversion"/>
  </si>
  <si>
    <t>KS-881650-1</t>
    <phoneticPr fontId="7" type="noConversion"/>
  </si>
  <si>
    <t>KS-881462-18</t>
  </si>
  <si>
    <t>2023. 3/6.7  2026. 9/28</t>
    <phoneticPr fontId="7" type="noConversion"/>
  </si>
  <si>
    <t>2026. 9/29.30</t>
    <phoneticPr fontId="7" type="noConversion"/>
  </si>
  <si>
    <t>2026. 9/29</t>
    <phoneticPr fontId="7" type="noConversion"/>
  </si>
  <si>
    <t>2026. 9/25.26</t>
    <phoneticPr fontId="7" type="noConversion"/>
  </si>
  <si>
    <t>2026. 9/7.8.9.10.11.12.14.15.16.17.18.19</t>
    <phoneticPr fontId="7" type="noConversion"/>
  </si>
  <si>
    <t>2026. 8/25.26.27.30.31  9/20.21.22.23.27.28.29</t>
    <phoneticPr fontId="7" type="noConversion"/>
  </si>
  <si>
    <t>2026. 9/18.25.26.27.28</t>
    <phoneticPr fontId="7" type="noConversion"/>
  </si>
  <si>
    <t>2026. 9/22.23</t>
    <phoneticPr fontId="7" type="noConversion"/>
  </si>
  <si>
    <t>2026. 9/21.22.23.28.29.30</t>
    <phoneticPr fontId="7" type="noConversion"/>
  </si>
  <si>
    <t>2026. 8/13.14.15.17.18.19.20  9/17.18.19.21.22.23.28.29</t>
    <phoneticPr fontId="7" type="noConversion"/>
  </si>
  <si>
    <t xml:space="preserve"> </t>
    <phoneticPr fontId="7" type="noConversion"/>
  </si>
  <si>
    <t>2026. 9/29</t>
    <phoneticPr fontId="7" type="noConversion"/>
  </si>
  <si>
    <t>2026. 9/30</t>
    <phoneticPr fontId="7" type="noConversion"/>
  </si>
  <si>
    <t>2026. 3/20  9/23~26.27.28.29</t>
    <phoneticPr fontId="7" type="noConversion"/>
  </si>
  <si>
    <t>2026. 9/24.25</t>
    <phoneticPr fontId="7" type="noConversion"/>
  </si>
  <si>
    <t xml:space="preserve"> </t>
    <phoneticPr fontId="7" type="noConversion"/>
  </si>
  <si>
    <t xml:space="preserve"> </t>
    <phoneticPr fontId="7" type="noConversion"/>
  </si>
  <si>
    <t>KS-890304</t>
    <phoneticPr fontId="7" type="noConversion"/>
  </si>
  <si>
    <t>2026. 10/1.2</t>
    <phoneticPr fontId="7" type="noConversion"/>
  </si>
  <si>
    <t>2026. 9/29.30</t>
    <phoneticPr fontId="7" type="noConversion"/>
  </si>
  <si>
    <t>2026. 9/15~17.28.29.30  10/1</t>
    <phoneticPr fontId="7" type="noConversion"/>
  </si>
  <si>
    <t>2026. 7/28  8/9.10  9/29.30  10/2</t>
    <phoneticPr fontId="7" type="noConversion"/>
  </si>
  <si>
    <t>2026. 10/1</t>
    <phoneticPr fontId="7" type="noConversion"/>
  </si>
  <si>
    <t>2026. 6/27  7/10.11.12  8/20.21  9/29.30</t>
    <phoneticPr fontId="7" type="noConversion"/>
  </si>
  <si>
    <t>2026. 9/17.18.20</t>
    <phoneticPr fontId="7" type="noConversion"/>
  </si>
  <si>
    <t>2026. 9/17.18</t>
    <phoneticPr fontId="7" type="noConversion"/>
  </si>
  <si>
    <t>2026. 9/23</t>
    <phoneticPr fontId="7" type="noConversion"/>
  </si>
  <si>
    <t>2026. 9/28.29.30</t>
    <phoneticPr fontId="7" type="noConversion"/>
  </si>
  <si>
    <t>2026. 10/3</t>
    <phoneticPr fontId="7" type="noConversion"/>
  </si>
  <si>
    <t>2026. 10/2.3</t>
    <phoneticPr fontId="7" type="noConversion"/>
  </si>
  <si>
    <t>2026. 7/7.8.9  10/5</t>
    <phoneticPr fontId="7" type="noConversion"/>
  </si>
  <si>
    <t>2026. 7/20.21  9/30 10/1</t>
    <phoneticPr fontId="7" type="noConversion"/>
  </si>
  <si>
    <t>2026. 10/1</t>
    <phoneticPr fontId="7" type="noConversion"/>
  </si>
  <si>
    <t>2026. 9/1.30  10/1</t>
    <phoneticPr fontId="7" type="noConversion"/>
  </si>
  <si>
    <t>2026. 8/16.17  9/2.3.10.11.12.13  10/1.2.3</t>
    <phoneticPr fontId="7" type="noConversion"/>
  </si>
  <si>
    <t>2026. 8/22.24.25  9/17.18.19.21.23.28.29.30  10/1.2.3</t>
    <phoneticPr fontId="7" type="noConversion"/>
  </si>
  <si>
    <t xml:space="preserve"> </t>
    <phoneticPr fontId="7" type="noConversion"/>
  </si>
  <si>
    <t>2026. 10/6</t>
    <phoneticPr fontId="7" type="noConversion"/>
  </si>
  <si>
    <t>2026. 9/25</t>
    <phoneticPr fontId="7" type="noConversion"/>
  </si>
  <si>
    <t>KS-881821</t>
    <phoneticPr fontId="7" type="noConversion"/>
  </si>
  <si>
    <t>ASE KOREA</t>
    <phoneticPr fontId="7" type="noConversion"/>
  </si>
  <si>
    <t>2026. 10/4</t>
    <phoneticPr fontId="7" type="noConversion"/>
  </si>
  <si>
    <t>2026. 9/18.19.20.22.24.26.27.28</t>
    <phoneticPr fontId="7" type="noConversion"/>
  </si>
  <si>
    <t>2026. 9/4.5</t>
    <phoneticPr fontId="7" type="noConversion"/>
  </si>
  <si>
    <t>2026. 9/28.29.30</t>
    <phoneticPr fontId="7" type="noConversion"/>
  </si>
  <si>
    <t>2026. 9/23.28.29.30  10/1.2.3.5</t>
    <phoneticPr fontId="7" type="noConversion"/>
  </si>
  <si>
    <t xml:space="preserve"> </t>
    <phoneticPr fontId="7" type="noConversion"/>
  </si>
  <si>
    <t>KS-871673</t>
    <phoneticPr fontId="7" type="noConversion"/>
  </si>
  <si>
    <t>2026. 10/7</t>
    <phoneticPr fontId="7" type="noConversion"/>
  </si>
  <si>
    <t>2026. 10/12.3.5.6</t>
    <phoneticPr fontId="7" type="noConversion"/>
  </si>
  <si>
    <t>2026. 8/24  9/6.7.8.9.10.11.12.13.14.15.16.17.19.20.21  10/3.4.5.6</t>
    <phoneticPr fontId="7" type="noConversion"/>
  </si>
  <si>
    <t>2026. 10/1.2.3.4.5</t>
    <phoneticPr fontId="7" type="noConversion"/>
  </si>
  <si>
    <t>KS-881430</t>
  </si>
  <si>
    <t>FCCSP 5.4X5.0(50BOX)</t>
  </si>
  <si>
    <t>혜주</t>
    <phoneticPr fontId="7" type="noConversion"/>
  </si>
  <si>
    <t>2026. 9/23.28.29.30  10/1.2.3.5.6</t>
    <phoneticPr fontId="7" type="noConversion"/>
  </si>
  <si>
    <t xml:space="preserve"> </t>
    <phoneticPr fontId="7" type="noConversion"/>
  </si>
  <si>
    <t>2026. 10/8</t>
    <phoneticPr fontId="7" type="noConversion"/>
  </si>
  <si>
    <t>2026. 10/7</t>
    <phoneticPr fontId="7" type="noConversion"/>
  </si>
  <si>
    <t>2026. 10/6.7.8</t>
    <phoneticPr fontId="7" type="noConversion"/>
  </si>
  <si>
    <t>2026. 9/29.30</t>
    <phoneticPr fontId="7" type="noConversion"/>
  </si>
  <si>
    <t>2026. 9/23.24</t>
    <phoneticPr fontId="7" type="noConversion"/>
  </si>
  <si>
    <t>2026. 10/2.7</t>
    <phoneticPr fontId="7" type="noConversion"/>
  </si>
  <si>
    <t>2026. 8/24.25.27  10/7.8</t>
    <phoneticPr fontId="7" type="noConversion"/>
  </si>
  <si>
    <t>2026. 8/18.19.31  10/4.5</t>
    <phoneticPr fontId="7" type="noConversion"/>
  </si>
  <si>
    <t>2026. 7/25.27.28.29.30.31  10/2.3.5.6.7.8.9.10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</si>
  <si>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</si>
  <si>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</si>
  <si>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</si>
  <si>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10/1</t>
    <phoneticPr fontId="7" type="noConversion"/>
  </si>
  <si>
    <t>2026. 10/11</t>
    <phoneticPr fontId="7" type="noConversion"/>
  </si>
  <si>
    <t>2026. 10/10.11</t>
    <phoneticPr fontId="7" type="noConversion"/>
  </si>
  <si>
    <t>2026. 10/3.4.5.9.10</t>
    <phoneticPr fontId="7" type="noConversion"/>
  </si>
  <si>
    <t xml:space="preserve"> </t>
    <phoneticPr fontId="7" type="noConversion"/>
  </si>
  <si>
    <t xml:space="preserve"> </t>
    <phoneticPr fontId="7" type="noConversion"/>
  </si>
  <si>
    <t>KS-881323-2</t>
    <phoneticPr fontId="7" type="noConversion"/>
  </si>
  <si>
    <t xml:space="preserve"> </t>
    <phoneticPr fontId="7" type="noConversion"/>
  </si>
  <si>
    <t>2026. 9/27.28  10/10.12</t>
    <phoneticPr fontId="7" type="noConversion"/>
  </si>
  <si>
    <t>2026. 10/11</t>
    <phoneticPr fontId="7" type="noConversion"/>
  </si>
  <si>
    <t>2026.  8/1.2</t>
    <phoneticPr fontId="7" type="noConversion"/>
  </si>
  <si>
    <t>2026. 10/3.5.6</t>
    <phoneticPr fontId="7" type="noConversion"/>
  </si>
  <si>
    <t>2026. 10/11~13</t>
    <phoneticPr fontId="7" type="noConversion"/>
  </si>
  <si>
    <t>2026. 7/30  9/13.14.15.16  10/8.9.10.11</t>
    <phoneticPr fontId="7" type="noConversion"/>
  </si>
  <si>
    <t>2026. 10/4.5.6</t>
    <phoneticPr fontId="7" type="noConversion"/>
  </si>
  <si>
    <t>2026. 10/7.8.9.10</t>
    <phoneticPr fontId="7" type="noConversion"/>
  </si>
  <si>
    <t>2026. 9/26.27.28  10/7.9.10</t>
    <phoneticPr fontId="7" type="noConversion"/>
  </si>
  <si>
    <t>2026. 10/11.12</t>
    <phoneticPr fontId="7" type="noConversion"/>
  </si>
  <si>
    <t>2026. 10/9</t>
    <phoneticPr fontId="7" type="noConversion"/>
  </si>
  <si>
    <t>2026. 10/1.2.4</t>
    <phoneticPr fontId="7" type="noConversion"/>
  </si>
  <si>
    <t>2026. 9/27.29.30  10/2.3.4.5.6.9.10</t>
    <phoneticPr fontId="7" type="noConversion"/>
  </si>
  <si>
    <t>2026. 9/25.26.27</t>
    <phoneticPr fontId="7" type="noConversion"/>
  </si>
  <si>
    <t>2026. 9/29.30  10/1.2.3.5.6.7.8.9.10.12.13</t>
    <phoneticPr fontId="7" type="noConversion"/>
  </si>
  <si>
    <t>2026. 10/10.12.13.14</t>
    <phoneticPr fontId="7" type="noConversion"/>
  </si>
  <si>
    <t>2026. 10/11.12.13</t>
    <phoneticPr fontId="7" type="noConversion"/>
  </si>
  <si>
    <t>2026. 9/21.22.23.24.25  10/10.11.12.13.14</t>
    <phoneticPr fontId="7" type="noConversion"/>
  </si>
  <si>
    <t>2026. 10/14</t>
    <phoneticPr fontId="7" type="noConversion"/>
  </si>
  <si>
    <t>2026. 9/29  10/14</t>
    <phoneticPr fontId="7" type="noConversion"/>
  </si>
  <si>
    <t>2026. 10/8~11.12.14</t>
    <phoneticPr fontId="7" type="noConversion"/>
  </si>
  <si>
    <t>2026. 6/22  10/14</t>
    <phoneticPr fontId="7" type="noConversion"/>
  </si>
  <si>
    <t>2026. 2/21  10/12.13</t>
    <phoneticPr fontId="7" type="noConversion"/>
  </si>
  <si>
    <t>2026. 10/15.16</t>
    <phoneticPr fontId="7" type="noConversion"/>
  </si>
  <si>
    <t>KS-881650-2</t>
  </si>
  <si>
    <t>2026. 10/16.17</t>
    <phoneticPr fontId="7" type="noConversion"/>
  </si>
  <si>
    <t>2026. 10/18</t>
    <phoneticPr fontId="7" type="noConversion"/>
  </si>
  <si>
    <t>2026. 10/17</t>
    <phoneticPr fontId="7" type="noConversion"/>
  </si>
  <si>
    <t>2026. 1/2  2/2  10/14.15.17</t>
    <phoneticPr fontId="7" type="noConversion"/>
  </si>
  <si>
    <t>2026. 10/8.9.10.11.12.13.15.16</t>
    <phoneticPr fontId="7" type="noConversion"/>
  </si>
  <si>
    <t>2026. 10/9.10.11.12.14.16</t>
    <phoneticPr fontId="7" type="noConversion"/>
  </si>
  <si>
    <t>2026. 9/8.9  10/14.16</t>
    <phoneticPr fontId="7" type="noConversion"/>
  </si>
  <si>
    <t>2026. 6/16  10/16</t>
    <phoneticPr fontId="7" type="noConversion"/>
  </si>
  <si>
    <t>2026. 10/16</t>
    <phoneticPr fontId="7" type="noConversion"/>
  </si>
  <si>
    <t>2026. 10/13.14.15.16</t>
    <phoneticPr fontId="7" type="noConversion"/>
  </si>
  <si>
    <t>2026. 9/20</t>
    <phoneticPr fontId="7" type="noConversion"/>
  </si>
  <si>
    <t>2026. 7/14.15.16.17.18  9/8.9.10  10/7.8.9</t>
    <phoneticPr fontId="7" type="noConversion"/>
  </si>
  <si>
    <t>2026. 8/27.28.29.30  9/1.2  10/12.13.14.16</t>
    <phoneticPr fontId="7" type="noConversion"/>
  </si>
  <si>
    <t>2026. 10/12.13.14.17</t>
    <phoneticPr fontId="7" type="noConversion"/>
  </si>
  <si>
    <t>2026. 10/6.7~10.11.12.13.14.15.16</t>
    <phoneticPr fontId="7" type="noConversion"/>
  </si>
  <si>
    <t>2026. 9/23.24.25.27  10/13.15</t>
    <phoneticPr fontId="7" type="noConversion"/>
  </si>
  <si>
    <t>2026. 10/10</t>
    <phoneticPr fontId="7" type="noConversion"/>
  </si>
  <si>
    <t>2026. 7/23.24  9/22  10/13.14</t>
    <phoneticPr fontId="7" type="noConversion"/>
  </si>
  <si>
    <t>2026. 9/21.22  10/13.14.15</t>
    <phoneticPr fontId="7" type="noConversion"/>
  </si>
  <si>
    <t>2026. 9/21  10/6.14.16</t>
    <phoneticPr fontId="7" type="noConversion"/>
  </si>
  <si>
    <t>2026. 10/12</t>
    <phoneticPr fontId="7" type="noConversion"/>
  </si>
  <si>
    <t>2026. 10/14.15</t>
    <phoneticPr fontId="7" type="noConversion"/>
  </si>
  <si>
    <t>2026. 10/10.11</t>
    <phoneticPr fontId="7" type="noConversion"/>
  </si>
  <si>
    <t>2026. 10/6.8.10.11.12.13.14.15.17</t>
    <phoneticPr fontId="7" type="noConversion"/>
  </si>
  <si>
    <t>2026. 10/17.18</t>
    <phoneticPr fontId="7" type="noConversion"/>
  </si>
  <si>
    <t>2026. 10/4~6.7.16</t>
    <phoneticPr fontId="7" type="noConversion"/>
  </si>
  <si>
    <t>2026. 9/1.2.3.4.5.7.8.9.10.12.14.15.16.17.18.19.21..22.23.28.29.30  10/1.52.3.5.6.7.8.9.10.12.13.14.15.16.17</t>
    <phoneticPr fontId="7" type="noConversion"/>
  </si>
  <si>
    <t>2026. 10/12.13.14.15.16.17</t>
    <phoneticPr fontId="7" type="noConversion"/>
  </si>
  <si>
    <t>2026. 4/16.17.20.21.22.23.24  5/21.22.26.27.28.29  6/1.2.3.4  10/15.16.17.18</t>
    <phoneticPr fontId="7" type="noConversion"/>
  </si>
  <si>
    <t>2026. 10/8.9.10.12.13.14.15.16.17.18</t>
    <phoneticPr fontId="7" type="noConversion"/>
  </si>
  <si>
    <t>2026. 10/8.9.10.12.13.15.16.17.18</t>
    <phoneticPr fontId="7" type="noConversion"/>
  </si>
  <si>
    <t>2026. 10/16.17.18</t>
    <phoneticPr fontId="7" type="noConversion"/>
  </si>
  <si>
    <t>2026. 10/7.8.9.10.11.12.13.14.15.16</t>
    <phoneticPr fontId="7" type="noConversion"/>
  </si>
  <si>
    <t>2026. 10/1.2.3.6.7.8.9.10.11.12.13.14.15.16</t>
    <phoneticPr fontId="7" type="noConversion"/>
  </si>
  <si>
    <t>2026. 9/30  10/2.3.9.10.11.12.13.14.15.16</t>
    <phoneticPr fontId="7" type="noConversion"/>
  </si>
  <si>
    <t>2026. 10/14.15.16</t>
    <phoneticPr fontId="7" type="noConversion"/>
  </si>
  <si>
    <t xml:space="preserve"> </t>
    <phoneticPr fontId="7" type="noConversion"/>
  </si>
  <si>
    <t>KS-84059</t>
    <phoneticPr fontId="7" type="noConversion"/>
  </si>
  <si>
    <t>KS-881171-16</t>
  </si>
  <si>
    <t>08시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</si>
</sst>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 xr:uid="{00000000-0005-0000-0000-000000000000}"/>
    <cellStyle name="_0104" xfId="2" xr:uid="{00000000-0005-0000-0000-000001000000}"/>
    <cellStyle name="_0105" xfId="3" xr:uid="{00000000-0005-0000-0000-000002000000}"/>
    <cellStyle name="_0106" xfId="4" xr:uid="{00000000-0005-0000-0000-000003000000}"/>
    <cellStyle name="_0107" xfId="5" xr:uid="{00000000-0005-0000-0000-000004000000}"/>
    <cellStyle name="_0108" xfId="6" xr:uid="{00000000-0005-0000-0000-000005000000}"/>
    <cellStyle name="_0111 (1)" xfId="7" xr:uid="{00000000-0005-0000-0000-000006000000}"/>
    <cellStyle name="_0112" xfId="8" xr:uid="{00000000-0005-0000-0000-000007000000}"/>
    <cellStyle name="_0113" xfId="9" xr:uid="{00000000-0005-0000-0000-000008000000}"/>
    <cellStyle name="_0114" xfId="10" xr:uid="{00000000-0005-0000-0000-000009000000}"/>
    <cellStyle name="_0115" xfId="11" xr:uid="{00000000-0005-0000-0000-00000A000000}"/>
    <cellStyle name="_0118" xfId="12" xr:uid="{00000000-0005-0000-0000-00000B000000}"/>
    <cellStyle name="_0119" xfId="13" xr:uid="{00000000-0005-0000-0000-00000C000000}"/>
    <cellStyle name="_0120" xfId="14" xr:uid="{00000000-0005-0000-0000-00000D000000}"/>
    <cellStyle name="_0122" xfId="15" xr:uid="{00000000-0005-0000-0000-00000E000000}"/>
    <cellStyle name="_0123" xfId="16" xr:uid="{00000000-0005-0000-0000-00000F000000}"/>
    <cellStyle name="_0125" xfId="17" xr:uid="{00000000-0005-0000-0000-000010000000}"/>
    <cellStyle name="_0126" xfId="18" xr:uid="{00000000-0005-0000-0000-000011000000}"/>
    <cellStyle name="_0127" xfId="19" xr:uid="{00000000-0005-0000-0000-000012000000}"/>
    <cellStyle name="_0128" xfId="20" xr:uid="{00000000-0005-0000-0000-000013000000}"/>
    <cellStyle name="_0129" xfId="21" xr:uid="{00000000-0005-0000-0000-000014000000}"/>
    <cellStyle name="_01월 31일 출하성적서(수출)" xfId="22" xr:uid="{00000000-0005-0000-0000-000015000000}"/>
    <cellStyle name="_0201" xfId="23" xr:uid="{00000000-0005-0000-0000-000016000000}"/>
    <cellStyle name="_0202" xfId="24" xr:uid="{00000000-0005-0000-0000-000017000000}"/>
    <cellStyle name="_0203" xfId="25" xr:uid="{00000000-0005-0000-0000-000018000000}"/>
    <cellStyle name="_0204" xfId="26" xr:uid="{00000000-0005-0000-0000-000019000000}"/>
    <cellStyle name="_0205" xfId="27" xr:uid="{00000000-0005-0000-0000-00001A000000}"/>
    <cellStyle name="_0208" xfId="28" xr:uid="{00000000-0005-0000-0000-00001B000000}"/>
    <cellStyle name="_0209" xfId="29" xr:uid="{00000000-0005-0000-0000-00001C000000}"/>
    <cellStyle name="_0210" xfId="30" xr:uid="{00000000-0005-0000-0000-00001D000000}"/>
    <cellStyle name="_0211" xfId="31" xr:uid="{00000000-0005-0000-0000-00001E000000}"/>
    <cellStyle name="_0212" xfId="32" xr:uid="{00000000-0005-0000-0000-00001F000000}"/>
    <cellStyle name="_0216" xfId="33" xr:uid="{00000000-0005-0000-0000-000020000000}"/>
    <cellStyle name="_0218-1" xfId="34" xr:uid="{00000000-0005-0000-0000-000021000000}"/>
    <cellStyle name="_0219" xfId="35" xr:uid="{00000000-0005-0000-0000-000022000000}"/>
    <cellStyle name="_0222" xfId="36" xr:uid="{00000000-0005-0000-0000-000023000000}"/>
    <cellStyle name="_0223" xfId="37" xr:uid="{00000000-0005-0000-0000-000024000000}"/>
    <cellStyle name="_0224" xfId="38" xr:uid="{00000000-0005-0000-0000-000025000000}"/>
    <cellStyle name="_0225" xfId="39" xr:uid="{00000000-0005-0000-0000-000026000000}"/>
    <cellStyle name="_0226" xfId="40" xr:uid="{00000000-0005-0000-0000-000027000000}"/>
    <cellStyle name="_02월 04일 출하성적서(수출)" xfId="41" xr:uid="{00000000-0005-0000-0000-000028000000}"/>
    <cellStyle name="_0302" xfId="42" xr:uid="{00000000-0005-0000-0000-000029000000}"/>
    <cellStyle name="_0303" xfId="43" xr:uid="{00000000-0005-0000-0000-00002A000000}"/>
    <cellStyle name="_0304" xfId="44" xr:uid="{00000000-0005-0000-0000-00002B000000}"/>
    <cellStyle name="_0305" xfId="45" xr:uid="{00000000-0005-0000-0000-00002C000000}"/>
    <cellStyle name="_0306" xfId="46" xr:uid="{00000000-0005-0000-0000-00002D000000}"/>
    <cellStyle name="_0308 (1)" xfId="47" xr:uid="{00000000-0005-0000-0000-00002E000000}"/>
    <cellStyle name="_0309" xfId="48" xr:uid="{00000000-0005-0000-0000-00002F000000}"/>
    <cellStyle name="_0310" xfId="49" xr:uid="{00000000-0005-0000-0000-000030000000}"/>
    <cellStyle name="_0311" xfId="50" xr:uid="{00000000-0005-0000-0000-000031000000}"/>
    <cellStyle name="_0312" xfId="51" xr:uid="{00000000-0005-0000-0000-000032000000}"/>
    <cellStyle name="_0313" xfId="52" xr:uid="{00000000-0005-0000-0000-000033000000}"/>
    <cellStyle name="_0315" xfId="53" xr:uid="{00000000-0005-0000-0000-000034000000}"/>
    <cellStyle name="_0316" xfId="54" xr:uid="{00000000-0005-0000-0000-000035000000}"/>
    <cellStyle name="_0317" xfId="55" xr:uid="{00000000-0005-0000-0000-000036000000}"/>
    <cellStyle name="_0318" xfId="56" xr:uid="{00000000-0005-0000-0000-000037000000}"/>
    <cellStyle name="_0319 (1)" xfId="57" xr:uid="{00000000-0005-0000-0000-000038000000}"/>
    <cellStyle name="_0322" xfId="58" xr:uid="{00000000-0005-0000-0000-000039000000}"/>
    <cellStyle name="_0323" xfId="59" xr:uid="{00000000-0005-0000-0000-00003A000000}"/>
    <cellStyle name="_0324" xfId="60" xr:uid="{00000000-0005-0000-0000-00003B000000}"/>
    <cellStyle name="_0325" xfId="61" xr:uid="{00000000-0005-0000-0000-00003C000000}"/>
    <cellStyle name="_0326" xfId="62" xr:uid="{00000000-0005-0000-0000-00003D000000}"/>
    <cellStyle name="_0327" xfId="63" xr:uid="{00000000-0005-0000-0000-00003E000000}"/>
    <cellStyle name="_0329" xfId="64" xr:uid="{00000000-0005-0000-0000-00003F000000}"/>
    <cellStyle name="_0329-AVAGO" xfId="65" xr:uid="{00000000-0005-0000-0000-000040000000}"/>
    <cellStyle name="_0330" xfId="66" xr:uid="{00000000-0005-0000-0000-000041000000}"/>
    <cellStyle name="_0331" xfId="67" xr:uid="{00000000-0005-0000-0000-000042000000}"/>
    <cellStyle name="_0401" xfId="68" xr:uid="{00000000-0005-0000-0000-000043000000}"/>
    <cellStyle name="_0402" xfId="69" xr:uid="{00000000-0005-0000-0000-000044000000}"/>
    <cellStyle name="_0403" xfId="70" xr:uid="{00000000-0005-0000-0000-000045000000}"/>
    <cellStyle name="_0405" xfId="71" xr:uid="{00000000-0005-0000-0000-000046000000}"/>
    <cellStyle name="_0406" xfId="72" xr:uid="{00000000-0005-0000-0000-000047000000}"/>
    <cellStyle name="_0407" xfId="73" xr:uid="{00000000-0005-0000-0000-000048000000}"/>
    <cellStyle name="_0408" xfId="74" xr:uid="{00000000-0005-0000-0000-000049000000}"/>
    <cellStyle name="_0409" xfId="75" xr:uid="{00000000-0005-0000-0000-00004A000000}"/>
    <cellStyle name="_0410" xfId="76" xr:uid="{00000000-0005-0000-0000-00004B000000}"/>
    <cellStyle name="_0412" xfId="77" xr:uid="{00000000-0005-0000-0000-00004C000000}"/>
    <cellStyle name="_0413" xfId="78" xr:uid="{00000000-0005-0000-0000-00004D000000}"/>
    <cellStyle name="_0414" xfId="79" xr:uid="{00000000-0005-0000-0000-00004E000000}"/>
    <cellStyle name="_0415" xfId="80" xr:uid="{00000000-0005-0000-0000-00004F000000}"/>
    <cellStyle name="_0416 (5)" xfId="81" xr:uid="{00000000-0005-0000-0000-000050000000}"/>
    <cellStyle name="_0417" xfId="82" xr:uid="{00000000-0005-0000-0000-000051000000}"/>
    <cellStyle name="_0419" xfId="83" xr:uid="{00000000-0005-0000-0000-000052000000}"/>
    <cellStyle name="_0420" xfId="84" xr:uid="{00000000-0005-0000-0000-000053000000}"/>
    <cellStyle name="_0421" xfId="85" xr:uid="{00000000-0005-0000-0000-000054000000}"/>
    <cellStyle name="_0422 (1)" xfId="86" xr:uid="{00000000-0005-0000-0000-000055000000}"/>
    <cellStyle name="_0423" xfId="87" xr:uid="{00000000-0005-0000-0000-000056000000}"/>
    <cellStyle name="_0426" xfId="88" xr:uid="{00000000-0005-0000-0000-000057000000}"/>
    <cellStyle name="_0427" xfId="89" xr:uid="{00000000-0005-0000-0000-000058000000}"/>
    <cellStyle name="_0428" xfId="90" xr:uid="{00000000-0005-0000-0000-000059000000}"/>
    <cellStyle name="_0429" xfId="91" xr:uid="{00000000-0005-0000-0000-00005A000000}"/>
    <cellStyle name="_0430" xfId="92" xr:uid="{00000000-0005-0000-0000-00005B000000}"/>
    <cellStyle name="_0501" xfId="93" xr:uid="{00000000-0005-0000-0000-00005C000000}"/>
    <cellStyle name="_0503" xfId="94" xr:uid="{00000000-0005-0000-0000-00005D000000}"/>
    <cellStyle name="_0504" xfId="95" xr:uid="{00000000-0005-0000-0000-00005E000000}"/>
    <cellStyle name="_0506" xfId="96" xr:uid="{00000000-0005-0000-0000-00005F000000}"/>
    <cellStyle name="_0507 (1)" xfId="97" xr:uid="{00000000-0005-0000-0000-000060000000}"/>
    <cellStyle name="_0508" xfId="98" xr:uid="{00000000-0005-0000-0000-000061000000}"/>
    <cellStyle name="_0509" xfId="99" xr:uid="{00000000-0005-0000-0000-000062000000}"/>
    <cellStyle name="_0510" xfId="100" xr:uid="{00000000-0005-0000-0000-000063000000}"/>
    <cellStyle name="_0510-AVAGO" xfId="101" xr:uid="{00000000-0005-0000-0000-000064000000}"/>
    <cellStyle name="_0511" xfId="102" xr:uid="{00000000-0005-0000-0000-000065000000}"/>
    <cellStyle name="_0512" xfId="103" xr:uid="{00000000-0005-0000-0000-000066000000}"/>
    <cellStyle name="_0513" xfId="104" xr:uid="{00000000-0005-0000-0000-000067000000}"/>
    <cellStyle name="_0514 (1)" xfId="105" xr:uid="{00000000-0005-0000-0000-000068000000}"/>
    <cellStyle name="_0515" xfId="106" xr:uid="{00000000-0005-0000-0000-000069000000}"/>
    <cellStyle name="_0517" xfId="107" xr:uid="{00000000-0005-0000-0000-00006A000000}"/>
    <cellStyle name="_0518" xfId="108" xr:uid="{00000000-0005-0000-0000-00006B000000}"/>
    <cellStyle name="_0519" xfId="109" xr:uid="{00000000-0005-0000-0000-00006C000000}"/>
    <cellStyle name="_0520" xfId="110" xr:uid="{00000000-0005-0000-0000-00006D000000}"/>
    <cellStyle name="_0522" xfId="111" xr:uid="{00000000-0005-0000-0000-00006E000000}"/>
    <cellStyle name="_0524" xfId="112" xr:uid="{00000000-0005-0000-0000-00006F000000}"/>
    <cellStyle name="_0525" xfId="113" xr:uid="{00000000-0005-0000-0000-000070000000}"/>
    <cellStyle name="_0526" xfId="114" xr:uid="{00000000-0005-0000-0000-000071000000}"/>
    <cellStyle name="_0616" xfId="115" xr:uid="{00000000-0005-0000-0000-000072000000}"/>
    <cellStyle name="_06월11일 출하성적서(수출)" xfId="116" xr:uid="{00000000-0005-0000-0000-000073000000}"/>
    <cellStyle name="_0701" xfId="117" xr:uid="{00000000-0005-0000-0000-000074000000}"/>
    <cellStyle name="_0701-AVAGO" xfId="118" xr:uid="{00000000-0005-0000-0000-000075000000}"/>
    <cellStyle name="_0702" xfId="119" xr:uid="{00000000-0005-0000-0000-000076000000}"/>
    <cellStyle name="_0703" xfId="120" xr:uid="{00000000-0005-0000-0000-000077000000}"/>
    <cellStyle name="_0704" xfId="121" xr:uid="{00000000-0005-0000-0000-000078000000}"/>
    <cellStyle name="_0706" xfId="122" xr:uid="{00000000-0005-0000-0000-000079000000}"/>
    <cellStyle name="_0706 KR" xfId="123" xr:uid="{00000000-0005-0000-0000-00007A000000}"/>
    <cellStyle name="_0707KR" xfId="124" xr:uid="{00000000-0005-0000-0000-00007B000000}"/>
    <cellStyle name="_0708" xfId="125" xr:uid="{00000000-0005-0000-0000-00007C000000}"/>
    <cellStyle name="_0708KR" xfId="126" xr:uid="{00000000-0005-0000-0000-00007D000000}"/>
    <cellStyle name="_0709" xfId="127" xr:uid="{00000000-0005-0000-0000-00007E000000}"/>
    <cellStyle name="_0709KR" xfId="128" xr:uid="{00000000-0005-0000-0000-00007F000000}"/>
    <cellStyle name="_0710" xfId="129" xr:uid="{00000000-0005-0000-0000-000080000000}"/>
    <cellStyle name="_0710 cn" xfId="130" xr:uid="{00000000-0005-0000-0000-000081000000}"/>
    <cellStyle name="_0711" xfId="131" xr:uid="{00000000-0005-0000-0000-000082000000}"/>
    <cellStyle name="_0711 cn" xfId="132" xr:uid="{00000000-0005-0000-0000-000083000000}"/>
    <cellStyle name="_0713 - (1)" xfId="133" xr:uid="{00000000-0005-0000-0000-000084000000}"/>
    <cellStyle name="_0713 cn" xfId="134" xr:uid="{00000000-0005-0000-0000-000085000000}"/>
    <cellStyle name="_0714" xfId="135" xr:uid="{00000000-0005-0000-0000-000086000000}"/>
    <cellStyle name="_0715" xfId="136" xr:uid="{00000000-0005-0000-0000-000087000000}"/>
    <cellStyle name="_0716" xfId="137" xr:uid="{00000000-0005-0000-0000-000088000000}"/>
    <cellStyle name="_0717" xfId="138" xr:uid="{00000000-0005-0000-0000-000089000000}"/>
    <cellStyle name="_0720" xfId="139" xr:uid="{00000000-0005-0000-0000-00008A000000}"/>
    <cellStyle name="_0721" xfId="140" xr:uid="{00000000-0005-0000-0000-00008B000000}"/>
    <cellStyle name="_0722" xfId="141" xr:uid="{00000000-0005-0000-0000-00008C000000}"/>
    <cellStyle name="_0723" xfId="142" xr:uid="{00000000-0005-0000-0000-00008D000000}"/>
    <cellStyle name="_0724" xfId="143" xr:uid="{00000000-0005-0000-0000-00008E000000}"/>
    <cellStyle name="_0725" xfId="144" xr:uid="{00000000-0005-0000-0000-00008F000000}"/>
    <cellStyle name="_0727" xfId="145" xr:uid="{00000000-0005-0000-0000-000090000000}"/>
    <cellStyle name="_0727 C" xfId="146" xr:uid="{00000000-0005-0000-0000-000091000000}"/>
    <cellStyle name="_0728" xfId="147" xr:uid="{00000000-0005-0000-0000-000092000000}"/>
    <cellStyle name="_0729 (1)" xfId="148" xr:uid="{00000000-0005-0000-0000-000093000000}"/>
    <cellStyle name="_0729 C" xfId="149" xr:uid="{00000000-0005-0000-0000-000094000000}"/>
    <cellStyle name="_0730" xfId="150" xr:uid="{00000000-0005-0000-0000-000095000000}"/>
    <cellStyle name="_0730 CN" xfId="151" xr:uid="{00000000-0005-0000-0000-000096000000}"/>
    <cellStyle name="_0731" xfId="152" xr:uid="{00000000-0005-0000-0000-000097000000}"/>
    <cellStyle name="_0731 C" xfId="153" xr:uid="{00000000-0005-0000-0000-000098000000}"/>
    <cellStyle name="_07년10월FORECAST" xfId="154" xr:uid="{00000000-0005-0000-0000-000099000000}"/>
    <cellStyle name="_0803" xfId="155" xr:uid="{00000000-0005-0000-0000-00009A000000}"/>
    <cellStyle name="_0804" xfId="156" xr:uid="{00000000-0005-0000-0000-00009B000000}"/>
    <cellStyle name="_0805" xfId="157" xr:uid="{00000000-0005-0000-0000-00009C000000}"/>
    <cellStyle name="_0806 1 (2) (1)" xfId="158" xr:uid="{00000000-0005-0000-0000-00009D000000}"/>
    <cellStyle name="_0807" xfId="159" xr:uid="{00000000-0005-0000-0000-00009E000000}"/>
    <cellStyle name="_0810" xfId="160" xr:uid="{00000000-0005-0000-0000-00009F000000}"/>
    <cellStyle name="_0811" xfId="161" xr:uid="{00000000-0005-0000-0000-0000A0000000}"/>
    <cellStyle name="_0811 CN" xfId="162" xr:uid="{00000000-0005-0000-0000-0000A1000000}"/>
    <cellStyle name="_0812" xfId="163" xr:uid="{00000000-0005-0000-0000-0000A2000000}"/>
    <cellStyle name="_0813" xfId="164" xr:uid="{00000000-0005-0000-0000-0000A3000000}"/>
    <cellStyle name="_0814" xfId="165" xr:uid="{00000000-0005-0000-0000-0000A4000000}"/>
    <cellStyle name="_0817" xfId="166" xr:uid="{00000000-0005-0000-0000-0000A5000000}"/>
    <cellStyle name="_0817 C" xfId="167" xr:uid="{00000000-0005-0000-0000-0000A6000000}"/>
    <cellStyle name="_0818 C" xfId="168" xr:uid="{00000000-0005-0000-0000-0000A7000000}"/>
    <cellStyle name="_0818 K" xfId="169" xr:uid="{00000000-0005-0000-0000-0000A8000000}"/>
    <cellStyle name="_0819 K" xfId="170" xr:uid="{00000000-0005-0000-0000-0000A9000000}"/>
    <cellStyle name="_0820" xfId="171" xr:uid="{00000000-0005-0000-0000-0000AA000000}"/>
    <cellStyle name="_0821" xfId="172" xr:uid="{00000000-0005-0000-0000-0000AB000000}"/>
    <cellStyle name="_0824 Z" xfId="173" xr:uid="{00000000-0005-0000-0000-0000AC000000}"/>
    <cellStyle name="_0825" xfId="174" xr:uid="{00000000-0005-0000-0000-0000AD000000}"/>
    <cellStyle name="_0825-1" xfId="175" xr:uid="{00000000-0005-0000-0000-0000AE000000}"/>
    <cellStyle name="_0826" xfId="176" xr:uid="{00000000-0005-0000-0000-0000AF000000}"/>
    <cellStyle name="_0827" xfId="177" xr:uid="{00000000-0005-0000-0000-0000B0000000}"/>
    <cellStyle name="_0827-1" xfId="178" xr:uid="{00000000-0005-0000-0000-0000B1000000}"/>
    <cellStyle name="_0828" xfId="179" xr:uid="{00000000-0005-0000-0000-0000B2000000}"/>
    <cellStyle name="_0831 (1)" xfId="180" xr:uid="{00000000-0005-0000-0000-0000B3000000}"/>
    <cellStyle name="_08월12일 출하성적서(수출)" xfId="181" xr:uid="{00000000-0005-0000-0000-0000B4000000}"/>
    <cellStyle name="_08월14일 출하성적서(수출)" xfId="182" xr:uid="{00000000-0005-0000-0000-0000B5000000}"/>
    <cellStyle name="_0901" xfId="183" xr:uid="{00000000-0005-0000-0000-0000B6000000}"/>
    <cellStyle name="_0902" xfId="184" xr:uid="{00000000-0005-0000-0000-0000B7000000}"/>
    <cellStyle name="_0903" xfId="185" xr:uid="{00000000-0005-0000-0000-0000B8000000}"/>
    <cellStyle name="_0904" xfId="186" xr:uid="{00000000-0005-0000-0000-0000B9000000}"/>
    <cellStyle name="_0905" xfId="187" xr:uid="{00000000-0005-0000-0000-0000BA000000}"/>
    <cellStyle name="_0907" xfId="188" xr:uid="{00000000-0005-0000-0000-0000BB000000}"/>
    <cellStyle name="_0907-1" xfId="189" xr:uid="{00000000-0005-0000-0000-0000BC000000}"/>
    <cellStyle name="_0908" xfId="190" xr:uid="{00000000-0005-0000-0000-0000BD000000}"/>
    <cellStyle name="_0909" xfId="191" xr:uid="{00000000-0005-0000-0000-0000BE000000}"/>
    <cellStyle name="_0910" xfId="192" xr:uid="{00000000-0005-0000-0000-0000BF000000}"/>
    <cellStyle name="_0910-1" xfId="193" xr:uid="{00000000-0005-0000-0000-0000C0000000}"/>
    <cellStyle name="_0911" xfId="194" xr:uid="{00000000-0005-0000-0000-0000C1000000}"/>
    <cellStyle name="_0912" xfId="195" xr:uid="{00000000-0005-0000-0000-0000C2000000}"/>
    <cellStyle name="_0914" xfId="196" xr:uid="{00000000-0005-0000-0000-0000C3000000}"/>
    <cellStyle name="_0915" xfId="197" xr:uid="{00000000-0005-0000-0000-0000C4000000}"/>
    <cellStyle name="_0916" xfId="198" xr:uid="{00000000-0005-0000-0000-0000C5000000}"/>
    <cellStyle name="_0916 (1)" xfId="199" xr:uid="{00000000-0005-0000-0000-0000C6000000}"/>
    <cellStyle name="_0917 (2)" xfId="200" xr:uid="{00000000-0005-0000-0000-0000C7000000}"/>
    <cellStyle name="_0918" xfId="201" xr:uid="{00000000-0005-0000-0000-0000C8000000}"/>
    <cellStyle name="_0921" xfId="202" xr:uid="{00000000-0005-0000-0000-0000C9000000}"/>
    <cellStyle name="_0922" xfId="203" xr:uid="{00000000-0005-0000-0000-0000CA000000}"/>
    <cellStyle name="_0923" xfId="204" xr:uid="{00000000-0005-0000-0000-0000CB000000}"/>
    <cellStyle name="_0924" xfId="205" xr:uid="{00000000-0005-0000-0000-0000CC000000}"/>
    <cellStyle name="_0925" xfId="206" xr:uid="{00000000-0005-0000-0000-0000CD000000}"/>
    <cellStyle name="_0928" xfId="207" xr:uid="{00000000-0005-0000-0000-0000CE000000}"/>
    <cellStyle name="_0928_R3" xfId="208" xr:uid="{00000000-0005-0000-0000-0000CF000000}"/>
    <cellStyle name="_0929" xfId="209" xr:uid="{00000000-0005-0000-0000-0000D0000000}"/>
    <cellStyle name="_0930" xfId="210" xr:uid="{00000000-0005-0000-0000-0000D1000000}"/>
    <cellStyle name="_1001" xfId="211" xr:uid="{00000000-0005-0000-0000-0000D2000000}"/>
    <cellStyle name="_1005" xfId="212" xr:uid="{00000000-0005-0000-0000-0000D3000000}"/>
    <cellStyle name="_1006" xfId="213" xr:uid="{00000000-0005-0000-0000-0000D4000000}"/>
    <cellStyle name="_1007" xfId="214" xr:uid="{00000000-0005-0000-0000-0000D5000000}"/>
    <cellStyle name="_1008" xfId="215" xr:uid="{00000000-0005-0000-0000-0000D6000000}"/>
    <cellStyle name="_1009" xfId="216" xr:uid="{00000000-0005-0000-0000-0000D7000000}"/>
    <cellStyle name="_1010" xfId="217" xr:uid="{00000000-0005-0000-0000-0000D8000000}"/>
    <cellStyle name="_1012" xfId="218" xr:uid="{00000000-0005-0000-0000-0000D9000000}"/>
    <cellStyle name="_1013" xfId="219" xr:uid="{00000000-0005-0000-0000-0000DA000000}"/>
    <cellStyle name="_1013 (1)" xfId="220" xr:uid="{00000000-0005-0000-0000-0000DB000000}"/>
    <cellStyle name="_1014" xfId="221" xr:uid="{00000000-0005-0000-0000-0000DC000000}"/>
    <cellStyle name="_1015" xfId="222" xr:uid="{00000000-0005-0000-0000-0000DD000000}"/>
    <cellStyle name="_10-15" xfId="223" xr:uid="{00000000-0005-0000-0000-0000DE000000}"/>
    <cellStyle name="_1016" xfId="224" xr:uid="{00000000-0005-0000-0000-0000DF000000}"/>
    <cellStyle name="_1017" xfId="225" xr:uid="{00000000-0005-0000-0000-0000E0000000}"/>
    <cellStyle name="_1019" xfId="226" xr:uid="{00000000-0005-0000-0000-0000E1000000}"/>
    <cellStyle name="_1020" xfId="227" xr:uid="{00000000-0005-0000-0000-0000E2000000}"/>
    <cellStyle name="_1021" xfId="228" xr:uid="{00000000-0005-0000-0000-0000E3000000}"/>
    <cellStyle name="_1022" xfId="229" xr:uid="{00000000-0005-0000-0000-0000E4000000}"/>
    <cellStyle name="_1023" xfId="230" xr:uid="{00000000-0005-0000-0000-0000E5000000}"/>
    <cellStyle name="_1026" xfId="231" xr:uid="{00000000-0005-0000-0000-0000E6000000}"/>
    <cellStyle name="_1027" xfId="232" xr:uid="{00000000-0005-0000-0000-0000E7000000}"/>
    <cellStyle name="_1028" xfId="233" xr:uid="{00000000-0005-0000-0000-0000E8000000}"/>
    <cellStyle name="_1029" xfId="234" xr:uid="{00000000-0005-0000-0000-0000E9000000}"/>
    <cellStyle name="_1030" xfId="235" xr:uid="{00000000-0005-0000-0000-0000EA000000}"/>
    <cellStyle name="_10월09일 출하성적서(수출)" xfId="236" xr:uid="{00000000-0005-0000-0000-0000EB000000}"/>
    <cellStyle name="_10월12일 출하성적서(수출)" xfId="237" xr:uid="{00000000-0005-0000-0000-0000EC000000}"/>
    <cellStyle name="_1102" xfId="238" xr:uid="{00000000-0005-0000-0000-0000ED000000}"/>
    <cellStyle name="_1103" xfId="239" xr:uid="{00000000-0005-0000-0000-0000EE000000}"/>
    <cellStyle name="_1104" xfId="240" xr:uid="{00000000-0005-0000-0000-0000EF000000}"/>
    <cellStyle name="_1105" xfId="241" xr:uid="{00000000-0005-0000-0000-0000F0000000}"/>
    <cellStyle name="_1106" xfId="242" xr:uid="{00000000-0005-0000-0000-0000F1000000}"/>
    <cellStyle name="_1107" xfId="243" xr:uid="{00000000-0005-0000-0000-0000F2000000}"/>
    <cellStyle name="_1109" xfId="244" xr:uid="{00000000-0005-0000-0000-0000F3000000}"/>
    <cellStyle name="_1110" xfId="245" xr:uid="{00000000-0005-0000-0000-0000F4000000}"/>
    <cellStyle name="_1111" xfId="246" xr:uid="{00000000-0005-0000-0000-0000F5000000}"/>
    <cellStyle name="_1112" xfId="247" xr:uid="{00000000-0005-0000-0000-0000F6000000}"/>
    <cellStyle name="_1113" xfId="248" xr:uid="{00000000-0005-0000-0000-0000F7000000}"/>
    <cellStyle name="_1114" xfId="249" xr:uid="{00000000-0005-0000-0000-0000F8000000}"/>
    <cellStyle name="_1116" xfId="250" xr:uid="{00000000-0005-0000-0000-0000F9000000}"/>
    <cellStyle name="_1117" xfId="251" xr:uid="{00000000-0005-0000-0000-0000FA000000}"/>
    <cellStyle name="_1118" xfId="252" xr:uid="{00000000-0005-0000-0000-0000FB000000}"/>
    <cellStyle name="_1119" xfId="253" xr:uid="{00000000-0005-0000-0000-0000FC000000}"/>
    <cellStyle name="_1120" xfId="254" xr:uid="{00000000-0005-0000-0000-0000FD000000}"/>
    <cellStyle name="_1123" xfId="255" xr:uid="{00000000-0005-0000-0000-0000FE000000}"/>
    <cellStyle name="_1124" xfId="256" xr:uid="{00000000-0005-0000-0000-0000FF000000}"/>
    <cellStyle name="_1125" xfId="257" xr:uid="{00000000-0005-0000-0000-000000010000}"/>
    <cellStyle name="_1126" xfId="258" xr:uid="{00000000-0005-0000-0000-000001010000}"/>
    <cellStyle name="_1127" xfId="259" xr:uid="{00000000-0005-0000-0000-000002010000}"/>
    <cellStyle name="_1128" xfId="260" xr:uid="{00000000-0005-0000-0000-000003010000}"/>
    <cellStyle name="_1130" xfId="261" xr:uid="{00000000-0005-0000-0000-000004010000}"/>
    <cellStyle name="_11월12일 출하성적서(수출)" xfId="262" xr:uid="{00000000-0005-0000-0000-000005010000}"/>
    <cellStyle name="_1202" xfId="263" xr:uid="{00000000-0005-0000-0000-000006010000}"/>
    <cellStyle name="_1203" xfId="264" xr:uid="{00000000-0005-0000-0000-000007010000}"/>
    <cellStyle name="_1204" xfId="265" xr:uid="{00000000-0005-0000-0000-000008010000}"/>
    <cellStyle name="_1231" xfId="266" xr:uid="{00000000-0005-0000-0000-000009010000}"/>
    <cellStyle name="_12월 28일 출하성적서(수출)" xfId="267" xr:uid="{00000000-0005-0000-0000-00000A010000}"/>
    <cellStyle name="_12월23일 출하성적서(수출)" xfId="268" xr:uid="{00000000-0005-0000-0000-00000B010000}"/>
    <cellStyle name="_3month Forecast  2006.8,9,10" xfId="269" xr:uid="{00000000-0005-0000-0000-00000C010000}"/>
    <cellStyle name="_Blade P6_1 Schematic BOM_XM_060509" xfId="270" xr:uid="{00000000-0005-0000-0000-00000D010000}"/>
    <cellStyle name="_CHINA" xfId="271" xr:uid="{00000000-0005-0000-0000-00000E010000}"/>
    <cellStyle name="_SDRT0102 BOM Apr 19" xfId="272" xr:uid="{00000000-0005-0000-0000-00000F010000}"/>
    <cellStyle name="_SUM11월" xfId="273" xr:uid="{00000000-0005-0000-0000-000010010000}"/>
    <cellStyle name="_성적서 요청서(CT)-korea CT (0625)" xfId="274" xr:uid="{00000000-0005-0000-0000-000011010000}"/>
    <cellStyle name="_성적서 요청서(CT)-korea CT(0104)" xfId="275" xr:uid="{00000000-0005-0000-0000-000012010000}"/>
    <cellStyle name="_성적서 요청서(CT)-korea CT(0118)" xfId="276" xr:uid="{00000000-0005-0000-0000-000013010000}"/>
    <cellStyle name="_성적서 요청서(CT)-korea CT(0204)" xfId="277" xr:uid="{00000000-0005-0000-0000-000014010000}"/>
    <cellStyle name="_성적서 요청서(CT)-korea CT(0229)" xfId="278" xr:uid="{00000000-0005-0000-0000-000015010000}"/>
    <cellStyle name="_성적서 요청서(CT)-korea CT(0324)" xfId="279" xr:uid="{00000000-0005-0000-0000-000016010000}"/>
    <cellStyle name="_성적서 요청서(CT)-korea CT(0411)" xfId="280" xr:uid="{00000000-0005-0000-0000-000017010000}"/>
    <cellStyle name="_성적서 요청서(CT)-korea CT(0425)" xfId="281" xr:uid="{00000000-0005-0000-0000-000018010000}"/>
    <cellStyle name="_성적서 요청서(CT)-korea CT(0522)" xfId="282" xr:uid="{00000000-0005-0000-0000-000019010000}"/>
    <cellStyle name="_성적서 요청서(CT)-korea CT(0526)" xfId="283" xr:uid="{00000000-0005-0000-0000-00001A010000}"/>
    <cellStyle name="_성적서 요청서(CT)-korea CT(0528)" xfId="284" xr:uid="{00000000-0005-0000-0000-00001B010000}"/>
    <cellStyle name="_성적서 요청서(CT)-korea CT(0530)" xfId="285" xr:uid="{00000000-0005-0000-0000-00001C010000}"/>
    <cellStyle name="_성적서 요청서(CT)-korea CT(1117) " xfId="286" xr:uid="{00000000-0005-0000-0000-00001D010000}"/>
    <cellStyle name="_성적서 요청서-CHINA(0104)" xfId="287" xr:uid="{00000000-0005-0000-0000-00001E010000}"/>
    <cellStyle name="_성적서 요청서-CHINA(0105)" xfId="288" xr:uid="{00000000-0005-0000-0000-00001F010000}"/>
    <cellStyle name="_성적서 요청서-CHINA(0111)" xfId="289" xr:uid="{00000000-0005-0000-0000-000020010000}"/>
    <cellStyle name="_성적서 요청서-CHINA(0115)" xfId="290" xr:uid="{00000000-0005-0000-0000-000021010000}"/>
    <cellStyle name="_성적서 요청서-CHINA(0117)" xfId="291" xr:uid="{00000000-0005-0000-0000-000022010000}"/>
    <cellStyle name="_성적서 요청서-CHINA(0118)" xfId="292" xr:uid="{00000000-0005-0000-0000-000023010000}"/>
    <cellStyle name="_성적서 요청서-CHINA(0120)" xfId="293" xr:uid="{00000000-0005-0000-0000-000024010000}"/>
    <cellStyle name="_성적서 요청서-CHINA(0121)" xfId="294" xr:uid="{00000000-0005-0000-0000-000025010000}"/>
    <cellStyle name="_성적서 요청서-CHINA(0122)" xfId="295" xr:uid="{00000000-0005-0000-0000-000026010000}"/>
    <cellStyle name="_성적서 요청서-CHINA(0124)" xfId="296" xr:uid="{00000000-0005-0000-0000-000027010000}"/>
    <cellStyle name="_성적서 요청서-CHINA(0125)" xfId="297" xr:uid="{00000000-0005-0000-0000-000028010000}"/>
    <cellStyle name="_성적서 요청서-CHINA(0126)" xfId="298" xr:uid="{00000000-0005-0000-0000-000029010000}"/>
    <cellStyle name="_성적서 요청서-CHINA(0127)" xfId="299" xr:uid="{00000000-0005-0000-0000-00002A010000}"/>
    <cellStyle name="_성적서 요청서-CHINA(0128)" xfId="300" xr:uid="{00000000-0005-0000-0000-00002B010000}"/>
    <cellStyle name="_성적서 요청서-CHINA(0129)" xfId="301" xr:uid="{00000000-0005-0000-0000-00002C010000}"/>
    <cellStyle name="_성적서 요청서-CHINA(0131)" xfId="302" xr:uid="{00000000-0005-0000-0000-00002D010000}"/>
    <cellStyle name="_성적서 요청서-CHINA(0201)" xfId="303" xr:uid="{00000000-0005-0000-0000-00002E010000}"/>
    <cellStyle name="_성적서 요청서-CHINA(0203)" xfId="304" xr:uid="{00000000-0005-0000-0000-00002F010000}"/>
    <cellStyle name="_성적서 요청서-CHINA(0204)" xfId="305" xr:uid="{00000000-0005-0000-0000-000030010000}"/>
    <cellStyle name="_성적서 요청서-CHINA(0205)" xfId="306" xr:uid="{00000000-0005-0000-0000-000031010000}"/>
    <cellStyle name="_성적서 요청서-CHINA(0208)" xfId="307" xr:uid="{00000000-0005-0000-0000-000032010000}"/>
    <cellStyle name="_성적서 요청서-CHINA(0209)" xfId="308" xr:uid="{00000000-0005-0000-0000-000033010000}"/>
    <cellStyle name="_성적서 요청서-CHINA(0210)" xfId="309" xr:uid="{00000000-0005-0000-0000-000034010000}"/>
    <cellStyle name="_성적서 요청서-CHINA(0211)" xfId="310" xr:uid="{00000000-0005-0000-0000-000035010000}"/>
    <cellStyle name="_성적서 요청서-CHINA(0212)" xfId="311" xr:uid="{00000000-0005-0000-0000-000036010000}"/>
    <cellStyle name="_성적서 요청서-CHINA(0219)" xfId="312" xr:uid="{00000000-0005-0000-0000-000037010000}"/>
    <cellStyle name="_성적서 요청서-CHINA(0222)" xfId="313" xr:uid="{00000000-0005-0000-0000-000038010000}"/>
    <cellStyle name="_성적서 요청서-CHINA(0223)" xfId="314" xr:uid="{00000000-0005-0000-0000-000039010000}"/>
    <cellStyle name="_성적서 요청서-CHINA(0225)" xfId="315" xr:uid="{00000000-0005-0000-0000-00003A010000}"/>
    <cellStyle name="_성적서 요청서-CHINA(0227)" xfId="316" xr:uid="{00000000-0005-0000-0000-00003B010000}"/>
    <cellStyle name="_성적서 요청서-CHINA(0304)" xfId="317" xr:uid="{00000000-0005-0000-0000-00003C010000}"/>
    <cellStyle name="_성적서 요청서-CHINA(0305)" xfId="318" xr:uid="{00000000-0005-0000-0000-00003D010000}"/>
    <cellStyle name="_성적서 요청서-CHINA(0308)" xfId="319" xr:uid="{00000000-0005-0000-0000-00003E010000}"/>
    <cellStyle name="_성적서 요청서-CHINA(0309)" xfId="320" xr:uid="{00000000-0005-0000-0000-00003F010000}"/>
    <cellStyle name="_성적서 요청서-CHINA(0310)" xfId="321" xr:uid="{00000000-0005-0000-0000-000040010000}"/>
    <cellStyle name="_성적서 요청서-CHINA(0311)" xfId="322" xr:uid="{00000000-0005-0000-0000-000041010000}"/>
    <cellStyle name="_성적서 요청서-CHINA(0312)" xfId="323" xr:uid="{00000000-0005-0000-0000-000042010000}"/>
    <cellStyle name="_성적서 요청서-CHINA(0315)" xfId="324" xr:uid="{00000000-0005-0000-0000-000043010000}"/>
    <cellStyle name="_성적서 요청서-CHINA(0318)" xfId="325" xr:uid="{00000000-0005-0000-0000-000044010000}"/>
    <cellStyle name="_성적서 요청서-CHINA(0319)" xfId="326" xr:uid="{00000000-0005-0000-0000-000045010000}"/>
    <cellStyle name="_성적서 요청서-CHINA(0322)" xfId="327" xr:uid="{00000000-0005-0000-0000-000046010000}"/>
    <cellStyle name="_성적서 요청서-CHINA(0323)" xfId="328" xr:uid="{00000000-0005-0000-0000-000047010000}"/>
    <cellStyle name="_성적서 요청서-CHINA(0324)" xfId="329" xr:uid="{00000000-0005-0000-0000-000048010000}"/>
    <cellStyle name="_성적서 요청서-CHINA(0325)" xfId="330" xr:uid="{00000000-0005-0000-0000-000049010000}"/>
    <cellStyle name="_성적서 요청서-CHINA(0326)" xfId="331" xr:uid="{00000000-0005-0000-0000-00004A010000}"/>
    <cellStyle name="_성적서 요청서-CHINA(0329)" xfId="332" xr:uid="{00000000-0005-0000-0000-00004B010000}"/>
    <cellStyle name="_성적서 요청서-CHINA(0331)" xfId="333" xr:uid="{00000000-0005-0000-0000-00004C010000}"/>
    <cellStyle name="_성적서 요청서-CHINA(0401)" xfId="334" xr:uid="{00000000-0005-0000-0000-00004D010000}"/>
    <cellStyle name="_성적서 요청서-CHINA(0402)" xfId="335" xr:uid="{00000000-0005-0000-0000-00004E010000}"/>
    <cellStyle name="_성적서 요청서-CHINA(0406)" xfId="336" xr:uid="{00000000-0005-0000-0000-00004F010000}"/>
    <cellStyle name="_성적서 요청서-CHINA(0407)" xfId="337" xr:uid="{00000000-0005-0000-0000-000050010000}"/>
    <cellStyle name="_성적서 요청서-CHINA(0408)" xfId="338" xr:uid="{00000000-0005-0000-0000-000051010000}"/>
    <cellStyle name="_성적서 요청서-CHINA(0409)" xfId="339" xr:uid="{00000000-0005-0000-0000-000052010000}"/>
    <cellStyle name="_성적서 요청서-CHINA(0413)" xfId="340" xr:uid="{00000000-0005-0000-0000-000053010000}"/>
    <cellStyle name="_성적서 요청서-CHINA(0415)" xfId="341" xr:uid="{00000000-0005-0000-0000-000054010000}"/>
    <cellStyle name="_성적서 요청서-CHINA(0419)" xfId="342" xr:uid="{00000000-0005-0000-0000-000055010000}"/>
    <cellStyle name="_성적서 요청서-CHINA(0421)" xfId="343" xr:uid="{00000000-0005-0000-0000-000056010000}"/>
    <cellStyle name="_성적서 요청서-CHINA(0423)" xfId="344" xr:uid="{00000000-0005-0000-0000-000057010000}"/>
    <cellStyle name="_성적서 요청서-CHINA(0427)" xfId="345" xr:uid="{00000000-0005-0000-0000-000058010000}"/>
    <cellStyle name="_성적서 요청서-CHINA(0428)" xfId="346" xr:uid="{00000000-0005-0000-0000-000059010000}"/>
    <cellStyle name="_성적서 요청서-CHINA(0429)" xfId="347" xr:uid="{00000000-0005-0000-0000-00005A010000}"/>
    <cellStyle name="_성적서 요청서-CHINA(0430)" xfId="348" xr:uid="{00000000-0005-0000-0000-00005B010000}"/>
    <cellStyle name="_성적서 요청서-CHINA(0506)" xfId="349" xr:uid="{00000000-0005-0000-0000-00005C010000}"/>
    <cellStyle name="_성적서 요청서-CHINA(0507)" xfId="350" xr:uid="{00000000-0005-0000-0000-00005D010000}"/>
    <cellStyle name="_성적서 요청서-CHINA(0512)" xfId="351" xr:uid="{00000000-0005-0000-0000-00005E010000}"/>
    <cellStyle name="_성적서 요청서-CHINA(0514)" xfId="352" xr:uid="{00000000-0005-0000-0000-00005F010000}"/>
    <cellStyle name="_성적서 요청서-CHINA(0517)" xfId="353" xr:uid="{00000000-0005-0000-0000-000060010000}"/>
    <cellStyle name="_성적서 요청서-CHINA(0519)" xfId="354" xr:uid="{00000000-0005-0000-0000-000061010000}"/>
    <cellStyle name="_성적서 요청서-CHINA(0520)" xfId="355" xr:uid="{00000000-0005-0000-0000-000062010000}"/>
    <cellStyle name="_성적서 요청서-CHINA(0525)" xfId="356" xr:uid="{00000000-0005-0000-0000-000063010000}"/>
    <cellStyle name="_성적서 요청서-CHINA(0526)" xfId="357" xr:uid="{00000000-0005-0000-0000-000064010000}"/>
    <cellStyle name="_성적서 요청서-CHINA(0527)" xfId="358" xr:uid="{00000000-0005-0000-0000-000065010000}"/>
    <cellStyle name="_성적서 요청서-CHINA(0528)" xfId="359" xr:uid="{00000000-0005-0000-0000-000066010000}"/>
    <cellStyle name="_성적서 요청서-CHINA(0529)" xfId="360" xr:uid="{00000000-0005-0000-0000-000067010000}"/>
    <cellStyle name="_성적서 요청서-CHINA(0531) (1)" xfId="361" xr:uid="{00000000-0005-0000-0000-000068010000}"/>
    <cellStyle name="_성적서 요청서-CHINA(0603)" xfId="362" xr:uid="{00000000-0005-0000-0000-000069010000}"/>
    <cellStyle name="_성적서 요청서-CHINA(0604)" xfId="363" xr:uid="{00000000-0005-0000-0000-00006A010000}"/>
    <cellStyle name="_성적서 요청서-CHINA(0607)" xfId="364" xr:uid="{00000000-0005-0000-0000-00006B010000}"/>
    <cellStyle name="_성적서 요청서-CHINA(0608)" xfId="365" xr:uid="{00000000-0005-0000-0000-00006C010000}"/>
    <cellStyle name="_성적서 요청서-CHINA(0609)" xfId="366" xr:uid="{00000000-0005-0000-0000-00006D010000}"/>
    <cellStyle name="_성적서 요청서-CHINA(0610)" xfId="367" xr:uid="{00000000-0005-0000-0000-00006E010000}"/>
    <cellStyle name="_성적서 요청서-CHINA(0611)" xfId="368" xr:uid="{00000000-0005-0000-0000-00006F010000}"/>
    <cellStyle name="_성적서 요청서-CHINA(0612)" xfId="369" xr:uid="{00000000-0005-0000-0000-000070010000}"/>
    <cellStyle name="_성적서 요청서-CHINA(0614)" xfId="370" xr:uid="{00000000-0005-0000-0000-000071010000}"/>
    <cellStyle name="_성적서 요청서-CHINA(0617)" xfId="371" xr:uid="{00000000-0005-0000-0000-000072010000}"/>
    <cellStyle name="_성적서 요청서-CHINA(0618)" xfId="372" xr:uid="{00000000-0005-0000-0000-000073010000}"/>
    <cellStyle name="_성적서 요청서-CHINA(0619)" xfId="373" xr:uid="{00000000-0005-0000-0000-000074010000}"/>
    <cellStyle name="_성적서 요청서-CHINA(0621)" xfId="374" xr:uid="{00000000-0005-0000-0000-000075010000}"/>
    <cellStyle name="_성적서 요청서-CHINA(0622)" xfId="375" xr:uid="{00000000-0005-0000-0000-000076010000}"/>
    <cellStyle name="_성적서 요청서-CHINA(0624)" xfId="376" xr:uid="{00000000-0005-0000-0000-000077010000}"/>
    <cellStyle name="_성적서 요청서-CHINA(0625)" xfId="377" xr:uid="{00000000-0005-0000-0000-000078010000}"/>
    <cellStyle name="_성적서 요청서-CHINA(0628)" xfId="378" xr:uid="{00000000-0005-0000-0000-000079010000}"/>
    <cellStyle name="_성적서 요청서-CHINA(0629)" xfId="379" xr:uid="{00000000-0005-0000-0000-00007A010000}"/>
    <cellStyle name="_성적서 요청서-CHINA(0701)" xfId="380" xr:uid="{00000000-0005-0000-0000-00007B010000}"/>
    <cellStyle name="_성적서 요청서-CHINA(0702)" xfId="381" xr:uid="{00000000-0005-0000-0000-00007C010000}"/>
    <cellStyle name="_성적서 요청서-CHINA(0707)" xfId="382" xr:uid="{00000000-0005-0000-0000-00007D010000}"/>
    <cellStyle name="_성적서 요청서-CHINA(0709)" xfId="383" xr:uid="{00000000-0005-0000-0000-00007E010000}"/>
    <cellStyle name="_성적서 요청서-CHINA(0712)" xfId="384" xr:uid="{00000000-0005-0000-0000-00007F010000}"/>
    <cellStyle name="_성적서 요청서-CHINA(0713)" xfId="385" xr:uid="{00000000-0005-0000-0000-000080010000}"/>
    <cellStyle name="_성적서 요청서-CHINA(0714)" xfId="386" xr:uid="{00000000-0005-0000-0000-000081010000}"/>
    <cellStyle name="_성적서 요청서-CHINA(0716)" xfId="387" xr:uid="{00000000-0005-0000-0000-000082010000}"/>
    <cellStyle name="_성적서 요청서-CHINA(0719)" xfId="388" xr:uid="{00000000-0005-0000-0000-000083010000}"/>
    <cellStyle name="_성적서 요청서-CHINA(0720)" xfId="389" xr:uid="{00000000-0005-0000-0000-000084010000}"/>
    <cellStyle name="_성적서 요청서-CHINA(0721)" xfId="390" xr:uid="{00000000-0005-0000-0000-000085010000}"/>
    <cellStyle name="_성적서 요청서-CHINA(0722)" xfId="391" xr:uid="{00000000-0005-0000-0000-000086010000}"/>
    <cellStyle name="_성적서 요청서-CHINA(0723)" xfId="392" xr:uid="{00000000-0005-0000-0000-000087010000}"/>
    <cellStyle name="_성적서 요청서-CHINA(0726)" xfId="393" xr:uid="{00000000-0005-0000-0000-000088010000}"/>
    <cellStyle name="_성적서 요청서-CHINA(0727)" xfId="394" xr:uid="{00000000-0005-0000-0000-000089010000}"/>
    <cellStyle name="_성적서 요청서-CHINA(0728)" xfId="395" xr:uid="{00000000-0005-0000-0000-00008A010000}"/>
    <cellStyle name="_성적서 요청서-CHINA(0730)" xfId="396" xr:uid="{00000000-0005-0000-0000-00008B010000}"/>
    <cellStyle name="_성적서 요청서-CHINA(0802)" xfId="397" xr:uid="{00000000-0005-0000-0000-00008C010000}"/>
    <cellStyle name="_성적서 요청서-CHINA(0803)" xfId="398" xr:uid="{00000000-0005-0000-0000-00008D010000}"/>
    <cellStyle name="_성적서 요청서-CHINA(0831-1)" xfId="399" xr:uid="{00000000-0005-0000-0000-00008E010000}"/>
    <cellStyle name="_성적서 요청서-CHINA(0911)" xfId="400" xr:uid="{00000000-0005-0000-0000-00008F010000}"/>
    <cellStyle name="_성적서 요청서-CHINA(0930)" xfId="401" xr:uid="{00000000-0005-0000-0000-000090010000}"/>
    <cellStyle name="_성적서 요청서-CHINA(1025)" xfId="402" xr:uid="{00000000-0005-0000-0000-000091010000}"/>
    <cellStyle name="_성적서 요청서-CHINA(1027)" xfId="403" xr:uid="{00000000-0005-0000-0000-000092010000}"/>
    <cellStyle name="_성적서 요청서-CHINA(1028)" xfId="404" xr:uid="{00000000-0005-0000-0000-000093010000}"/>
    <cellStyle name="_성적서 요청서-CHINA(1029)" xfId="405" xr:uid="{00000000-0005-0000-0000-000094010000}"/>
    <cellStyle name="_성적서 요청서-CHINA(1030)" xfId="406" xr:uid="{00000000-0005-0000-0000-000095010000}"/>
    <cellStyle name="_성적서 요청서-CHINA(1030.1031)" xfId="407" xr:uid="{00000000-0005-0000-0000-000096010000}"/>
    <cellStyle name="_성적서 요청서-CHINA(1031)" xfId="408" xr:uid="{00000000-0005-0000-0000-000097010000}"/>
    <cellStyle name="_성적서 요청서-CHINA(1102)" xfId="409" xr:uid="{00000000-0005-0000-0000-000098010000}"/>
    <cellStyle name="_성적서 요청서-CHINA(1103)" xfId="410" xr:uid="{00000000-0005-0000-0000-000099010000}"/>
    <cellStyle name="_성적서 요청서-CHINA(1104)" xfId="411" xr:uid="{00000000-0005-0000-0000-00009A010000}"/>
    <cellStyle name="_성적서 요청서-CHINA(1105)" xfId="412" xr:uid="{00000000-0005-0000-0000-00009B010000}"/>
    <cellStyle name="_성적서 요청서-CHINA(1109)" xfId="413" xr:uid="{00000000-0005-0000-0000-00009C010000}"/>
    <cellStyle name="_성적서 요청서-CHINA(1110)" xfId="414" xr:uid="{00000000-0005-0000-0000-00009D010000}"/>
    <cellStyle name="_성적서 요청서-CHINA(1112)" xfId="415" xr:uid="{00000000-0005-0000-0000-00009E010000}"/>
    <cellStyle name="_성적서 요청서-CHINA(1113)" xfId="416" xr:uid="{00000000-0005-0000-0000-00009F010000}"/>
    <cellStyle name="_성적서 요청서-CHINA(1116)" xfId="417" xr:uid="{00000000-0005-0000-0000-0000A0010000}"/>
    <cellStyle name="_성적서 요청서-CHINA(1120)" xfId="418" xr:uid="{00000000-0005-0000-0000-0000A1010000}"/>
    <cellStyle name="_성적서 요청서-CHINA(1125)" xfId="419" xr:uid="{00000000-0005-0000-0000-0000A2010000}"/>
    <cellStyle name="_성적서 요청서-CHINA(1126)" xfId="420" xr:uid="{00000000-0005-0000-0000-0000A3010000}"/>
    <cellStyle name="_성적서 요청서-CHINA(1127)" xfId="421" xr:uid="{00000000-0005-0000-0000-0000A4010000}"/>
    <cellStyle name="_성적서 요청서-CHINA(1130)" xfId="422" xr:uid="{00000000-0005-0000-0000-0000A5010000}"/>
    <cellStyle name="_월간판매계획 종합" xfId="423" xr:uid="{00000000-0005-0000-0000-0000A6010000}"/>
    <cellStyle name="_자료3" xfId="424" xr:uid="{00000000-0005-0000-0000-0000A7010000}"/>
    <cellStyle name="_주간 영업 일지 9월 - JH Park" xfId="425" xr:uid="{00000000-0005-0000-0000-0000A8010000}"/>
    <cellStyle name="_주간 영업 일지 9월- Jason" xfId="426" xr:uid="{00000000-0005-0000-0000-0000A9010000}"/>
    <cellStyle name="_출하 성적서 발행요청서(수출)" xfId="427" xr:uid="{00000000-0005-0000-0000-0000AA010000}"/>
    <cellStyle name="_해영 CT Item List (1)-1" xfId="428" xr:uid="{00000000-0005-0000-0000-0000AB010000}"/>
    <cellStyle name="=C:\WINNT35\SYSTEM32\COMMAND.COM" xfId="429" xr:uid="{00000000-0005-0000-0000-0000AC010000}"/>
    <cellStyle name="=C:\WINNT35\SYSTEM32\COMMAND.COM 2" xfId="430" xr:uid="{00000000-0005-0000-0000-0000AD010000}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 xr:uid="{00000000-0005-0000-0000-0000C0010000}"/>
    <cellStyle name="Comma [0]_ SG&amp;A Bridge " xfId="450" xr:uid="{00000000-0005-0000-0000-0000C1010000}"/>
    <cellStyle name="Comma_ SG&amp;A Bridge " xfId="451" xr:uid="{00000000-0005-0000-0000-0000C2010000}"/>
    <cellStyle name="Currency [0]_ SG&amp;A Bridge " xfId="452" xr:uid="{00000000-0005-0000-0000-0000C3010000}"/>
    <cellStyle name="Currency_ SG&amp;A Bridge " xfId="453" xr:uid="{00000000-0005-0000-0000-0000C4010000}"/>
    <cellStyle name="entry" xfId="454" xr:uid="{00000000-0005-0000-0000-0000C5010000}"/>
    <cellStyle name="Grey" xfId="455" xr:uid="{00000000-0005-0000-0000-0000C6010000}"/>
    <cellStyle name="Header1" xfId="456" xr:uid="{00000000-0005-0000-0000-0000C7010000}"/>
    <cellStyle name="Header2" xfId="457" xr:uid="{00000000-0005-0000-0000-0000C8010000}"/>
    <cellStyle name="Input [yellow]" xfId="458" xr:uid="{00000000-0005-0000-0000-0000C9010000}"/>
    <cellStyle name="Normal - Style1" xfId="459" xr:uid="{00000000-0005-0000-0000-0000CA010000}"/>
    <cellStyle name="Normal - Style1 2" xfId="460" xr:uid="{00000000-0005-0000-0000-0000CB010000}"/>
    <cellStyle name="Normal - Style1 2 2" xfId="461" xr:uid="{00000000-0005-0000-0000-0000CC010000}"/>
    <cellStyle name="Normal - Style1 3" xfId="462" xr:uid="{00000000-0005-0000-0000-0000CD010000}"/>
    <cellStyle name="Normal - Style1 4" xfId="463" xr:uid="{00000000-0005-0000-0000-0000CE010000}"/>
    <cellStyle name="Normal - Style1 5" xfId="464" xr:uid="{00000000-0005-0000-0000-0000CF010000}"/>
    <cellStyle name="Normal - Style1 6" xfId="465" xr:uid="{00000000-0005-0000-0000-0000D0010000}"/>
    <cellStyle name="Normal - Style1 7" xfId="466" xr:uid="{00000000-0005-0000-0000-0000D1010000}"/>
    <cellStyle name="Normal_ SG&amp;A Bridge " xfId="467" xr:uid="{00000000-0005-0000-0000-0000D2010000}"/>
    <cellStyle name="Percent [2]" xfId="468" xr:uid="{00000000-0005-0000-0000-0000D3010000}"/>
    <cellStyle name="price" xfId="469" xr:uid="{00000000-0005-0000-0000-0000D4010000}"/>
    <cellStyle name="revised" xfId="470" xr:uid="{00000000-0005-0000-0000-0000D5010000}"/>
    <cellStyle name="section" xfId="471" xr:uid="{00000000-0005-0000-0000-0000D6010000}"/>
    <cellStyle name="Standard_COST INPUT SHEET" xfId="472" xr:uid="{00000000-0005-0000-0000-0000D7010000}"/>
    <cellStyle name="subhead" xfId="473" xr:uid="{00000000-0005-0000-0000-0000D8010000}"/>
    <cellStyle name="title" xfId="474" xr:uid="{00000000-0005-0000-0000-0000D9010000}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 xr:uid="{00000000-0005-0000-0000-0000E3010000}"/>
    <cellStyle name="똿뗦먛귟_?뚈" xfId="485" xr:uid="{00000000-0005-0000-0000-0000E4010000}"/>
    <cellStyle name="메모" xfId="486" builtinId="10" customBuiltin="1"/>
    <cellStyle name="메모 2" xfId="487" xr:uid="{00000000-0005-0000-0000-0000E6010000}"/>
    <cellStyle name="메모 2 2" xfId="488" xr:uid="{00000000-0005-0000-0000-0000E7010000}"/>
    <cellStyle name="메모 3" xfId="489" xr:uid="{00000000-0005-0000-0000-0000E8010000}"/>
    <cellStyle name="메모 4" xfId="490" xr:uid="{00000000-0005-0000-0000-0000E9010000}"/>
    <cellStyle name="메모 5" xfId="491" xr:uid="{00000000-0005-0000-0000-0000EA010000}"/>
    <cellStyle name="메모 6" xfId="492" xr:uid="{00000000-0005-0000-0000-0000EB010000}"/>
    <cellStyle name="메모 7" xfId="493" xr:uid="{00000000-0005-0000-0000-0000EC010000}"/>
    <cellStyle name="믅됞 [0.00]_?뚈" xfId="494" xr:uid="{00000000-0005-0000-0000-0000ED010000}"/>
    <cellStyle name="믅됞_?뚈" xfId="495" xr:uid="{00000000-0005-0000-0000-0000EE010000}"/>
    <cellStyle name="백분율" xfId="496" builtinId="5"/>
    <cellStyle name="백분율 2" xfId="497" xr:uid="{00000000-0005-0000-0000-0000F0010000}"/>
    <cellStyle name="보통" xfId="498" builtinId="28" customBuiltin="1"/>
    <cellStyle name="뷭?_?" xfId="499" xr:uid="{00000000-0005-0000-0000-0000F2010000}"/>
    <cellStyle name="常规_Sheet1" xfId="500" xr:uid="{00000000-0005-0000-0000-0000F3010000}"/>
    <cellStyle name="설명 텍스트" xfId="501" builtinId="53" customBuiltin="1"/>
    <cellStyle name="셀 확인" xfId="502" builtinId="23" customBuiltin="1"/>
    <cellStyle name="쉼표 [0]" xfId="503" builtinId="6"/>
    <cellStyle name="쉼표 [0] 10" xfId="504" xr:uid="{00000000-0005-0000-0000-0000F7010000}"/>
    <cellStyle name="쉼표 [0] 100" xfId="505" xr:uid="{00000000-0005-0000-0000-0000F8010000}"/>
    <cellStyle name="쉼표 [0] 101" xfId="506" xr:uid="{00000000-0005-0000-0000-0000F9010000}"/>
    <cellStyle name="쉼표 [0] 102" xfId="507" xr:uid="{00000000-0005-0000-0000-0000FA010000}"/>
    <cellStyle name="쉼표 [0] 103" xfId="508" xr:uid="{00000000-0005-0000-0000-0000FB010000}"/>
    <cellStyle name="쉼표 [0] 104" xfId="509" xr:uid="{00000000-0005-0000-0000-0000FC010000}"/>
    <cellStyle name="쉼표 [0] 105" xfId="510" xr:uid="{00000000-0005-0000-0000-0000FD010000}"/>
    <cellStyle name="쉼표 [0] 106" xfId="511" xr:uid="{00000000-0005-0000-0000-0000FE010000}"/>
    <cellStyle name="쉼표 [0] 107" xfId="512" xr:uid="{00000000-0005-0000-0000-0000FF010000}"/>
    <cellStyle name="쉼표 [0] 108" xfId="513" xr:uid="{00000000-0005-0000-0000-000000020000}"/>
    <cellStyle name="쉼표 [0] 109" xfId="514" xr:uid="{00000000-0005-0000-0000-000001020000}"/>
    <cellStyle name="쉼표 [0] 11" xfId="515" xr:uid="{00000000-0005-0000-0000-000002020000}"/>
    <cellStyle name="쉼표 [0] 110" xfId="516" xr:uid="{00000000-0005-0000-0000-000003020000}"/>
    <cellStyle name="쉼표 [0] 111" xfId="517" xr:uid="{00000000-0005-0000-0000-000004020000}"/>
    <cellStyle name="쉼표 [0] 112" xfId="518" xr:uid="{00000000-0005-0000-0000-000005020000}"/>
    <cellStyle name="쉼표 [0] 113" xfId="519" xr:uid="{00000000-0005-0000-0000-000006020000}"/>
    <cellStyle name="쉼표 [0] 114" xfId="520" xr:uid="{00000000-0005-0000-0000-000007020000}"/>
    <cellStyle name="쉼표 [0] 115" xfId="521" xr:uid="{00000000-0005-0000-0000-000008020000}"/>
    <cellStyle name="쉼표 [0] 116" xfId="522" xr:uid="{00000000-0005-0000-0000-000009020000}"/>
    <cellStyle name="쉼표 [0] 117" xfId="523" xr:uid="{00000000-0005-0000-0000-00000A020000}"/>
    <cellStyle name="쉼표 [0] 118" xfId="524" xr:uid="{00000000-0005-0000-0000-00000B020000}"/>
    <cellStyle name="쉼표 [0] 119" xfId="525" xr:uid="{00000000-0005-0000-0000-00000C020000}"/>
    <cellStyle name="쉼표 [0] 12" xfId="526" xr:uid="{00000000-0005-0000-0000-00000D020000}"/>
    <cellStyle name="쉼표 [0] 120" xfId="527" xr:uid="{00000000-0005-0000-0000-00000E020000}"/>
    <cellStyle name="쉼표 [0] 121" xfId="528" xr:uid="{00000000-0005-0000-0000-00000F020000}"/>
    <cellStyle name="쉼표 [0] 122" xfId="529" xr:uid="{00000000-0005-0000-0000-000010020000}"/>
    <cellStyle name="쉼표 [0] 123" xfId="530" xr:uid="{00000000-0005-0000-0000-000011020000}"/>
    <cellStyle name="쉼표 [0] 124" xfId="531" xr:uid="{00000000-0005-0000-0000-000012020000}"/>
    <cellStyle name="쉼표 [0] 125" xfId="532" xr:uid="{00000000-0005-0000-0000-000013020000}"/>
    <cellStyle name="쉼표 [0] 126" xfId="533" xr:uid="{00000000-0005-0000-0000-000014020000}"/>
    <cellStyle name="쉼표 [0] 127" xfId="534" xr:uid="{00000000-0005-0000-0000-000015020000}"/>
    <cellStyle name="쉼표 [0] 128" xfId="535" xr:uid="{00000000-0005-0000-0000-000016020000}"/>
    <cellStyle name="쉼표 [0] 129" xfId="536" xr:uid="{00000000-0005-0000-0000-000017020000}"/>
    <cellStyle name="쉼표 [0] 13" xfId="537" xr:uid="{00000000-0005-0000-0000-000018020000}"/>
    <cellStyle name="쉼표 [0] 130" xfId="538" xr:uid="{00000000-0005-0000-0000-000019020000}"/>
    <cellStyle name="쉼표 [0] 131" xfId="539" xr:uid="{00000000-0005-0000-0000-00001A020000}"/>
    <cellStyle name="쉼표 [0] 132" xfId="540" xr:uid="{00000000-0005-0000-0000-00001B020000}"/>
    <cellStyle name="쉼표 [0] 133" xfId="541" xr:uid="{00000000-0005-0000-0000-00001C020000}"/>
    <cellStyle name="쉼표 [0] 134" xfId="542" xr:uid="{00000000-0005-0000-0000-00001D020000}"/>
    <cellStyle name="쉼표 [0] 135" xfId="543" xr:uid="{00000000-0005-0000-0000-00001E020000}"/>
    <cellStyle name="쉼표 [0] 136" xfId="544" xr:uid="{00000000-0005-0000-0000-00001F020000}"/>
    <cellStyle name="쉼표 [0] 137" xfId="545" xr:uid="{00000000-0005-0000-0000-000020020000}"/>
    <cellStyle name="쉼표 [0] 138" xfId="546" xr:uid="{00000000-0005-0000-0000-000021020000}"/>
    <cellStyle name="쉼표 [0] 139" xfId="547" xr:uid="{00000000-0005-0000-0000-000022020000}"/>
    <cellStyle name="쉼표 [0] 14" xfId="548" xr:uid="{00000000-0005-0000-0000-000023020000}"/>
    <cellStyle name="쉼표 [0] 140" xfId="549" xr:uid="{00000000-0005-0000-0000-000024020000}"/>
    <cellStyle name="쉼표 [0] 141" xfId="550" xr:uid="{00000000-0005-0000-0000-000025020000}"/>
    <cellStyle name="쉼표 [0] 142" xfId="551" xr:uid="{00000000-0005-0000-0000-000026020000}"/>
    <cellStyle name="쉼표 [0] 143" xfId="552" xr:uid="{00000000-0005-0000-0000-000027020000}"/>
    <cellStyle name="쉼표 [0] 144" xfId="553" xr:uid="{00000000-0005-0000-0000-000028020000}"/>
    <cellStyle name="쉼표 [0] 145" xfId="554" xr:uid="{00000000-0005-0000-0000-000029020000}"/>
    <cellStyle name="쉼표 [0] 146" xfId="555" xr:uid="{00000000-0005-0000-0000-00002A020000}"/>
    <cellStyle name="쉼표 [0] 147" xfId="556" xr:uid="{00000000-0005-0000-0000-00002B020000}"/>
    <cellStyle name="쉼표 [0] 148" xfId="557" xr:uid="{00000000-0005-0000-0000-00002C020000}"/>
    <cellStyle name="쉼표 [0] 149" xfId="558" xr:uid="{00000000-0005-0000-0000-00002D020000}"/>
    <cellStyle name="쉼표 [0] 15" xfId="559" xr:uid="{00000000-0005-0000-0000-00002E020000}"/>
    <cellStyle name="쉼표 [0] 150" xfId="560" xr:uid="{00000000-0005-0000-0000-00002F020000}"/>
    <cellStyle name="쉼표 [0] 151" xfId="561" xr:uid="{00000000-0005-0000-0000-000030020000}"/>
    <cellStyle name="쉼표 [0] 152" xfId="562" xr:uid="{00000000-0005-0000-0000-000031020000}"/>
    <cellStyle name="쉼표 [0] 153" xfId="563" xr:uid="{00000000-0005-0000-0000-000032020000}"/>
    <cellStyle name="쉼표 [0] 154" xfId="564" xr:uid="{00000000-0005-0000-0000-000033020000}"/>
    <cellStyle name="쉼표 [0] 155" xfId="565" xr:uid="{00000000-0005-0000-0000-000034020000}"/>
    <cellStyle name="쉼표 [0] 156" xfId="566" xr:uid="{00000000-0005-0000-0000-000035020000}"/>
    <cellStyle name="쉼표 [0] 157" xfId="567" xr:uid="{00000000-0005-0000-0000-000036020000}"/>
    <cellStyle name="쉼표 [0] 158" xfId="568" xr:uid="{00000000-0005-0000-0000-000037020000}"/>
    <cellStyle name="쉼표 [0] 159" xfId="569" xr:uid="{00000000-0005-0000-0000-000038020000}"/>
    <cellStyle name="쉼표 [0] 16" xfId="570" xr:uid="{00000000-0005-0000-0000-000039020000}"/>
    <cellStyle name="쉼표 [0] 160" xfId="571" xr:uid="{00000000-0005-0000-0000-00003A020000}"/>
    <cellStyle name="쉼표 [0] 161" xfId="572" xr:uid="{00000000-0005-0000-0000-00003B020000}"/>
    <cellStyle name="쉼표 [0] 162" xfId="573" xr:uid="{00000000-0005-0000-0000-00003C020000}"/>
    <cellStyle name="쉼표 [0] 163" xfId="574" xr:uid="{00000000-0005-0000-0000-00003D020000}"/>
    <cellStyle name="쉼표 [0] 164" xfId="575" xr:uid="{00000000-0005-0000-0000-00003E020000}"/>
    <cellStyle name="쉼표 [0] 165" xfId="576" xr:uid="{00000000-0005-0000-0000-00003F020000}"/>
    <cellStyle name="쉼표 [0] 166" xfId="577" xr:uid="{00000000-0005-0000-0000-000040020000}"/>
    <cellStyle name="쉼표 [0] 167" xfId="578" xr:uid="{00000000-0005-0000-0000-000041020000}"/>
    <cellStyle name="쉼표 [0] 168" xfId="579" xr:uid="{00000000-0005-0000-0000-000042020000}"/>
    <cellStyle name="쉼표 [0] 169" xfId="580" xr:uid="{00000000-0005-0000-0000-000043020000}"/>
    <cellStyle name="쉼표 [0] 17" xfId="581" xr:uid="{00000000-0005-0000-0000-000044020000}"/>
    <cellStyle name="쉼표 [0] 170" xfId="582" xr:uid="{00000000-0005-0000-0000-000045020000}"/>
    <cellStyle name="쉼표 [0] 171" xfId="583" xr:uid="{00000000-0005-0000-0000-000046020000}"/>
    <cellStyle name="쉼표 [0] 172" xfId="584" xr:uid="{00000000-0005-0000-0000-000047020000}"/>
    <cellStyle name="쉼표 [0] 173" xfId="585" xr:uid="{00000000-0005-0000-0000-000048020000}"/>
    <cellStyle name="쉼표 [0] 174" xfId="586" xr:uid="{00000000-0005-0000-0000-000049020000}"/>
    <cellStyle name="쉼표 [0] 175" xfId="587" xr:uid="{00000000-0005-0000-0000-00004A020000}"/>
    <cellStyle name="쉼표 [0] 176" xfId="588" xr:uid="{00000000-0005-0000-0000-00004B020000}"/>
    <cellStyle name="쉼표 [0] 177" xfId="589" xr:uid="{00000000-0005-0000-0000-00004C020000}"/>
    <cellStyle name="쉼표 [0] 178" xfId="590" xr:uid="{00000000-0005-0000-0000-00004D020000}"/>
    <cellStyle name="쉼표 [0] 179" xfId="591" xr:uid="{00000000-0005-0000-0000-00004E020000}"/>
    <cellStyle name="쉼표 [0] 18" xfId="592" xr:uid="{00000000-0005-0000-0000-00004F020000}"/>
    <cellStyle name="쉼표 [0] 180" xfId="593" xr:uid="{00000000-0005-0000-0000-000050020000}"/>
    <cellStyle name="쉼표 [0] 181" xfId="594" xr:uid="{00000000-0005-0000-0000-000051020000}"/>
    <cellStyle name="쉼표 [0] 182" xfId="595" xr:uid="{00000000-0005-0000-0000-000052020000}"/>
    <cellStyle name="쉼표 [0] 183" xfId="596" xr:uid="{00000000-0005-0000-0000-000053020000}"/>
    <cellStyle name="쉼표 [0] 184" xfId="597" xr:uid="{00000000-0005-0000-0000-000054020000}"/>
    <cellStyle name="쉼표 [0] 185" xfId="598" xr:uid="{00000000-0005-0000-0000-000055020000}"/>
    <cellStyle name="쉼표 [0] 186" xfId="599" xr:uid="{00000000-0005-0000-0000-000056020000}"/>
    <cellStyle name="쉼표 [0] 187" xfId="600" xr:uid="{00000000-0005-0000-0000-000057020000}"/>
    <cellStyle name="쉼표 [0] 188" xfId="601" xr:uid="{00000000-0005-0000-0000-000058020000}"/>
    <cellStyle name="쉼표 [0] 189" xfId="602" xr:uid="{00000000-0005-0000-0000-000059020000}"/>
    <cellStyle name="쉼표 [0] 19" xfId="603" xr:uid="{00000000-0005-0000-0000-00005A020000}"/>
    <cellStyle name="쉼표 [0] 190" xfId="604" xr:uid="{00000000-0005-0000-0000-00005B020000}"/>
    <cellStyle name="쉼표 [0] 191" xfId="605" xr:uid="{00000000-0005-0000-0000-00005C020000}"/>
    <cellStyle name="쉼표 [0] 192" xfId="606" xr:uid="{00000000-0005-0000-0000-00005D020000}"/>
    <cellStyle name="쉼표 [0] 193" xfId="607" xr:uid="{00000000-0005-0000-0000-00005E020000}"/>
    <cellStyle name="쉼표 [0] 194" xfId="608" xr:uid="{00000000-0005-0000-0000-00005F020000}"/>
    <cellStyle name="쉼표 [0] 195" xfId="609" xr:uid="{00000000-0005-0000-0000-000060020000}"/>
    <cellStyle name="쉼표 [0] 196" xfId="610" xr:uid="{00000000-0005-0000-0000-000061020000}"/>
    <cellStyle name="쉼표 [0] 197" xfId="611" xr:uid="{00000000-0005-0000-0000-000062020000}"/>
    <cellStyle name="쉼표 [0] 198" xfId="612" xr:uid="{00000000-0005-0000-0000-000063020000}"/>
    <cellStyle name="쉼표 [0] 199" xfId="613" xr:uid="{00000000-0005-0000-0000-000064020000}"/>
    <cellStyle name="쉼표 [0] 2" xfId="614" xr:uid="{00000000-0005-0000-0000-000065020000}"/>
    <cellStyle name="쉼표 [0] 2 2" xfId="615" xr:uid="{00000000-0005-0000-0000-000066020000}"/>
    <cellStyle name="쉼표 [0] 2 2 2" xfId="616" xr:uid="{00000000-0005-0000-0000-000067020000}"/>
    <cellStyle name="쉼표 [0] 2 3" xfId="617" xr:uid="{00000000-0005-0000-0000-000068020000}"/>
    <cellStyle name="쉼표 [0] 2 4" xfId="618" xr:uid="{00000000-0005-0000-0000-000069020000}"/>
    <cellStyle name="쉼표 [0] 2 5" xfId="619" xr:uid="{00000000-0005-0000-0000-00006A020000}"/>
    <cellStyle name="쉼표 [0] 2 6" xfId="620" xr:uid="{00000000-0005-0000-0000-00006B020000}"/>
    <cellStyle name="쉼표 [0] 2 7" xfId="621" xr:uid="{00000000-0005-0000-0000-00006C020000}"/>
    <cellStyle name="쉼표 [0] 20" xfId="622" xr:uid="{00000000-0005-0000-0000-00006D020000}"/>
    <cellStyle name="쉼표 [0] 200" xfId="623" xr:uid="{00000000-0005-0000-0000-00006E020000}"/>
    <cellStyle name="쉼표 [0] 201" xfId="624" xr:uid="{00000000-0005-0000-0000-00006F020000}"/>
    <cellStyle name="쉼표 [0] 202" xfId="625" xr:uid="{00000000-0005-0000-0000-000070020000}"/>
    <cellStyle name="쉼표 [0] 203" xfId="626" xr:uid="{00000000-0005-0000-0000-000071020000}"/>
    <cellStyle name="쉼표 [0] 204" xfId="627" xr:uid="{00000000-0005-0000-0000-000072020000}"/>
    <cellStyle name="쉼표 [0] 205" xfId="628" xr:uid="{00000000-0005-0000-0000-000073020000}"/>
    <cellStyle name="쉼표 [0] 206" xfId="629" xr:uid="{00000000-0005-0000-0000-000074020000}"/>
    <cellStyle name="쉼표 [0] 207" xfId="630" xr:uid="{00000000-0005-0000-0000-000075020000}"/>
    <cellStyle name="쉼표 [0] 208" xfId="631" xr:uid="{00000000-0005-0000-0000-000076020000}"/>
    <cellStyle name="쉼표 [0] 209" xfId="632" xr:uid="{00000000-0005-0000-0000-000077020000}"/>
    <cellStyle name="쉼표 [0] 21" xfId="633" xr:uid="{00000000-0005-0000-0000-000078020000}"/>
    <cellStyle name="쉼표 [0] 210" xfId="634" xr:uid="{00000000-0005-0000-0000-000079020000}"/>
    <cellStyle name="쉼표 [0] 211" xfId="635" xr:uid="{00000000-0005-0000-0000-00007A020000}"/>
    <cellStyle name="쉼표 [0] 212" xfId="636" xr:uid="{00000000-0005-0000-0000-00007B020000}"/>
    <cellStyle name="쉼표 [0] 213" xfId="637" xr:uid="{00000000-0005-0000-0000-00007C020000}"/>
    <cellStyle name="쉼표 [0] 214" xfId="638" xr:uid="{00000000-0005-0000-0000-00007D020000}"/>
    <cellStyle name="쉼표 [0] 215" xfId="639" xr:uid="{00000000-0005-0000-0000-00007E020000}"/>
    <cellStyle name="쉼표 [0] 216" xfId="640" xr:uid="{00000000-0005-0000-0000-00007F020000}"/>
    <cellStyle name="쉼표 [0] 217" xfId="641" xr:uid="{00000000-0005-0000-0000-000080020000}"/>
    <cellStyle name="쉼표 [0] 218" xfId="642" xr:uid="{00000000-0005-0000-0000-000081020000}"/>
    <cellStyle name="쉼표 [0] 219" xfId="643" xr:uid="{00000000-0005-0000-0000-000082020000}"/>
    <cellStyle name="쉼표 [0] 22" xfId="644" xr:uid="{00000000-0005-0000-0000-000083020000}"/>
    <cellStyle name="쉼표 [0] 220" xfId="645" xr:uid="{00000000-0005-0000-0000-000084020000}"/>
    <cellStyle name="쉼표 [0] 221" xfId="646" xr:uid="{00000000-0005-0000-0000-000085020000}"/>
    <cellStyle name="쉼표 [0] 222" xfId="647" xr:uid="{00000000-0005-0000-0000-000086020000}"/>
    <cellStyle name="쉼표 [0] 223" xfId="648" xr:uid="{00000000-0005-0000-0000-000087020000}"/>
    <cellStyle name="쉼표 [0] 224" xfId="649" xr:uid="{00000000-0005-0000-0000-000088020000}"/>
    <cellStyle name="쉼표 [0] 225" xfId="650" xr:uid="{00000000-0005-0000-0000-000089020000}"/>
    <cellStyle name="쉼표 [0] 226" xfId="651" xr:uid="{00000000-0005-0000-0000-00008A020000}"/>
    <cellStyle name="쉼표 [0] 227" xfId="652" xr:uid="{00000000-0005-0000-0000-00008B020000}"/>
    <cellStyle name="쉼표 [0] 228" xfId="653" xr:uid="{00000000-0005-0000-0000-00008C020000}"/>
    <cellStyle name="쉼표 [0] 229" xfId="654" xr:uid="{00000000-0005-0000-0000-00008D020000}"/>
    <cellStyle name="쉼표 [0] 23" xfId="655" xr:uid="{00000000-0005-0000-0000-00008E020000}"/>
    <cellStyle name="쉼표 [0] 230" xfId="656" xr:uid="{00000000-0005-0000-0000-00008F020000}"/>
    <cellStyle name="쉼표 [0] 231" xfId="657" xr:uid="{00000000-0005-0000-0000-000090020000}"/>
    <cellStyle name="쉼표 [0] 232" xfId="658" xr:uid="{00000000-0005-0000-0000-000091020000}"/>
    <cellStyle name="쉼표 [0] 233" xfId="659" xr:uid="{00000000-0005-0000-0000-000092020000}"/>
    <cellStyle name="쉼표 [0] 234" xfId="660" xr:uid="{00000000-0005-0000-0000-000093020000}"/>
    <cellStyle name="쉼표 [0] 235" xfId="661" xr:uid="{00000000-0005-0000-0000-000094020000}"/>
    <cellStyle name="쉼표 [0] 236" xfId="662" xr:uid="{00000000-0005-0000-0000-000095020000}"/>
    <cellStyle name="쉼표 [0] 237" xfId="663" xr:uid="{00000000-0005-0000-0000-000096020000}"/>
    <cellStyle name="쉼표 [0] 238" xfId="664" xr:uid="{00000000-0005-0000-0000-000097020000}"/>
    <cellStyle name="쉼표 [0] 239" xfId="665" xr:uid="{00000000-0005-0000-0000-000098020000}"/>
    <cellStyle name="쉼표 [0] 24" xfId="666" xr:uid="{00000000-0005-0000-0000-000099020000}"/>
    <cellStyle name="쉼표 [0] 240" xfId="667" xr:uid="{00000000-0005-0000-0000-00009A020000}"/>
    <cellStyle name="쉼표 [0] 241" xfId="668" xr:uid="{00000000-0005-0000-0000-00009B020000}"/>
    <cellStyle name="쉼표 [0] 242" xfId="669" xr:uid="{00000000-0005-0000-0000-00009C020000}"/>
    <cellStyle name="쉼표 [0] 243" xfId="670" xr:uid="{00000000-0005-0000-0000-00009D020000}"/>
    <cellStyle name="쉼표 [0] 244" xfId="671" xr:uid="{00000000-0005-0000-0000-00009E020000}"/>
    <cellStyle name="쉼표 [0] 245" xfId="672" xr:uid="{00000000-0005-0000-0000-00009F020000}"/>
    <cellStyle name="쉼표 [0] 246" xfId="673" xr:uid="{00000000-0005-0000-0000-0000A0020000}"/>
    <cellStyle name="쉼표 [0] 247" xfId="674" xr:uid="{00000000-0005-0000-0000-0000A1020000}"/>
    <cellStyle name="쉼표 [0] 248" xfId="675" xr:uid="{00000000-0005-0000-0000-0000A2020000}"/>
    <cellStyle name="쉼표 [0] 249" xfId="676" xr:uid="{00000000-0005-0000-0000-0000A3020000}"/>
    <cellStyle name="쉼표 [0] 25" xfId="677" xr:uid="{00000000-0005-0000-0000-0000A4020000}"/>
    <cellStyle name="쉼표 [0] 250" xfId="678" xr:uid="{00000000-0005-0000-0000-0000A5020000}"/>
    <cellStyle name="쉼표 [0] 251" xfId="679" xr:uid="{00000000-0005-0000-0000-0000A6020000}"/>
    <cellStyle name="쉼표 [0] 252" xfId="680" xr:uid="{00000000-0005-0000-0000-0000A7020000}"/>
    <cellStyle name="쉼표 [0] 253" xfId="681" xr:uid="{00000000-0005-0000-0000-0000A8020000}"/>
    <cellStyle name="쉼표 [0] 254" xfId="682" xr:uid="{00000000-0005-0000-0000-0000A9020000}"/>
    <cellStyle name="쉼표 [0] 255" xfId="683" xr:uid="{00000000-0005-0000-0000-0000AA020000}"/>
    <cellStyle name="쉼표 [0] 26" xfId="684" xr:uid="{00000000-0005-0000-0000-0000AB020000}"/>
    <cellStyle name="쉼표 [0] 27" xfId="685" xr:uid="{00000000-0005-0000-0000-0000AC020000}"/>
    <cellStyle name="쉼표 [0] 28" xfId="686" xr:uid="{00000000-0005-0000-0000-0000AD020000}"/>
    <cellStyle name="쉼표 [0] 29" xfId="687" xr:uid="{00000000-0005-0000-0000-0000AE020000}"/>
    <cellStyle name="쉼표 [0] 3" xfId="688" xr:uid="{00000000-0005-0000-0000-0000AF020000}"/>
    <cellStyle name="쉼표 [0] 30" xfId="689" xr:uid="{00000000-0005-0000-0000-0000B0020000}"/>
    <cellStyle name="쉼표 [0] 31" xfId="690" xr:uid="{00000000-0005-0000-0000-0000B1020000}"/>
    <cellStyle name="쉼표 [0] 32" xfId="691" xr:uid="{00000000-0005-0000-0000-0000B2020000}"/>
    <cellStyle name="쉼표 [0] 33" xfId="692" xr:uid="{00000000-0005-0000-0000-0000B3020000}"/>
    <cellStyle name="쉼표 [0] 34" xfId="693" xr:uid="{00000000-0005-0000-0000-0000B4020000}"/>
    <cellStyle name="쉼표 [0] 35" xfId="694" xr:uid="{00000000-0005-0000-0000-0000B5020000}"/>
    <cellStyle name="쉼표 [0] 36" xfId="695" xr:uid="{00000000-0005-0000-0000-0000B6020000}"/>
    <cellStyle name="쉼표 [0] 37" xfId="696" xr:uid="{00000000-0005-0000-0000-0000B7020000}"/>
    <cellStyle name="쉼표 [0] 38" xfId="697" xr:uid="{00000000-0005-0000-0000-0000B8020000}"/>
    <cellStyle name="쉼표 [0] 39" xfId="698" xr:uid="{00000000-0005-0000-0000-0000B9020000}"/>
    <cellStyle name="쉼표 [0] 4" xfId="699" xr:uid="{00000000-0005-0000-0000-0000BA020000}"/>
    <cellStyle name="쉼표 [0] 40" xfId="700" xr:uid="{00000000-0005-0000-0000-0000BB020000}"/>
    <cellStyle name="쉼표 [0] 41" xfId="701" xr:uid="{00000000-0005-0000-0000-0000BC020000}"/>
    <cellStyle name="쉼표 [0] 42" xfId="702" xr:uid="{00000000-0005-0000-0000-0000BD020000}"/>
    <cellStyle name="쉼표 [0] 43" xfId="703" xr:uid="{00000000-0005-0000-0000-0000BE020000}"/>
    <cellStyle name="쉼표 [0] 44" xfId="704" xr:uid="{00000000-0005-0000-0000-0000BF020000}"/>
    <cellStyle name="쉼표 [0] 45" xfId="705" xr:uid="{00000000-0005-0000-0000-0000C0020000}"/>
    <cellStyle name="쉼표 [0] 46" xfId="706" xr:uid="{00000000-0005-0000-0000-0000C1020000}"/>
    <cellStyle name="쉼표 [0] 47" xfId="707" xr:uid="{00000000-0005-0000-0000-0000C2020000}"/>
    <cellStyle name="쉼표 [0] 48" xfId="708" xr:uid="{00000000-0005-0000-0000-0000C3020000}"/>
    <cellStyle name="쉼표 [0] 49" xfId="709" xr:uid="{00000000-0005-0000-0000-0000C4020000}"/>
    <cellStyle name="쉼표 [0] 5" xfId="710" xr:uid="{00000000-0005-0000-0000-0000C5020000}"/>
    <cellStyle name="쉼표 [0] 50" xfId="711" xr:uid="{00000000-0005-0000-0000-0000C6020000}"/>
    <cellStyle name="쉼표 [0] 51" xfId="712" xr:uid="{00000000-0005-0000-0000-0000C7020000}"/>
    <cellStyle name="쉼표 [0] 52" xfId="713" xr:uid="{00000000-0005-0000-0000-0000C8020000}"/>
    <cellStyle name="쉼표 [0] 53" xfId="714" xr:uid="{00000000-0005-0000-0000-0000C9020000}"/>
    <cellStyle name="쉼표 [0] 54" xfId="715" xr:uid="{00000000-0005-0000-0000-0000CA020000}"/>
    <cellStyle name="쉼표 [0] 55" xfId="716" xr:uid="{00000000-0005-0000-0000-0000CB020000}"/>
    <cellStyle name="쉼표 [0] 56" xfId="717" xr:uid="{00000000-0005-0000-0000-0000CC020000}"/>
    <cellStyle name="쉼표 [0] 57" xfId="718" xr:uid="{00000000-0005-0000-0000-0000CD020000}"/>
    <cellStyle name="쉼표 [0] 58" xfId="719" xr:uid="{00000000-0005-0000-0000-0000CE020000}"/>
    <cellStyle name="쉼표 [0] 59" xfId="720" xr:uid="{00000000-0005-0000-0000-0000CF020000}"/>
    <cellStyle name="쉼표 [0] 6" xfId="721" xr:uid="{00000000-0005-0000-0000-0000D0020000}"/>
    <cellStyle name="쉼표 [0] 60" xfId="722" xr:uid="{00000000-0005-0000-0000-0000D1020000}"/>
    <cellStyle name="쉼표 [0] 61" xfId="723" xr:uid="{00000000-0005-0000-0000-0000D2020000}"/>
    <cellStyle name="쉼표 [0] 62" xfId="724" xr:uid="{00000000-0005-0000-0000-0000D3020000}"/>
    <cellStyle name="쉼표 [0] 63" xfId="725" xr:uid="{00000000-0005-0000-0000-0000D4020000}"/>
    <cellStyle name="쉼표 [0] 64" xfId="726" xr:uid="{00000000-0005-0000-0000-0000D5020000}"/>
    <cellStyle name="쉼표 [0] 65" xfId="727" xr:uid="{00000000-0005-0000-0000-0000D6020000}"/>
    <cellStyle name="쉼표 [0] 66" xfId="728" xr:uid="{00000000-0005-0000-0000-0000D7020000}"/>
    <cellStyle name="쉼표 [0] 67" xfId="729" xr:uid="{00000000-0005-0000-0000-0000D8020000}"/>
    <cellStyle name="쉼표 [0] 68" xfId="730" xr:uid="{00000000-0005-0000-0000-0000D9020000}"/>
    <cellStyle name="쉼표 [0] 69" xfId="731" xr:uid="{00000000-0005-0000-0000-0000DA020000}"/>
    <cellStyle name="쉼표 [0] 7" xfId="732" xr:uid="{00000000-0005-0000-0000-0000DB020000}"/>
    <cellStyle name="쉼표 [0] 70" xfId="733" xr:uid="{00000000-0005-0000-0000-0000DC020000}"/>
    <cellStyle name="쉼표 [0] 71" xfId="734" xr:uid="{00000000-0005-0000-0000-0000DD020000}"/>
    <cellStyle name="쉼표 [0] 72" xfId="735" xr:uid="{00000000-0005-0000-0000-0000DE020000}"/>
    <cellStyle name="쉼표 [0] 73" xfId="736" xr:uid="{00000000-0005-0000-0000-0000DF020000}"/>
    <cellStyle name="쉼표 [0] 74" xfId="737" xr:uid="{00000000-0005-0000-0000-0000E0020000}"/>
    <cellStyle name="쉼표 [0] 75" xfId="738" xr:uid="{00000000-0005-0000-0000-0000E1020000}"/>
    <cellStyle name="쉼표 [0] 76" xfId="739" xr:uid="{00000000-0005-0000-0000-0000E2020000}"/>
    <cellStyle name="쉼표 [0] 77" xfId="740" xr:uid="{00000000-0005-0000-0000-0000E3020000}"/>
    <cellStyle name="쉼표 [0] 78" xfId="741" xr:uid="{00000000-0005-0000-0000-0000E4020000}"/>
    <cellStyle name="쉼표 [0] 79" xfId="742" xr:uid="{00000000-0005-0000-0000-0000E5020000}"/>
    <cellStyle name="쉼표 [0] 8" xfId="743" xr:uid="{00000000-0005-0000-0000-0000E6020000}"/>
    <cellStyle name="쉼표 [0] 80" xfId="744" xr:uid="{00000000-0005-0000-0000-0000E7020000}"/>
    <cellStyle name="쉼표 [0] 81" xfId="745" xr:uid="{00000000-0005-0000-0000-0000E8020000}"/>
    <cellStyle name="쉼표 [0] 82" xfId="746" xr:uid="{00000000-0005-0000-0000-0000E9020000}"/>
    <cellStyle name="쉼표 [0] 83" xfId="747" xr:uid="{00000000-0005-0000-0000-0000EA020000}"/>
    <cellStyle name="쉼표 [0] 84" xfId="748" xr:uid="{00000000-0005-0000-0000-0000EB020000}"/>
    <cellStyle name="쉼표 [0] 85" xfId="749" xr:uid="{00000000-0005-0000-0000-0000EC020000}"/>
    <cellStyle name="쉼표 [0] 86" xfId="750" xr:uid="{00000000-0005-0000-0000-0000ED020000}"/>
    <cellStyle name="쉼표 [0] 87" xfId="751" xr:uid="{00000000-0005-0000-0000-0000EE020000}"/>
    <cellStyle name="쉼표 [0] 88" xfId="752" xr:uid="{00000000-0005-0000-0000-0000EF020000}"/>
    <cellStyle name="쉼표 [0] 89" xfId="753" xr:uid="{00000000-0005-0000-0000-0000F0020000}"/>
    <cellStyle name="쉼표 [0] 9" xfId="754" xr:uid="{00000000-0005-0000-0000-0000F1020000}"/>
    <cellStyle name="쉼표 [0] 90" xfId="755" xr:uid="{00000000-0005-0000-0000-0000F2020000}"/>
    <cellStyle name="쉼표 [0] 91" xfId="756" xr:uid="{00000000-0005-0000-0000-0000F3020000}"/>
    <cellStyle name="쉼표 [0] 92" xfId="757" xr:uid="{00000000-0005-0000-0000-0000F4020000}"/>
    <cellStyle name="쉼표 [0] 93" xfId="758" xr:uid="{00000000-0005-0000-0000-0000F5020000}"/>
    <cellStyle name="쉼표 [0] 94" xfId="759" xr:uid="{00000000-0005-0000-0000-0000F6020000}"/>
    <cellStyle name="쉼표 [0] 95" xfId="760" xr:uid="{00000000-0005-0000-0000-0000F7020000}"/>
    <cellStyle name="쉼표 [0] 96" xfId="761" xr:uid="{00000000-0005-0000-0000-0000F8020000}"/>
    <cellStyle name="쉼표 [0] 97" xfId="762" xr:uid="{00000000-0005-0000-0000-0000F9020000}"/>
    <cellStyle name="쉼표 [0] 98" xfId="763" xr:uid="{00000000-0005-0000-0000-0000FA020000}"/>
    <cellStyle name="쉼표 [0] 99" xfId="764" xr:uid="{00000000-0005-0000-0000-0000FB020000}"/>
    <cellStyle name="스타일 1" xfId="765" xr:uid="{00000000-0005-0000-0000-0000FC020000}"/>
    <cellStyle name="연결된 셀" xfId="766" builtinId="24" customBuiltin="1"/>
    <cellStyle name="요약" xfId="767" builtinId="25" customBuiltin="1"/>
    <cellStyle name="一般_ASE_A shipping information 2014" xfId="768" xr:uid="{00000000-0005-0000-0000-0000FF020000}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 xr:uid="{00000000-0005-0000-0000-000007030000}"/>
    <cellStyle name="출력" xfId="777" builtinId="21" customBuiltin="1"/>
    <cellStyle name="콤마 [0]_11월 " xfId="778" xr:uid="{00000000-0005-0000-0000-000009030000}"/>
    <cellStyle name="콤마_11월 " xfId="779" xr:uid="{00000000-0005-0000-0000-00000A030000}"/>
    <cellStyle name="표준" xfId="0" builtinId="0"/>
    <cellStyle name="표준 10" xfId="780" xr:uid="{00000000-0005-0000-0000-00000C030000}"/>
    <cellStyle name="표준 11" xfId="781" xr:uid="{00000000-0005-0000-0000-00000D030000}"/>
    <cellStyle name="표준 12" xfId="782" xr:uid="{00000000-0005-0000-0000-00000E030000}"/>
    <cellStyle name="표준 13" xfId="783" xr:uid="{00000000-0005-0000-0000-00000F030000}"/>
    <cellStyle name="표준 14" xfId="784" xr:uid="{00000000-0005-0000-0000-000010030000}"/>
    <cellStyle name="표준 15" xfId="785" xr:uid="{00000000-0005-0000-0000-000011030000}"/>
    <cellStyle name="표준 16" xfId="786" xr:uid="{00000000-0005-0000-0000-000012030000}"/>
    <cellStyle name="표준 17" xfId="787" xr:uid="{00000000-0005-0000-0000-000013030000}"/>
    <cellStyle name="표준 18" xfId="788" xr:uid="{00000000-0005-0000-0000-000014030000}"/>
    <cellStyle name="표준 19" xfId="789" xr:uid="{00000000-0005-0000-0000-000015030000}"/>
    <cellStyle name="표준 2" xfId="790" xr:uid="{00000000-0005-0000-0000-000016030000}"/>
    <cellStyle name="표준 2 2" xfId="791" xr:uid="{00000000-0005-0000-0000-000017030000}"/>
    <cellStyle name="표준 2 2 2" xfId="792" xr:uid="{00000000-0005-0000-0000-000018030000}"/>
    <cellStyle name="표준 2 3" xfId="793" xr:uid="{00000000-0005-0000-0000-000019030000}"/>
    <cellStyle name="표준 2 4" xfId="794" xr:uid="{00000000-0005-0000-0000-00001A030000}"/>
    <cellStyle name="표준 2 5" xfId="795" xr:uid="{00000000-0005-0000-0000-00001B030000}"/>
    <cellStyle name="표준 2 6" xfId="796" xr:uid="{00000000-0005-0000-0000-00001C030000}"/>
    <cellStyle name="표준 2 7" xfId="797" xr:uid="{00000000-0005-0000-0000-00001D030000}"/>
    <cellStyle name="표준 2 8" xfId="798" xr:uid="{00000000-0005-0000-0000-00001E030000}"/>
    <cellStyle name="표준 2 8 2" xfId="799" xr:uid="{00000000-0005-0000-0000-00001F030000}"/>
    <cellStyle name="표준 2_0218 CT" xfId="800" xr:uid="{00000000-0005-0000-0000-000020030000}"/>
    <cellStyle name="표준 20" xfId="801" xr:uid="{00000000-0005-0000-0000-000021030000}"/>
    <cellStyle name="표준 21" xfId="802" xr:uid="{00000000-0005-0000-0000-000022030000}"/>
    <cellStyle name="표준 22" xfId="803" xr:uid="{00000000-0005-0000-0000-000023030000}"/>
    <cellStyle name="표준 23" xfId="804" xr:uid="{00000000-0005-0000-0000-000024030000}"/>
    <cellStyle name="표준 24" xfId="805" xr:uid="{00000000-0005-0000-0000-000025030000}"/>
    <cellStyle name="표준 25" xfId="806" xr:uid="{00000000-0005-0000-0000-000026030000}"/>
    <cellStyle name="표준 26" xfId="807" xr:uid="{00000000-0005-0000-0000-000027030000}"/>
    <cellStyle name="표준 27" xfId="808" xr:uid="{00000000-0005-0000-0000-000028030000}"/>
    <cellStyle name="표준 28" xfId="809" xr:uid="{00000000-0005-0000-0000-000029030000}"/>
    <cellStyle name="표준 29" xfId="810" xr:uid="{00000000-0005-0000-0000-00002A030000}"/>
    <cellStyle name="표준 3 2" xfId="811" xr:uid="{00000000-0005-0000-0000-00002B030000}"/>
    <cellStyle name="표준 3 3" xfId="812" xr:uid="{00000000-0005-0000-0000-00002C030000}"/>
    <cellStyle name="표준 3 3 2" xfId="813" xr:uid="{00000000-0005-0000-0000-00002D030000}"/>
    <cellStyle name="표준 3 4" xfId="814" xr:uid="{00000000-0005-0000-0000-00002E030000}"/>
    <cellStyle name="표준 3 5" xfId="815" xr:uid="{00000000-0005-0000-0000-00002F030000}"/>
    <cellStyle name="표준 3 6" xfId="816" xr:uid="{00000000-0005-0000-0000-000030030000}"/>
    <cellStyle name="표준 3 7" xfId="817" xr:uid="{00000000-0005-0000-0000-000031030000}"/>
    <cellStyle name="표준 30" xfId="818" xr:uid="{00000000-0005-0000-0000-000032030000}"/>
    <cellStyle name="표준 31" xfId="819" xr:uid="{00000000-0005-0000-0000-000033030000}"/>
    <cellStyle name="표준 32" xfId="820" xr:uid="{00000000-0005-0000-0000-000034030000}"/>
    <cellStyle name="표준 33" xfId="821" xr:uid="{00000000-0005-0000-0000-000035030000}"/>
    <cellStyle name="표준 34" xfId="822" xr:uid="{00000000-0005-0000-0000-000036030000}"/>
    <cellStyle name="표준 35" xfId="823" xr:uid="{00000000-0005-0000-0000-000037030000}"/>
    <cellStyle name="표준 36" xfId="824" xr:uid="{00000000-0005-0000-0000-000038030000}"/>
    <cellStyle name="표준 37" xfId="825" xr:uid="{00000000-0005-0000-0000-000039030000}"/>
    <cellStyle name="표준 38" xfId="826" xr:uid="{00000000-0005-0000-0000-00003A030000}"/>
    <cellStyle name="표준 39" xfId="827" xr:uid="{00000000-0005-0000-0000-00003B030000}"/>
    <cellStyle name="표준 4" xfId="828" xr:uid="{00000000-0005-0000-0000-00003C030000}"/>
    <cellStyle name="표준 40" xfId="829" xr:uid="{00000000-0005-0000-0000-00003D030000}"/>
    <cellStyle name="표준 41" xfId="830" xr:uid="{00000000-0005-0000-0000-00003E030000}"/>
    <cellStyle name="표준 5" xfId="831" xr:uid="{00000000-0005-0000-0000-00003F030000}"/>
    <cellStyle name="표준 6" xfId="832" xr:uid="{00000000-0005-0000-0000-000040030000}"/>
    <cellStyle name="표준 7" xfId="833" xr:uid="{00000000-0005-0000-0000-000041030000}"/>
    <cellStyle name="표준 7 10" xfId="834" xr:uid="{00000000-0005-0000-0000-000042030000}"/>
    <cellStyle name="표준 8" xfId="835" xr:uid="{00000000-0005-0000-0000-000043030000}"/>
    <cellStyle name="표준 9" xfId="836" xr:uid="{00000000-0005-0000-0000-000044030000}"/>
    <cellStyle name="標準_IRMX" xfId="837" xr:uid="{00000000-0005-0000-0000-000045030000}"/>
    <cellStyle name="표준_K4 HUB창고재고" xfId="838" xr:uid="{00000000-0005-0000-0000-000046030000}"/>
    <cellStyle name="표준_K4 거래 내역 양식" xfId="839" xr:uid="{00000000-0005-0000-0000-000047030000}"/>
    <cellStyle name="표준_SEC 천안창고" xfId="840" xr:uid="{00000000-0005-0000-0000-000048030000}"/>
    <cellStyle name="표준_재 고 현 황" xfId="841" xr:uid="{00000000-0005-0000-0000-000049030000}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6841"/>
  <sheetViews>
    <sheetView tabSelected="1" zoomScale="90" zoomScaleNormal="90" zoomScaleSheetLayoutView="100" workbookViewId="0">
      <pane xSplit="6" ySplit="4" topLeftCell="G4208" activePane="bottomRight" state="frozen"/>
      <selection pane="topRight" activeCell="D1" sqref="D1"/>
      <selection pane="bottomLeft" activeCell="A5" sqref="A5"/>
      <selection pane="bottomRight" activeCell="M4224" sqref="M4224"/>
    </sheetView>
  </sheetViews>
  <sheetFormatPr defaultColWidth="9" defaultRowHeight="17.25" outlineLevelCol="1"/>
  <cols>
    <col min="1" max="1" width="7.25" style="3" customWidth="1"/>
    <col min="2" max="2" width="10.5" style="3" customWidth="1"/>
    <col min="3" max="3" width="17.875" style="2" customWidth="1"/>
    <col min="4" max="4" width="13.875" style="2" customWidth="1"/>
    <col min="5" max="5" width="36.25" style="2" customWidth="1"/>
    <col min="6" max="6" width="34.75" style="3" hidden="1" customWidth="1" outlineLevel="1"/>
    <col min="7" max="7" width="12.25" style="19" customWidth="1" collapsed="1"/>
    <col min="8" max="11" width="10.625" style="19" customWidth="1"/>
    <col min="12" max="12" width="11.5" style="17" customWidth="1"/>
    <col min="13" max="13" width="11.125" style="18" customWidth="1"/>
    <col min="14" max="14" width="16.25" style="33" customWidth="1"/>
    <col min="15" max="15" width="15.5" style="33" customWidth="1"/>
    <col min="16" max="16" width="14.875" style="17" customWidth="1"/>
    <col min="17" max="17" width="14" style="17" customWidth="1"/>
    <col min="18" max="18" width="16.75" style="17" customWidth="1"/>
    <col min="19" max="19" width="16" style="17" customWidth="1"/>
    <col min="20" max="20" width="19.5" style="17" bestFit="1" customWidth="1"/>
    <col min="21" max="21" width="26.75" style="18" customWidth="1"/>
    <col min="22" max="22" width="23.625" style="18" customWidth="1"/>
    <col min="23" max="23" width="20.75" style="18" customWidth="1"/>
    <col min="24" max="24" width="18" style="18" customWidth="1"/>
    <col min="25" max="25" width="29" style="18" customWidth="1"/>
    <col min="26" max="26" width="12.625" style="18" customWidth="1"/>
    <col min="27" max="27" width="26.125" style="18" customWidth="1"/>
    <col min="28" max="28" width="44.75" style="18" customWidth="1"/>
    <col min="29" max="29" width="13.625" style="18" customWidth="1"/>
    <col min="30" max="30" width="13.5" style="2" customWidth="1"/>
    <col min="31" max="32" width="9" style="2"/>
    <col min="33" max="33" width="13.125" style="2" customWidth="1"/>
    <col min="34" max="16384" width="9" style="415"/>
  </cols>
  <sheetData>
    <row r="1" spans="1:33" ht="33.75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" thickBot="1">
      <c r="A2" s="497">
        <v>46314</v>
      </c>
      <c r="B2" s="497"/>
      <c r="C2" s="497"/>
      <c r="D2" s="6"/>
      <c r="E2" s="6"/>
      <c r="L2" s="491">
        <v>46315</v>
      </c>
      <c r="M2" s="491"/>
      <c r="N2" s="494" t="s">
        <v>28056</v>
      </c>
      <c r="O2" s="494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485" t="s">
        <v>35</v>
      </c>
      <c r="B3" s="492" t="s">
        <v>35</v>
      </c>
      <c r="C3" s="487" t="s">
        <v>36</v>
      </c>
      <c r="D3" s="481" t="s">
        <v>3087</v>
      </c>
      <c r="E3" s="481" t="s">
        <v>5343</v>
      </c>
      <c r="F3" s="487" t="s">
        <v>10077</v>
      </c>
      <c r="G3" s="479" t="s">
        <v>39</v>
      </c>
      <c r="H3" s="480"/>
      <c r="I3" s="480"/>
      <c r="J3" s="480"/>
      <c r="K3" s="480"/>
      <c r="L3" s="52" t="s">
        <v>40</v>
      </c>
      <c r="M3" s="53"/>
      <c r="N3" s="500" t="s">
        <v>24402</v>
      </c>
      <c r="O3" s="498" t="s">
        <v>57</v>
      </c>
      <c r="P3" s="495" t="s">
        <v>34</v>
      </c>
      <c r="Q3" s="495"/>
      <c r="R3" s="495"/>
      <c r="S3" s="495"/>
      <c r="T3" s="495"/>
      <c r="U3" s="495"/>
      <c r="V3" s="495"/>
      <c r="W3" s="495"/>
      <c r="X3" s="495"/>
      <c r="Y3" s="495"/>
      <c r="Z3" s="496"/>
      <c r="AA3" s="116"/>
      <c r="AB3" s="489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486"/>
      <c r="B4" s="493"/>
      <c r="C4" s="488"/>
      <c r="D4" s="482"/>
      <c r="E4" s="482"/>
      <c r="F4" s="488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24578</v>
      </c>
      <c r="M4" s="24" t="s">
        <v>44</v>
      </c>
      <c r="N4" s="501"/>
      <c r="O4" s="49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90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26132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24946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25833</v>
      </c>
      <c r="L49" s="375" t="s">
        <v>27930</v>
      </c>
      <c r="M49" s="351" t="s">
        <v>45</v>
      </c>
      <c r="N49" s="267">
        <f t="shared" si="7"/>
        <v>0</v>
      </c>
      <c r="O49" s="268">
        <f t="shared" si="8"/>
        <v>400</v>
      </c>
      <c r="P49" s="239">
        <f>550-200+500-500-50+300-500+400-300+1100-500-400</f>
        <v>400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27926</v>
      </c>
      <c r="AC49" s="196">
        <f t="shared" si="2"/>
        <v>400</v>
      </c>
      <c r="AD49" s="196">
        <f t="shared" si="3"/>
        <v>400</v>
      </c>
      <c r="AE49" s="196">
        <f t="shared" si="4"/>
        <v>0</v>
      </c>
      <c r="AF49" s="2">
        <f t="shared" si="5"/>
        <v>400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25040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25041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25261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24450</v>
      </c>
      <c r="L156" s="375" t="s">
        <v>27895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27889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27652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27650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26876</v>
      </c>
      <c r="B173" s="150"/>
      <c r="C173" s="21" t="s">
        <v>3997</v>
      </c>
      <c r="D173" s="109" t="s">
        <v>26219</v>
      </c>
      <c r="E173" s="202" t="s">
        <v>26220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27442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24329</v>
      </c>
      <c r="F195" s="391" t="s">
        <v>13449</v>
      </c>
      <c r="G195" s="23" t="s">
        <v>13437</v>
      </c>
      <c r="H195" s="23" t="s">
        <v>24330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25127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 t="s">
        <v>27930</v>
      </c>
      <c r="M222" s="351" t="s">
        <v>45</v>
      </c>
      <c r="N222" s="267">
        <f t="shared" si="30"/>
        <v>0</v>
      </c>
      <c r="O222" s="268">
        <f t="shared" si="31"/>
        <v>50</v>
      </c>
      <c r="P222" s="239">
        <f>200-150</f>
        <v>50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27927</v>
      </c>
      <c r="AC222" s="196">
        <f t="shared" si="25"/>
        <v>50</v>
      </c>
      <c r="AD222" s="196">
        <f t="shared" si="26"/>
        <v>50</v>
      </c>
      <c r="AE222" s="196">
        <f t="shared" si="27"/>
        <v>0</v>
      </c>
      <c r="AF222" s="2">
        <f t="shared" si="28"/>
        <v>50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27981</v>
      </c>
      <c r="M223" s="375" t="s">
        <v>7787</v>
      </c>
      <c r="N223" s="267">
        <f t="shared" si="30"/>
        <v>0</v>
      </c>
      <c r="O223" s="268">
        <f t="shared" si="31"/>
        <v>400</v>
      </c>
      <c r="P223" s="239">
        <v>400</v>
      </c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 t="s">
        <v>27972</v>
      </c>
      <c r="AC223" s="196">
        <f t="shared" si="25"/>
        <v>400</v>
      </c>
      <c r="AD223" s="196">
        <f t="shared" si="26"/>
        <v>400</v>
      </c>
      <c r="AE223" s="196">
        <f t="shared" si="27"/>
        <v>0</v>
      </c>
      <c r="AF223" s="2">
        <f t="shared" si="28"/>
        <v>400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 t="s">
        <v>27961</v>
      </c>
      <c r="M257" s="351" t="s">
        <v>7787</v>
      </c>
      <c r="N257" s="267">
        <f t="shared" si="30"/>
        <v>0</v>
      </c>
      <c r="O257" s="268">
        <f t="shared" si="31"/>
        <v>0</v>
      </c>
      <c r="P257" s="239"/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/>
      <c r="AC257" s="196">
        <f t="shared" si="25"/>
        <v>0</v>
      </c>
      <c r="AD257" s="196">
        <f t="shared" si="26"/>
        <v>0</v>
      </c>
      <c r="AE257" s="196">
        <f t="shared" si="27"/>
        <v>0</v>
      </c>
      <c r="AF257" s="2">
        <f t="shared" si="28"/>
        <v>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6" si="32">SUM(P262:AA262)</f>
        <v>0</v>
      </c>
      <c r="AD262" s="196">
        <f t="shared" ref="AD262:AD326" si="33">SUM(P262:AB262)</f>
        <v>0</v>
      </c>
      <c r="AE262" s="196">
        <f t="shared" ref="AE262:AE326" si="34">SUM(AC262-AD262)</f>
        <v>0</v>
      </c>
      <c r="AF262" s="2">
        <f t="shared" ref="AF262:AF326" si="35">+AC262</f>
        <v>0</v>
      </c>
      <c r="AG262" s="2">
        <f t="shared" ref="AG262:AG326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9" si="37">SUM(L264:M264)</f>
        <v>0</v>
      </c>
      <c r="O264" s="268">
        <f t="shared" ref="O264:O329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26551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26877</v>
      </c>
      <c r="B285" s="150"/>
      <c r="C285" s="21" t="s">
        <v>4019</v>
      </c>
      <c r="D285" s="109" t="s">
        <v>4059</v>
      </c>
      <c r="E285" s="109" t="s">
        <v>26550</v>
      </c>
      <c r="F285" s="391" t="s">
        <v>26547</v>
      </c>
      <c r="G285" s="23" t="s">
        <v>25985</v>
      </c>
      <c r="H285" s="23" t="s">
        <v>26548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5350</v>
      </c>
      <c r="P285" s="239">
        <f>10000-1600-1000-1000-50-1000</f>
        <v>5350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26549</v>
      </c>
      <c r="AC285" s="196">
        <f t="shared" si="32"/>
        <v>5350</v>
      </c>
      <c r="AD285" s="196">
        <f t="shared" si="33"/>
        <v>5350</v>
      </c>
      <c r="AE285" s="196">
        <f t="shared" si="34"/>
        <v>0</v>
      </c>
      <c r="AF285" s="2">
        <f t="shared" si="35"/>
        <v>5350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27445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 t="s">
        <v>28053</v>
      </c>
      <c r="M298" s="351" t="s">
        <v>7787</v>
      </c>
      <c r="N298" s="267">
        <f t="shared" si="37"/>
        <v>0</v>
      </c>
      <c r="O298" s="268">
        <f t="shared" si="38"/>
        <v>2700</v>
      </c>
      <c r="P298" s="239">
        <f>250-200+400-100-300+1500-500-500-500+600-500+950-1000+2300-1500-500+250+1900+150</f>
        <v>2700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28034</v>
      </c>
      <c r="AC298" s="196">
        <f t="shared" si="32"/>
        <v>2700</v>
      </c>
      <c r="AD298" s="196">
        <f t="shared" si="33"/>
        <v>2700</v>
      </c>
      <c r="AE298" s="196">
        <f t="shared" si="34"/>
        <v>0</v>
      </c>
      <c r="AF298" s="2">
        <f t="shared" si="35"/>
        <v>2700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25025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26689</v>
      </c>
      <c r="J314" s="23"/>
      <c r="K314" s="23"/>
      <c r="L314" s="375" t="s">
        <v>27930</v>
      </c>
      <c r="M314" s="351" t="s">
        <v>7787</v>
      </c>
      <c r="N314" s="267">
        <f t="shared" si="37"/>
        <v>0</v>
      </c>
      <c r="O314" s="268">
        <f t="shared" si="38"/>
        <v>50</v>
      </c>
      <c r="P314" s="239"/>
      <c r="Q314" s="239"/>
      <c r="R314" s="239"/>
      <c r="S314" s="239"/>
      <c r="T314" s="239"/>
      <c r="U314" s="240">
        <f>100-50</f>
        <v>50</v>
      </c>
      <c r="V314" s="240"/>
      <c r="W314" s="240"/>
      <c r="X314" s="278"/>
      <c r="Y314" s="237"/>
      <c r="Z314" s="237"/>
      <c r="AA314" s="279"/>
      <c r="AB314" s="238" t="s">
        <v>27927</v>
      </c>
      <c r="AC314" s="196">
        <f t="shared" si="32"/>
        <v>50</v>
      </c>
      <c r="AD314" s="196">
        <f t="shared" si="33"/>
        <v>50</v>
      </c>
      <c r="AE314" s="196">
        <f t="shared" si="34"/>
        <v>0</v>
      </c>
      <c r="AF314" s="2">
        <f t="shared" si="35"/>
        <v>50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/>
      <c r="B321" s="172"/>
      <c r="C321" s="21" t="s">
        <v>28054</v>
      </c>
      <c r="D321" s="109" t="s">
        <v>3134</v>
      </c>
      <c r="E321" s="109"/>
      <c r="F321" s="391"/>
      <c r="G321" s="23"/>
      <c r="H321" s="23"/>
      <c r="I321" s="23"/>
      <c r="J321" s="23"/>
      <c r="K321" s="23"/>
      <c r="L321" s="375">
        <v>320</v>
      </c>
      <c r="M321" s="351"/>
      <c r="N321" s="267">
        <f t="shared" ref="N321" si="41">SUM(L321:M321)</f>
        <v>320</v>
      </c>
      <c r="O321" s="268">
        <f t="shared" ref="O321" si="42">SUM(P321:Z321)</f>
        <v>0</v>
      </c>
      <c r="P321" s="239"/>
      <c r="Q321" s="239"/>
      <c r="R321" s="239"/>
      <c r="S321" s="239"/>
      <c r="T321" s="239"/>
      <c r="U321" s="240"/>
      <c r="V321" s="240"/>
      <c r="W321" s="240"/>
      <c r="X321" s="278"/>
      <c r="Y321" s="237"/>
      <c r="Z321" s="237"/>
      <c r="AA321" s="279"/>
      <c r="AB321" s="238"/>
      <c r="AC321" s="196"/>
      <c r="AD321" s="196"/>
      <c r="AE321" s="196"/>
    </row>
    <row r="322" spans="1:33">
      <c r="A322" s="20" t="s">
        <v>1158</v>
      </c>
      <c r="B322" s="150"/>
      <c r="C322" s="21" t="s">
        <v>4032</v>
      </c>
      <c r="D322" s="109" t="s">
        <v>13653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1154</v>
      </c>
      <c r="B323" s="150"/>
      <c r="C323" s="21" t="s">
        <v>4032</v>
      </c>
      <c r="D323" s="109" t="s">
        <v>13640</v>
      </c>
      <c r="E323" s="109" t="s">
        <v>13627</v>
      </c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1155</v>
      </c>
      <c r="B324" s="150"/>
      <c r="C324" s="21" t="s">
        <v>4032</v>
      </c>
      <c r="D324" s="109" t="s">
        <v>13547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1156</v>
      </c>
      <c r="B325" s="150"/>
      <c r="C325" s="21" t="s">
        <v>4032</v>
      </c>
      <c r="D325" s="109" t="s">
        <v>13551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1157</v>
      </c>
      <c r="B326" s="150"/>
      <c r="C326" s="21" t="s">
        <v>4032</v>
      </c>
      <c r="D326" s="109" t="s">
        <v>13553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si="32"/>
        <v>0</v>
      </c>
      <c r="AD326" s="196">
        <f t="shared" si="33"/>
        <v>0</v>
      </c>
      <c r="AE326" s="196">
        <f t="shared" si="34"/>
        <v>0</v>
      </c>
      <c r="AF326" s="2">
        <f t="shared" si="35"/>
        <v>0</v>
      </c>
      <c r="AG326" s="2">
        <f t="shared" si="36"/>
        <v>0</v>
      </c>
    </row>
    <row r="327" spans="1:33">
      <c r="A327" s="20" t="s">
        <v>1153</v>
      </c>
      <c r="B327" s="150"/>
      <c r="C327" s="21" t="s">
        <v>4032</v>
      </c>
      <c r="D327" s="109" t="s">
        <v>13655</v>
      </c>
      <c r="E327" s="109"/>
      <c r="F327" s="391" t="s">
        <v>13654</v>
      </c>
      <c r="G327" s="23"/>
      <c r="H327" s="23"/>
      <c r="I327" s="23"/>
      <c r="J327" s="23"/>
      <c r="K327" s="23"/>
      <c r="L327" s="350"/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ref="AC327:AC390" si="43">SUM(P327:AA327)</f>
        <v>0</v>
      </c>
      <c r="AD327" s="196">
        <f t="shared" ref="AD327:AD390" si="44">SUM(P327:AB327)</f>
        <v>0</v>
      </c>
      <c r="AE327" s="196">
        <f t="shared" ref="AE327:AE390" si="45">SUM(AC327-AD327)</f>
        <v>0</v>
      </c>
      <c r="AF327" s="2">
        <f t="shared" ref="AF327:AF390" si="46">+AC327</f>
        <v>0</v>
      </c>
      <c r="AG327" s="2">
        <f t="shared" ref="AG327:AG390" si="47">+AC327-AF327</f>
        <v>0</v>
      </c>
    </row>
    <row r="328" spans="1:33">
      <c r="A328" s="20" t="s">
        <v>19217</v>
      </c>
      <c r="B328" s="150"/>
      <c r="C328" s="21" t="s">
        <v>19561</v>
      </c>
      <c r="D328" s="109" t="s">
        <v>3134</v>
      </c>
      <c r="E328" s="109"/>
      <c r="F328" s="391" t="s">
        <v>19564</v>
      </c>
      <c r="G328" s="23" t="s">
        <v>13249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3"/>
        <v>0</v>
      </c>
      <c r="AD328" s="196">
        <f t="shared" si="44"/>
        <v>0</v>
      </c>
      <c r="AE328" s="196">
        <f t="shared" si="45"/>
        <v>0</v>
      </c>
      <c r="AF328" s="2">
        <f t="shared" si="46"/>
        <v>0</v>
      </c>
      <c r="AG328" s="2">
        <f t="shared" si="47"/>
        <v>0</v>
      </c>
    </row>
    <row r="329" spans="1:33">
      <c r="A329" s="20" t="s">
        <v>17288</v>
      </c>
      <c r="B329" s="150"/>
      <c r="C329" s="21" t="s">
        <v>17411</v>
      </c>
      <c r="D329" s="109" t="s">
        <v>17412</v>
      </c>
      <c r="E329" s="109" t="s">
        <v>17413</v>
      </c>
      <c r="F329" s="391" t="s">
        <v>17417</v>
      </c>
      <c r="G329" s="23" t="s">
        <v>17416</v>
      </c>
      <c r="H329" s="23"/>
      <c r="I329" s="23"/>
      <c r="J329" s="23"/>
      <c r="K329" s="23"/>
      <c r="L329" s="375" t="s">
        <v>7787</v>
      </c>
      <c r="M329" s="351"/>
      <c r="N329" s="267">
        <f t="shared" si="37"/>
        <v>0</v>
      </c>
      <c r="O329" s="268">
        <f t="shared" si="38"/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3"/>
        <v>0</v>
      </c>
      <c r="AD329" s="196">
        <f t="shared" si="44"/>
        <v>0</v>
      </c>
      <c r="AE329" s="196">
        <f t="shared" si="45"/>
        <v>0</v>
      </c>
      <c r="AF329" s="2">
        <f t="shared" si="46"/>
        <v>0</v>
      </c>
      <c r="AG329" s="2">
        <f t="shared" si="47"/>
        <v>0</v>
      </c>
    </row>
    <row r="330" spans="1:33">
      <c r="A330" s="20" t="s">
        <v>18517</v>
      </c>
      <c r="B330" s="150"/>
      <c r="C330" s="21" t="s">
        <v>17411</v>
      </c>
      <c r="D330" s="109" t="s">
        <v>18638</v>
      </c>
      <c r="E330" s="109"/>
      <c r="F330" s="391" t="s">
        <v>17417</v>
      </c>
      <c r="G330" s="23" t="s">
        <v>13249</v>
      </c>
      <c r="H330" s="23"/>
      <c r="I330" s="23"/>
      <c r="J330" s="23"/>
      <c r="K330" s="23"/>
      <c r="L330" s="375" t="s">
        <v>7787</v>
      </c>
      <c r="M330" s="351" t="s">
        <v>7787</v>
      </c>
      <c r="N330" s="267">
        <f t="shared" ref="N330:N394" si="48">SUM(L330:M330)</f>
        <v>0</v>
      </c>
      <c r="O330" s="268">
        <f t="shared" ref="O330:O394" si="49">SUM(P330:Z330)</f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3"/>
        <v>0</v>
      </c>
      <c r="AD330" s="196">
        <f t="shared" si="44"/>
        <v>0</v>
      </c>
      <c r="AE330" s="196">
        <f t="shared" si="45"/>
        <v>0</v>
      </c>
      <c r="AF330" s="2">
        <f t="shared" si="46"/>
        <v>0</v>
      </c>
      <c r="AG330" s="2">
        <f t="shared" si="47"/>
        <v>0</v>
      </c>
    </row>
    <row r="331" spans="1:33">
      <c r="A331" s="20" t="s">
        <v>20494</v>
      </c>
      <c r="B331" s="150"/>
      <c r="C331" s="21" t="s">
        <v>17411</v>
      </c>
      <c r="D331" s="109" t="s">
        <v>20555</v>
      </c>
      <c r="E331" s="109"/>
      <c r="F331" s="391" t="s">
        <v>17417</v>
      </c>
      <c r="G331" s="23" t="s">
        <v>20556</v>
      </c>
      <c r="H331" s="23" t="s">
        <v>13339</v>
      </c>
      <c r="I331" s="23"/>
      <c r="J331" s="23"/>
      <c r="K331" s="23"/>
      <c r="L331" s="375" t="s">
        <v>7787</v>
      </c>
      <c r="M331" s="351"/>
      <c r="N331" s="267">
        <f t="shared" si="48"/>
        <v>0</v>
      </c>
      <c r="O331" s="268">
        <f t="shared" si="49"/>
        <v>0</v>
      </c>
      <c r="P331" s="239"/>
      <c r="Q331" s="239"/>
      <c r="R331" s="239"/>
      <c r="S331" s="239"/>
      <c r="T331" s="239"/>
      <c r="U331" s="240"/>
      <c r="V331" s="240"/>
      <c r="W331" s="240"/>
      <c r="X331" s="278"/>
      <c r="Y331" s="237"/>
      <c r="Z331" s="237"/>
      <c r="AA331" s="279"/>
      <c r="AB331" s="238"/>
      <c r="AC331" s="196">
        <f t="shared" si="43"/>
        <v>0</v>
      </c>
      <c r="AD331" s="196">
        <f t="shared" si="44"/>
        <v>0</v>
      </c>
      <c r="AE331" s="196">
        <f t="shared" si="45"/>
        <v>0</v>
      </c>
      <c r="AF331" s="2">
        <f t="shared" si="46"/>
        <v>0</v>
      </c>
      <c r="AG331" s="2">
        <f t="shared" si="47"/>
        <v>0</v>
      </c>
    </row>
    <row r="332" spans="1:33">
      <c r="A332" s="20" t="s">
        <v>24921</v>
      </c>
      <c r="B332" s="150"/>
      <c r="C332" s="21" t="s">
        <v>24947</v>
      </c>
      <c r="D332" s="109" t="s">
        <v>3134</v>
      </c>
      <c r="E332" s="109"/>
      <c r="F332" s="391" t="s">
        <v>24952</v>
      </c>
      <c r="G332" s="23" t="s">
        <v>24951</v>
      </c>
      <c r="H332" s="23"/>
      <c r="I332" s="23"/>
      <c r="J332" s="23"/>
      <c r="K332" s="23"/>
      <c r="L332" s="375" t="s">
        <v>7787</v>
      </c>
      <c r="M332" s="351"/>
      <c r="N332" s="267">
        <f t="shared" ref="N332" si="50">SUM(L332:M332)</f>
        <v>0</v>
      </c>
      <c r="O332" s="268">
        <f t="shared" ref="O332" si="51">SUM(P332:Z332)</f>
        <v>100</v>
      </c>
      <c r="P332" s="239"/>
      <c r="Q332" s="239"/>
      <c r="R332" s="239"/>
      <c r="S332" s="239"/>
      <c r="T332" s="239"/>
      <c r="U332" s="240">
        <f>400-300</f>
        <v>100</v>
      </c>
      <c r="V332" s="240"/>
      <c r="W332" s="240"/>
      <c r="X332" s="278"/>
      <c r="Y332" s="237"/>
      <c r="Z332" s="237"/>
      <c r="AA332" s="279"/>
      <c r="AB332" s="238" t="s">
        <v>24953</v>
      </c>
      <c r="AC332" s="196">
        <f t="shared" si="43"/>
        <v>100</v>
      </c>
      <c r="AD332" s="196">
        <f t="shared" si="44"/>
        <v>100</v>
      </c>
      <c r="AE332" s="196">
        <f t="shared" si="45"/>
        <v>0</v>
      </c>
      <c r="AF332" s="2">
        <f t="shared" si="46"/>
        <v>100</v>
      </c>
      <c r="AG332" s="2">
        <f t="shared" si="47"/>
        <v>0</v>
      </c>
    </row>
    <row r="333" spans="1:33">
      <c r="A333" s="20" t="s">
        <v>1159</v>
      </c>
      <c r="B333" s="150"/>
      <c r="C333" s="21" t="s">
        <v>4033</v>
      </c>
      <c r="D333" s="109" t="s">
        <v>13640</v>
      </c>
      <c r="E333" s="109" t="s">
        <v>13630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8"/>
        <v>0</v>
      </c>
      <c r="O333" s="268">
        <f t="shared" si="49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3"/>
        <v>0</v>
      </c>
      <c r="AD333" s="196">
        <f t="shared" si="44"/>
        <v>0</v>
      </c>
      <c r="AE333" s="196">
        <f t="shared" si="45"/>
        <v>0</v>
      </c>
      <c r="AF333" s="2">
        <f t="shared" si="46"/>
        <v>0</v>
      </c>
      <c r="AG333" s="2">
        <f t="shared" si="47"/>
        <v>0</v>
      </c>
    </row>
    <row r="334" spans="1:33">
      <c r="A334" s="20" t="s">
        <v>1160</v>
      </c>
      <c r="B334" s="150"/>
      <c r="C334" s="21" t="s">
        <v>4033</v>
      </c>
      <c r="D334" s="109" t="s">
        <v>13640</v>
      </c>
      <c r="E334" s="109" t="s">
        <v>13627</v>
      </c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8"/>
        <v>0</v>
      </c>
      <c r="O334" s="268">
        <f t="shared" si="49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3"/>
        <v>0</v>
      </c>
      <c r="AD334" s="196">
        <f t="shared" si="44"/>
        <v>0</v>
      </c>
      <c r="AE334" s="196">
        <f t="shared" si="45"/>
        <v>0</v>
      </c>
      <c r="AF334" s="2">
        <f t="shared" si="46"/>
        <v>0</v>
      </c>
      <c r="AG334" s="2">
        <f t="shared" si="47"/>
        <v>0</v>
      </c>
    </row>
    <row r="335" spans="1:33">
      <c r="A335" s="20" t="s">
        <v>1162</v>
      </c>
      <c r="B335" s="150"/>
      <c r="C335" s="21" t="s">
        <v>4033</v>
      </c>
      <c r="D335" s="109" t="s">
        <v>13547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8"/>
        <v>0</v>
      </c>
      <c r="O335" s="268">
        <f t="shared" si="49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3"/>
        <v>0</v>
      </c>
      <c r="AD335" s="196">
        <f t="shared" si="44"/>
        <v>0</v>
      </c>
      <c r="AE335" s="196">
        <f t="shared" si="45"/>
        <v>0</v>
      </c>
      <c r="AF335" s="2">
        <f t="shared" si="46"/>
        <v>0</v>
      </c>
      <c r="AG335" s="2">
        <f t="shared" si="47"/>
        <v>0</v>
      </c>
    </row>
    <row r="336" spans="1:33">
      <c r="A336" s="20" t="s">
        <v>1161</v>
      </c>
      <c r="B336" s="150"/>
      <c r="C336" s="21" t="s">
        <v>4033</v>
      </c>
      <c r="D336" s="109" t="s">
        <v>13657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8"/>
        <v>0</v>
      </c>
      <c r="O336" s="268">
        <f t="shared" si="49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3"/>
        <v>0</v>
      </c>
      <c r="AD336" s="196">
        <f t="shared" si="44"/>
        <v>0</v>
      </c>
      <c r="AE336" s="196">
        <f t="shared" si="45"/>
        <v>0</v>
      </c>
      <c r="AF336" s="2">
        <f t="shared" si="46"/>
        <v>0</v>
      </c>
      <c r="AG336" s="2">
        <f t="shared" si="47"/>
        <v>0</v>
      </c>
    </row>
    <row r="337" spans="1:33">
      <c r="A337" s="20" t="s">
        <v>1163</v>
      </c>
      <c r="B337" s="150"/>
      <c r="C337" s="21" t="s">
        <v>4033</v>
      </c>
      <c r="D337" s="109" t="s">
        <v>13551</v>
      </c>
      <c r="E337" s="109"/>
      <c r="F337" s="391" t="s">
        <v>13656</v>
      </c>
      <c r="G337" s="23"/>
      <c r="H337" s="23"/>
      <c r="I337" s="23"/>
      <c r="J337" s="23"/>
      <c r="K337" s="23"/>
      <c r="L337" s="350"/>
      <c r="M337" s="351"/>
      <c r="N337" s="267">
        <f t="shared" si="48"/>
        <v>0</v>
      </c>
      <c r="O337" s="268">
        <f t="shared" si="49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3"/>
        <v>0</v>
      </c>
      <c r="AD337" s="196">
        <f t="shared" si="44"/>
        <v>0</v>
      </c>
      <c r="AE337" s="196">
        <f t="shared" si="45"/>
        <v>0</v>
      </c>
      <c r="AF337" s="2">
        <f t="shared" si="46"/>
        <v>0</v>
      </c>
      <c r="AG337" s="2">
        <f t="shared" si="47"/>
        <v>0</v>
      </c>
    </row>
    <row r="338" spans="1:33">
      <c r="A338" s="20" t="s">
        <v>1164</v>
      </c>
      <c r="B338" s="152" t="s">
        <v>6154</v>
      </c>
      <c r="C338" s="21" t="s">
        <v>4033</v>
      </c>
      <c r="D338" s="109" t="s">
        <v>13553</v>
      </c>
      <c r="E338" s="109" t="s">
        <v>13658</v>
      </c>
      <c r="F338" s="391" t="s">
        <v>13659</v>
      </c>
      <c r="G338" s="23" t="s">
        <v>13660</v>
      </c>
      <c r="H338" s="23"/>
      <c r="I338" s="23"/>
      <c r="J338" s="23"/>
      <c r="K338" s="23"/>
      <c r="L338" s="375" t="s">
        <v>7787</v>
      </c>
      <c r="M338" s="360" t="s">
        <v>7787</v>
      </c>
      <c r="N338" s="267">
        <f t="shared" si="48"/>
        <v>0</v>
      </c>
      <c r="O338" s="268">
        <f t="shared" si="49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3"/>
        <v>0</v>
      </c>
      <c r="AD338" s="196">
        <f t="shared" si="44"/>
        <v>0</v>
      </c>
      <c r="AE338" s="196">
        <f t="shared" si="45"/>
        <v>0</v>
      </c>
      <c r="AF338" s="2">
        <f t="shared" si="46"/>
        <v>0</v>
      </c>
      <c r="AG338" s="2">
        <f t="shared" si="47"/>
        <v>0</v>
      </c>
    </row>
    <row r="339" spans="1:33">
      <c r="A339" s="20" t="s">
        <v>1165</v>
      </c>
      <c r="B339" s="151"/>
      <c r="C339" s="21" t="s">
        <v>4033</v>
      </c>
      <c r="D339" s="109" t="s">
        <v>13553</v>
      </c>
      <c r="E339" s="109" t="s">
        <v>13661</v>
      </c>
      <c r="F339" s="391" t="s">
        <v>13659</v>
      </c>
      <c r="G339" s="23" t="s">
        <v>13660</v>
      </c>
      <c r="H339" s="23" t="s">
        <v>13642</v>
      </c>
      <c r="I339" s="23" t="s">
        <v>13662</v>
      </c>
      <c r="J339" s="23"/>
      <c r="K339" s="23"/>
      <c r="L339" s="375"/>
      <c r="M339" s="351"/>
      <c r="N339" s="267">
        <f t="shared" si="48"/>
        <v>0</v>
      </c>
      <c r="O339" s="268">
        <f t="shared" si="49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3"/>
        <v>0</v>
      </c>
      <c r="AD339" s="196">
        <f t="shared" si="44"/>
        <v>0</v>
      </c>
      <c r="AE339" s="196">
        <f t="shared" si="45"/>
        <v>0</v>
      </c>
      <c r="AF339" s="2">
        <f t="shared" si="46"/>
        <v>0</v>
      </c>
      <c r="AG339" s="2">
        <f t="shared" si="47"/>
        <v>0</v>
      </c>
    </row>
    <row r="340" spans="1:33">
      <c r="A340" s="20" t="s">
        <v>1166</v>
      </c>
      <c r="B340" s="161"/>
      <c r="C340" s="21" t="s">
        <v>4033</v>
      </c>
      <c r="D340" s="109" t="s">
        <v>13655</v>
      </c>
      <c r="E340" s="109"/>
      <c r="F340" s="391" t="s">
        <v>13656</v>
      </c>
      <c r="G340" s="23"/>
      <c r="H340" s="23"/>
      <c r="I340" s="23"/>
      <c r="J340" s="23"/>
      <c r="K340" s="23"/>
      <c r="L340" s="350"/>
      <c r="M340" s="351"/>
      <c r="N340" s="267">
        <f t="shared" si="48"/>
        <v>0</v>
      </c>
      <c r="O340" s="268">
        <f t="shared" si="49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3"/>
        <v>0</v>
      </c>
      <c r="AD340" s="196">
        <f t="shared" si="44"/>
        <v>0</v>
      </c>
      <c r="AE340" s="196">
        <f t="shared" si="45"/>
        <v>0</v>
      </c>
      <c r="AF340" s="2">
        <f t="shared" si="46"/>
        <v>0</v>
      </c>
      <c r="AG340" s="2">
        <f t="shared" si="47"/>
        <v>0</v>
      </c>
    </row>
    <row r="341" spans="1:33">
      <c r="A341" s="20" t="s">
        <v>6784</v>
      </c>
      <c r="B341" s="169" t="s">
        <v>6389</v>
      </c>
      <c r="C341" s="21" t="s">
        <v>6388</v>
      </c>
      <c r="D341" s="109" t="s">
        <v>4064</v>
      </c>
      <c r="E341" s="109"/>
      <c r="F341" s="391" t="s">
        <v>13663</v>
      </c>
      <c r="G341" s="23" t="s">
        <v>13664</v>
      </c>
      <c r="H341" s="23"/>
      <c r="I341" s="23"/>
      <c r="J341" s="23"/>
      <c r="K341" s="23"/>
      <c r="L341" s="350"/>
      <c r="M341" s="351"/>
      <c r="N341" s="267">
        <f t="shared" si="48"/>
        <v>0</v>
      </c>
      <c r="O341" s="268">
        <f t="shared" si="49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3"/>
        <v>0</v>
      </c>
      <c r="AD341" s="196">
        <f t="shared" si="44"/>
        <v>0</v>
      </c>
      <c r="AE341" s="196">
        <f t="shared" si="45"/>
        <v>0</v>
      </c>
      <c r="AF341" s="2">
        <f t="shared" si="46"/>
        <v>0</v>
      </c>
      <c r="AG341" s="2">
        <f t="shared" si="47"/>
        <v>0</v>
      </c>
    </row>
    <row r="342" spans="1:33">
      <c r="A342" s="20" t="s">
        <v>1111</v>
      </c>
      <c r="B342" s="150"/>
      <c r="C342" s="21" t="s">
        <v>4010</v>
      </c>
      <c r="D342" s="109" t="s">
        <v>13551</v>
      </c>
      <c r="E342" s="109"/>
      <c r="F342" s="391" t="s">
        <v>13665</v>
      </c>
      <c r="G342" s="23"/>
      <c r="H342" s="23"/>
      <c r="I342" s="23"/>
      <c r="J342" s="23"/>
      <c r="K342" s="23"/>
      <c r="L342" s="350"/>
      <c r="M342" s="351"/>
      <c r="N342" s="267">
        <f t="shared" si="48"/>
        <v>0</v>
      </c>
      <c r="O342" s="268">
        <f t="shared" si="49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3"/>
        <v>0</v>
      </c>
      <c r="AD342" s="196">
        <f t="shared" si="44"/>
        <v>0</v>
      </c>
      <c r="AE342" s="196">
        <f t="shared" si="45"/>
        <v>0</v>
      </c>
      <c r="AF342" s="2">
        <f t="shared" si="46"/>
        <v>0</v>
      </c>
      <c r="AG342" s="2">
        <f t="shared" si="47"/>
        <v>0</v>
      </c>
    </row>
    <row r="343" spans="1:33">
      <c r="A343" s="20" t="s">
        <v>1167</v>
      </c>
      <c r="B343" s="150"/>
      <c r="C343" s="21" t="s">
        <v>4034</v>
      </c>
      <c r="D343" s="109" t="s">
        <v>13640</v>
      </c>
      <c r="E343" s="109" t="s">
        <v>13627</v>
      </c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8"/>
        <v>0</v>
      </c>
      <c r="O343" s="268">
        <f t="shared" si="49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3"/>
        <v>0</v>
      </c>
      <c r="AD343" s="196">
        <f t="shared" si="44"/>
        <v>0</v>
      </c>
      <c r="AE343" s="196">
        <f t="shared" si="45"/>
        <v>0</v>
      </c>
      <c r="AF343" s="2">
        <f t="shared" si="46"/>
        <v>0</v>
      </c>
      <c r="AG343" s="2">
        <f t="shared" si="47"/>
        <v>0</v>
      </c>
    </row>
    <row r="344" spans="1:33">
      <c r="A344" s="20" t="s">
        <v>1169</v>
      </c>
      <c r="B344" s="150"/>
      <c r="C344" s="21" t="s">
        <v>4034</v>
      </c>
      <c r="D344" s="109" t="s">
        <v>13547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8"/>
        <v>0</v>
      </c>
      <c r="O344" s="268">
        <f t="shared" si="49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3"/>
        <v>0</v>
      </c>
      <c r="AD344" s="196">
        <f t="shared" si="44"/>
        <v>0</v>
      </c>
      <c r="AE344" s="196">
        <f t="shared" si="45"/>
        <v>0</v>
      </c>
      <c r="AF344" s="2">
        <f t="shared" si="46"/>
        <v>0</v>
      </c>
      <c r="AG344" s="2">
        <f t="shared" si="47"/>
        <v>0</v>
      </c>
    </row>
    <row r="345" spans="1:33">
      <c r="A345" s="20" t="s">
        <v>1168</v>
      </c>
      <c r="B345" s="150"/>
      <c r="C345" s="21" t="s">
        <v>4034</v>
      </c>
      <c r="D345" s="109" t="s">
        <v>13657</v>
      </c>
      <c r="E345" s="109"/>
      <c r="F345" s="391" t="s">
        <v>13666</v>
      </c>
      <c r="G345" s="23"/>
      <c r="H345" s="23"/>
      <c r="I345" s="23"/>
      <c r="J345" s="23"/>
      <c r="K345" s="23"/>
      <c r="L345" s="350"/>
      <c r="M345" s="351"/>
      <c r="N345" s="267">
        <f t="shared" si="48"/>
        <v>0</v>
      </c>
      <c r="O345" s="268">
        <f t="shared" si="49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3"/>
        <v>0</v>
      </c>
      <c r="AD345" s="196">
        <f t="shared" si="44"/>
        <v>0</v>
      </c>
      <c r="AE345" s="196">
        <f t="shared" si="45"/>
        <v>0</v>
      </c>
      <c r="AF345" s="2">
        <f t="shared" si="46"/>
        <v>0</v>
      </c>
      <c r="AG345" s="2">
        <f t="shared" si="47"/>
        <v>0</v>
      </c>
    </row>
    <row r="346" spans="1:33">
      <c r="A346" s="20" t="s">
        <v>1170</v>
      </c>
      <c r="B346" s="151" t="s">
        <v>13667</v>
      </c>
      <c r="C346" s="21" t="s">
        <v>4034</v>
      </c>
      <c r="D346" s="109" t="s">
        <v>13553</v>
      </c>
      <c r="E346" s="109"/>
      <c r="F346" s="391" t="s">
        <v>13666</v>
      </c>
      <c r="G346" s="23" t="s">
        <v>13660</v>
      </c>
      <c r="H346" s="23" t="s">
        <v>13668</v>
      </c>
      <c r="I346" s="23"/>
      <c r="J346" s="23"/>
      <c r="K346" s="23"/>
      <c r="L346" s="375" t="s">
        <v>7787</v>
      </c>
      <c r="M346" s="351" t="s">
        <v>7787</v>
      </c>
      <c r="N346" s="267">
        <f t="shared" si="48"/>
        <v>0</v>
      </c>
      <c r="O346" s="268">
        <f t="shared" si="49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3"/>
        <v>0</v>
      </c>
      <c r="AD346" s="196">
        <f t="shared" si="44"/>
        <v>0</v>
      </c>
      <c r="AE346" s="196">
        <f t="shared" si="45"/>
        <v>0</v>
      </c>
      <c r="AF346" s="2">
        <f t="shared" si="46"/>
        <v>0</v>
      </c>
      <c r="AG346" s="2">
        <f t="shared" si="47"/>
        <v>0</v>
      </c>
    </row>
    <row r="347" spans="1:33">
      <c r="A347" s="20" t="s">
        <v>1171</v>
      </c>
      <c r="B347" s="150"/>
      <c r="C347" s="21" t="s">
        <v>4034</v>
      </c>
      <c r="D347" s="109" t="s">
        <v>13655</v>
      </c>
      <c r="E347" s="109"/>
      <c r="F347" s="391" t="s">
        <v>13666</v>
      </c>
      <c r="G347" s="23"/>
      <c r="H347" s="23"/>
      <c r="I347" s="23"/>
      <c r="J347" s="23"/>
      <c r="K347" s="23"/>
      <c r="L347" s="350"/>
      <c r="M347" s="351"/>
      <c r="N347" s="267">
        <f t="shared" si="48"/>
        <v>0</v>
      </c>
      <c r="O347" s="268">
        <f t="shared" si="49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3"/>
        <v>0</v>
      </c>
      <c r="AD347" s="196">
        <f t="shared" si="44"/>
        <v>0</v>
      </c>
      <c r="AE347" s="196">
        <f t="shared" si="45"/>
        <v>0</v>
      </c>
      <c r="AF347" s="2">
        <f t="shared" si="46"/>
        <v>0</v>
      </c>
      <c r="AG347" s="2">
        <f t="shared" si="47"/>
        <v>0</v>
      </c>
    </row>
    <row r="348" spans="1:33">
      <c r="A348" s="20" t="s">
        <v>1172</v>
      </c>
      <c r="B348" s="150"/>
      <c r="C348" s="21" t="s">
        <v>4035</v>
      </c>
      <c r="D348" s="109" t="s">
        <v>13640</v>
      </c>
      <c r="E348" s="109" t="s">
        <v>13627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8"/>
        <v>0</v>
      </c>
      <c r="O348" s="268">
        <f t="shared" si="49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3"/>
        <v>0</v>
      </c>
      <c r="AD348" s="196">
        <f t="shared" si="44"/>
        <v>0</v>
      </c>
      <c r="AE348" s="196">
        <f t="shared" si="45"/>
        <v>0</v>
      </c>
      <c r="AF348" s="2">
        <f t="shared" si="46"/>
        <v>0</v>
      </c>
      <c r="AG348" s="2">
        <f t="shared" si="47"/>
        <v>0</v>
      </c>
    </row>
    <row r="349" spans="1:33">
      <c r="A349" s="20" t="s">
        <v>10599</v>
      </c>
      <c r="B349" s="150"/>
      <c r="C349" s="21" t="s">
        <v>4035</v>
      </c>
      <c r="D349" s="109" t="s">
        <v>13640</v>
      </c>
      <c r="E349" s="109" t="s">
        <v>13671</v>
      </c>
      <c r="F349" s="391" t="s">
        <v>13669</v>
      </c>
      <c r="G349" s="23" t="s">
        <v>13670</v>
      </c>
      <c r="H349" s="23"/>
      <c r="I349" s="23"/>
      <c r="J349" s="23"/>
      <c r="K349" s="23"/>
      <c r="L349" s="375" t="s">
        <v>7787</v>
      </c>
      <c r="M349" s="358"/>
      <c r="N349" s="267">
        <f t="shared" si="48"/>
        <v>0</v>
      </c>
      <c r="O349" s="268">
        <f t="shared" si="49"/>
        <v>0</v>
      </c>
      <c r="P349" s="239"/>
      <c r="Q349" s="239"/>
      <c r="R349" s="239"/>
      <c r="S349" s="239"/>
      <c r="T349" s="239"/>
      <c r="U349" s="240"/>
      <c r="V349" s="240"/>
      <c r="W349" s="240"/>
      <c r="X349" s="278"/>
      <c r="Y349" s="237"/>
      <c r="Z349" s="237"/>
      <c r="AA349" s="279"/>
      <c r="AB349" s="238"/>
      <c r="AC349" s="196">
        <f t="shared" si="43"/>
        <v>0</v>
      </c>
      <c r="AD349" s="196">
        <f t="shared" si="44"/>
        <v>0</v>
      </c>
      <c r="AE349" s="196">
        <f t="shared" si="45"/>
        <v>0</v>
      </c>
      <c r="AF349" s="2">
        <f t="shared" si="46"/>
        <v>0</v>
      </c>
      <c r="AG349" s="2">
        <f t="shared" si="47"/>
        <v>0</v>
      </c>
    </row>
    <row r="350" spans="1:33">
      <c r="A350" s="20" t="s">
        <v>1175</v>
      </c>
      <c r="B350" s="151" t="s">
        <v>6155</v>
      </c>
      <c r="C350" s="21" t="s">
        <v>4035</v>
      </c>
      <c r="D350" s="109" t="s">
        <v>13672</v>
      </c>
      <c r="E350" s="109" t="s">
        <v>13658</v>
      </c>
      <c r="F350" s="391" t="s">
        <v>13669</v>
      </c>
      <c r="G350" s="23" t="s">
        <v>13670</v>
      </c>
      <c r="H350" s="23" t="s">
        <v>13673</v>
      </c>
      <c r="I350" s="23" t="s">
        <v>13674</v>
      </c>
      <c r="J350" s="23" t="s">
        <v>13675</v>
      </c>
      <c r="K350" s="23"/>
      <c r="L350" s="375" t="s">
        <v>27989</v>
      </c>
      <c r="M350" s="351" t="s">
        <v>45</v>
      </c>
      <c r="N350" s="267">
        <f t="shared" si="48"/>
        <v>0</v>
      </c>
      <c r="O350" s="268">
        <f t="shared" si="49"/>
        <v>800</v>
      </c>
      <c r="P350" s="241">
        <f>1200-400</f>
        <v>800</v>
      </c>
      <c r="Q350" s="241"/>
      <c r="R350" s="241"/>
      <c r="S350" s="241"/>
      <c r="T350" s="241"/>
      <c r="U350" s="240"/>
      <c r="V350" s="240"/>
      <c r="W350" s="240"/>
      <c r="X350" s="278"/>
      <c r="Y350" s="241"/>
      <c r="Z350" s="237"/>
      <c r="AA350" s="279"/>
      <c r="AB350" s="238" t="s">
        <v>27993</v>
      </c>
      <c r="AC350" s="196">
        <f t="shared" si="43"/>
        <v>800</v>
      </c>
      <c r="AD350" s="196">
        <f t="shared" si="44"/>
        <v>800</v>
      </c>
      <c r="AE350" s="196">
        <f t="shared" si="45"/>
        <v>0</v>
      </c>
      <c r="AF350" s="2">
        <f t="shared" si="46"/>
        <v>800</v>
      </c>
      <c r="AG350" s="2">
        <f t="shared" si="47"/>
        <v>0</v>
      </c>
    </row>
    <row r="351" spans="1:33">
      <c r="A351" s="20" t="s">
        <v>1176</v>
      </c>
      <c r="B351" s="156"/>
      <c r="C351" s="21" t="s">
        <v>4035</v>
      </c>
      <c r="D351" s="109" t="s">
        <v>4068</v>
      </c>
      <c r="E351" s="109" t="s">
        <v>13661</v>
      </c>
      <c r="F351" s="391" t="s">
        <v>4196</v>
      </c>
      <c r="G351" s="23" t="s">
        <v>13670</v>
      </c>
      <c r="H351" s="23" t="s">
        <v>13673</v>
      </c>
      <c r="I351" s="23"/>
      <c r="J351" s="23"/>
      <c r="K351" s="23"/>
      <c r="L351" s="375" t="s">
        <v>7787</v>
      </c>
      <c r="M351" s="351" t="s">
        <v>7787</v>
      </c>
      <c r="N351" s="267">
        <f t="shared" si="48"/>
        <v>0</v>
      </c>
      <c r="O351" s="268">
        <f t="shared" si="49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3"/>
        <v>0</v>
      </c>
      <c r="AD351" s="196">
        <f t="shared" si="44"/>
        <v>0</v>
      </c>
      <c r="AE351" s="196">
        <f t="shared" si="45"/>
        <v>0</v>
      </c>
      <c r="AF351" s="2">
        <f t="shared" si="46"/>
        <v>0</v>
      </c>
      <c r="AG351" s="2">
        <f t="shared" si="47"/>
        <v>0</v>
      </c>
    </row>
    <row r="352" spans="1:33">
      <c r="A352" s="20" t="s">
        <v>1174</v>
      </c>
      <c r="B352" s="161"/>
      <c r="C352" s="21" t="s">
        <v>4035</v>
      </c>
      <c r="D352" s="109" t="s">
        <v>13551</v>
      </c>
      <c r="E352" s="109"/>
      <c r="F352" s="391" t="s">
        <v>13669</v>
      </c>
      <c r="G352" s="23" t="s">
        <v>13676</v>
      </c>
      <c r="H352" s="23"/>
      <c r="I352" s="23"/>
      <c r="J352" s="23"/>
      <c r="K352" s="23"/>
      <c r="L352" s="350"/>
      <c r="M352" s="351"/>
      <c r="N352" s="267">
        <f t="shared" si="48"/>
        <v>0</v>
      </c>
      <c r="O352" s="268">
        <f t="shared" si="49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3"/>
        <v>0</v>
      </c>
      <c r="AD352" s="196">
        <f t="shared" si="44"/>
        <v>0</v>
      </c>
      <c r="AE352" s="196">
        <f t="shared" si="45"/>
        <v>0</v>
      </c>
      <c r="AF352" s="2">
        <f t="shared" si="46"/>
        <v>0</v>
      </c>
      <c r="AG352" s="2">
        <f t="shared" si="47"/>
        <v>0</v>
      </c>
    </row>
    <row r="353" spans="1:33">
      <c r="A353" s="20" t="s">
        <v>1177</v>
      </c>
      <c r="B353" s="161"/>
      <c r="C353" s="21" t="s">
        <v>4035</v>
      </c>
      <c r="D353" s="109" t="s">
        <v>13655</v>
      </c>
      <c r="E353" s="109"/>
      <c r="F353" s="391" t="s">
        <v>13669</v>
      </c>
      <c r="G353" s="23"/>
      <c r="H353" s="23"/>
      <c r="I353" s="23"/>
      <c r="J353" s="23"/>
      <c r="K353" s="23"/>
      <c r="L353" s="350"/>
      <c r="M353" s="351"/>
      <c r="N353" s="267">
        <f t="shared" si="48"/>
        <v>0</v>
      </c>
      <c r="O353" s="268">
        <f t="shared" si="49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3"/>
        <v>0</v>
      </c>
      <c r="AD353" s="196">
        <f t="shared" si="44"/>
        <v>0</v>
      </c>
      <c r="AE353" s="196">
        <f t="shared" si="45"/>
        <v>0</v>
      </c>
      <c r="AF353" s="2">
        <f t="shared" si="46"/>
        <v>0</v>
      </c>
      <c r="AG353" s="2">
        <f t="shared" si="47"/>
        <v>0</v>
      </c>
    </row>
    <row r="354" spans="1:33">
      <c r="A354" s="20" t="s">
        <v>1173</v>
      </c>
      <c r="B354" s="150"/>
      <c r="C354" s="21" t="s">
        <v>4035</v>
      </c>
      <c r="D354" s="109" t="s">
        <v>13677</v>
      </c>
      <c r="E354" s="109" t="s">
        <v>13627</v>
      </c>
      <c r="F354" s="391" t="s">
        <v>13678</v>
      </c>
      <c r="G354" s="23" t="s">
        <v>13679</v>
      </c>
      <c r="H354" s="23"/>
      <c r="I354" s="23"/>
      <c r="J354" s="23"/>
      <c r="K354" s="23"/>
      <c r="L354" s="350"/>
      <c r="M354" s="357"/>
      <c r="N354" s="267">
        <f t="shared" si="48"/>
        <v>0</v>
      </c>
      <c r="O354" s="268">
        <f t="shared" si="49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3"/>
        <v>0</v>
      </c>
      <c r="AD354" s="196">
        <f t="shared" si="44"/>
        <v>0</v>
      </c>
      <c r="AE354" s="196">
        <f t="shared" si="45"/>
        <v>0</v>
      </c>
      <c r="AF354" s="2">
        <f t="shared" si="46"/>
        <v>0</v>
      </c>
      <c r="AG354" s="2">
        <f t="shared" si="47"/>
        <v>0</v>
      </c>
    </row>
    <row r="355" spans="1:33">
      <c r="A355" s="20" t="s">
        <v>1178</v>
      </c>
      <c r="B355" s="150"/>
      <c r="C355" s="21" t="s">
        <v>4036</v>
      </c>
      <c r="D355" s="109" t="s">
        <v>13640</v>
      </c>
      <c r="E355" s="109" t="s">
        <v>13630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8"/>
        <v>0</v>
      </c>
      <c r="O355" s="268">
        <f t="shared" si="49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3"/>
        <v>0</v>
      </c>
      <c r="AD355" s="196">
        <f t="shared" si="44"/>
        <v>0</v>
      </c>
      <c r="AE355" s="196">
        <f t="shared" si="45"/>
        <v>0</v>
      </c>
      <c r="AF355" s="2">
        <f t="shared" si="46"/>
        <v>0</v>
      </c>
      <c r="AG355" s="2">
        <f t="shared" si="47"/>
        <v>0</v>
      </c>
    </row>
    <row r="356" spans="1:33">
      <c r="A356" s="20" t="s">
        <v>1179</v>
      </c>
      <c r="B356" s="150"/>
      <c r="C356" s="21" t="s">
        <v>4036</v>
      </c>
      <c r="D356" s="109" t="s">
        <v>13640</v>
      </c>
      <c r="E356" s="109" t="s">
        <v>13627</v>
      </c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8"/>
        <v>0</v>
      </c>
      <c r="O356" s="268">
        <f t="shared" si="49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3"/>
        <v>0</v>
      </c>
      <c r="AD356" s="196">
        <f t="shared" si="44"/>
        <v>0</v>
      </c>
      <c r="AE356" s="196">
        <f t="shared" si="45"/>
        <v>0</v>
      </c>
      <c r="AF356" s="2">
        <f t="shared" si="46"/>
        <v>0</v>
      </c>
      <c r="AG356" s="2">
        <f t="shared" si="47"/>
        <v>0</v>
      </c>
    </row>
    <row r="357" spans="1:33">
      <c r="A357" s="20" t="s">
        <v>1180</v>
      </c>
      <c r="B357" s="150"/>
      <c r="C357" s="21" t="s">
        <v>4036</v>
      </c>
      <c r="D357" s="109" t="s">
        <v>13547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8"/>
        <v>0</v>
      </c>
      <c r="O357" s="268">
        <f t="shared" si="49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3"/>
        <v>0</v>
      </c>
      <c r="AD357" s="196">
        <f t="shared" si="44"/>
        <v>0</v>
      </c>
      <c r="AE357" s="196">
        <f t="shared" si="45"/>
        <v>0</v>
      </c>
      <c r="AF357" s="2">
        <f t="shared" si="46"/>
        <v>0</v>
      </c>
      <c r="AG357" s="2">
        <f t="shared" si="47"/>
        <v>0</v>
      </c>
    </row>
    <row r="358" spans="1:33">
      <c r="A358" s="20" t="s">
        <v>1181</v>
      </c>
      <c r="B358" s="150"/>
      <c r="C358" s="21" t="s">
        <v>4036</v>
      </c>
      <c r="D358" s="109" t="s">
        <v>13553</v>
      </c>
      <c r="E358" s="109"/>
      <c r="F358" s="391" t="s">
        <v>13680</v>
      </c>
      <c r="G358" s="23"/>
      <c r="H358" s="23"/>
      <c r="I358" s="23"/>
      <c r="J358" s="23"/>
      <c r="K358" s="23"/>
      <c r="L358" s="350"/>
      <c r="M358" s="351"/>
      <c r="N358" s="267">
        <f t="shared" si="48"/>
        <v>0</v>
      </c>
      <c r="O358" s="268">
        <f t="shared" si="49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3"/>
        <v>0</v>
      </c>
      <c r="AD358" s="196">
        <f t="shared" si="44"/>
        <v>0</v>
      </c>
      <c r="AE358" s="196">
        <f t="shared" si="45"/>
        <v>0</v>
      </c>
      <c r="AF358" s="2">
        <f t="shared" si="46"/>
        <v>0</v>
      </c>
      <c r="AG358" s="2">
        <f t="shared" si="47"/>
        <v>0</v>
      </c>
    </row>
    <row r="359" spans="1:33">
      <c r="A359" s="20" t="s">
        <v>1209</v>
      </c>
      <c r="B359" s="150"/>
      <c r="C359" s="21" t="s">
        <v>724</v>
      </c>
      <c r="D359" s="109" t="s">
        <v>13551</v>
      </c>
      <c r="E359" s="109"/>
      <c r="F359" s="391" t="s">
        <v>13681</v>
      </c>
      <c r="G359" s="23" t="s">
        <v>13682</v>
      </c>
      <c r="H359" s="23"/>
      <c r="I359" s="23"/>
      <c r="J359" s="23"/>
      <c r="K359" s="23"/>
      <c r="L359" s="350"/>
      <c r="M359" s="351"/>
      <c r="N359" s="267">
        <f t="shared" si="48"/>
        <v>0</v>
      </c>
      <c r="O359" s="268">
        <f t="shared" si="49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3"/>
        <v>0</v>
      </c>
      <c r="AD359" s="196">
        <f t="shared" si="44"/>
        <v>0</v>
      </c>
      <c r="AE359" s="196">
        <f t="shared" si="45"/>
        <v>0</v>
      </c>
      <c r="AF359" s="2">
        <f t="shared" si="46"/>
        <v>0</v>
      </c>
      <c r="AG359" s="2">
        <f t="shared" si="47"/>
        <v>0</v>
      </c>
    </row>
    <row r="360" spans="1:33">
      <c r="A360" s="20" t="s">
        <v>1183</v>
      </c>
      <c r="B360" s="150"/>
      <c r="C360" s="21" t="s">
        <v>4037</v>
      </c>
      <c r="D360" s="109" t="s">
        <v>13640</v>
      </c>
      <c r="E360" s="109" t="s">
        <v>13630</v>
      </c>
      <c r="F360" s="391" t="s">
        <v>13683</v>
      </c>
      <c r="G360" s="23"/>
      <c r="H360" s="23"/>
      <c r="I360" s="23"/>
      <c r="J360" s="23"/>
      <c r="K360" s="23"/>
      <c r="L360" s="350"/>
      <c r="M360" s="351"/>
      <c r="N360" s="267">
        <f t="shared" si="48"/>
        <v>0</v>
      </c>
      <c r="O360" s="268">
        <f t="shared" si="49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3"/>
        <v>0</v>
      </c>
      <c r="AD360" s="196">
        <f t="shared" si="44"/>
        <v>0</v>
      </c>
      <c r="AE360" s="196">
        <f t="shared" si="45"/>
        <v>0</v>
      </c>
      <c r="AF360" s="2">
        <f t="shared" si="46"/>
        <v>0</v>
      </c>
      <c r="AG360" s="2">
        <f t="shared" si="47"/>
        <v>0</v>
      </c>
    </row>
    <row r="361" spans="1:33">
      <c r="A361" s="20" t="s">
        <v>1182</v>
      </c>
      <c r="B361" s="161"/>
      <c r="C361" s="21" t="s">
        <v>4037</v>
      </c>
      <c r="D361" s="109" t="s">
        <v>13640</v>
      </c>
      <c r="E361" s="109" t="s">
        <v>13627</v>
      </c>
      <c r="F361" s="391" t="s">
        <v>13683</v>
      </c>
      <c r="G361" s="23" t="s">
        <v>13642</v>
      </c>
      <c r="H361" s="23"/>
      <c r="I361" s="23"/>
      <c r="J361" s="23"/>
      <c r="K361" s="23"/>
      <c r="L361" s="350"/>
      <c r="M361" s="351"/>
      <c r="N361" s="267">
        <f t="shared" si="48"/>
        <v>0</v>
      </c>
      <c r="O361" s="268">
        <f t="shared" si="49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7"/>
      <c r="Z361" s="237"/>
      <c r="AA361" s="279"/>
      <c r="AB361" s="238"/>
      <c r="AC361" s="196">
        <f t="shared" si="43"/>
        <v>0</v>
      </c>
      <c r="AD361" s="196">
        <f t="shared" si="44"/>
        <v>0</v>
      </c>
      <c r="AE361" s="196">
        <f t="shared" si="45"/>
        <v>0</v>
      </c>
      <c r="AF361" s="2">
        <f t="shared" si="46"/>
        <v>0</v>
      </c>
      <c r="AG361" s="2">
        <f t="shared" si="47"/>
        <v>0</v>
      </c>
    </row>
    <row r="362" spans="1:33">
      <c r="A362" s="20" t="s">
        <v>1184</v>
      </c>
      <c r="B362" s="151"/>
      <c r="C362" s="21" t="s">
        <v>4037</v>
      </c>
      <c r="D362" s="109" t="s">
        <v>13553</v>
      </c>
      <c r="E362" s="109" t="s">
        <v>13658</v>
      </c>
      <c r="F362" s="391" t="s">
        <v>13683</v>
      </c>
      <c r="G362" s="23" t="s">
        <v>13660</v>
      </c>
      <c r="H362" s="23"/>
      <c r="I362" s="23"/>
      <c r="J362" s="23"/>
      <c r="K362" s="23"/>
      <c r="L362" s="375" t="s">
        <v>7787</v>
      </c>
      <c r="M362" s="351" t="s">
        <v>7787</v>
      </c>
      <c r="N362" s="267">
        <f t="shared" si="48"/>
        <v>0</v>
      </c>
      <c r="O362" s="268">
        <f t="shared" si="49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9"/>
      <c r="Z362" s="237"/>
      <c r="AA362" s="279"/>
      <c r="AB362" s="238"/>
      <c r="AC362" s="196">
        <f t="shared" si="43"/>
        <v>0</v>
      </c>
      <c r="AD362" s="196">
        <f t="shared" si="44"/>
        <v>0</v>
      </c>
      <c r="AE362" s="196">
        <f t="shared" si="45"/>
        <v>0</v>
      </c>
      <c r="AF362" s="2">
        <f t="shared" si="46"/>
        <v>0</v>
      </c>
      <c r="AG362" s="2">
        <f t="shared" si="47"/>
        <v>0</v>
      </c>
    </row>
    <row r="363" spans="1:33">
      <c r="A363" s="20" t="s">
        <v>1185</v>
      </c>
      <c r="B363" s="156"/>
      <c r="C363" s="21" t="s">
        <v>4037</v>
      </c>
      <c r="D363" s="109" t="s">
        <v>13553</v>
      </c>
      <c r="E363" s="109" t="s">
        <v>13661</v>
      </c>
      <c r="F363" s="391" t="s">
        <v>13683</v>
      </c>
      <c r="G363" s="23" t="s">
        <v>13660</v>
      </c>
      <c r="H363" s="23" t="s">
        <v>13642</v>
      </c>
      <c r="I363" s="23"/>
      <c r="J363" s="23"/>
      <c r="K363" s="23"/>
      <c r="L363" s="375" t="s">
        <v>7787</v>
      </c>
      <c r="M363" s="351" t="s">
        <v>7787</v>
      </c>
      <c r="N363" s="267">
        <f t="shared" si="48"/>
        <v>0</v>
      </c>
      <c r="O363" s="268">
        <f t="shared" si="49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3"/>
        <v>0</v>
      </c>
      <c r="AD363" s="196">
        <f t="shared" si="44"/>
        <v>0</v>
      </c>
      <c r="AE363" s="196">
        <f t="shared" si="45"/>
        <v>0</v>
      </c>
      <c r="AF363" s="2">
        <f t="shared" si="46"/>
        <v>0</v>
      </c>
      <c r="AG363" s="2">
        <f t="shared" si="47"/>
        <v>0</v>
      </c>
    </row>
    <row r="364" spans="1:33">
      <c r="A364" s="20" t="s">
        <v>1186</v>
      </c>
      <c r="B364" s="150"/>
      <c r="C364" s="21" t="s">
        <v>4037</v>
      </c>
      <c r="D364" s="109" t="s">
        <v>13655</v>
      </c>
      <c r="E364" s="109"/>
      <c r="F364" s="391" t="s">
        <v>13683</v>
      </c>
      <c r="G364" s="23"/>
      <c r="H364" s="23"/>
      <c r="I364" s="23"/>
      <c r="J364" s="23"/>
      <c r="K364" s="23"/>
      <c r="L364" s="350"/>
      <c r="M364" s="351"/>
      <c r="N364" s="267">
        <f t="shared" si="48"/>
        <v>0</v>
      </c>
      <c r="O364" s="268">
        <f t="shared" si="49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3"/>
        <v>0</v>
      </c>
      <c r="AD364" s="196">
        <f t="shared" si="44"/>
        <v>0</v>
      </c>
      <c r="AE364" s="196">
        <f t="shared" si="45"/>
        <v>0</v>
      </c>
      <c r="AF364" s="2">
        <f t="shared" si="46"/>
        <v>0</v>
      </c>
      <c r="AG364" s="2">
        <f t="shared" si="47"/>
        <v>0</v>
      </c>
    </row>
    <row r="365" spans="1:33">
      <c r="A365" s="20" t="s">
        <v>1188</v>
      </c>
      <c r="B365" s="150"/>
      <c r="C365" s="21" t="s">
        <v>4038</v>
      </c>
      <c r="D365" s="109" t="s">
        <v>13640</v>
      </c>
      <c r="E365" s="109" t="s">
        <v>13630</v>
      </c>
      <c r="F365" s="391" t="s">
        <v>13684</v>
      </c>
      <c r="G365" s="23"/>
      <c r="H365" s="23"/>
      <c r="I365" s="23"/>
      <c r="J365" s="23"/>
      <c r="K365" s="23"/>
      <c r="L365" s="350"/>
      <c r="M365" s="351"/>
      <c r="N365" s="267">
        <f t="shared" si="48"/>
        <v>0</v>
      </c>
      <c r="O365" s="268">
        <f t="shared" si="49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3"/>
        <v>0</v>
      </c>
      <c r="AD365" s="196">
        <f t="shared" si="44"/>
        <v>0</v>
      </c>
      <c r="AE365" s="196">
        <f t="shared" si="45"/>
        <v>0</v>
      </c>
      <c r="AF365" s="2">
        <f t="shared" si="46"/>
        <v>0</v>
      </c>
      <c r="AG365" s="2">
        <f t="shared" si="47"/>
        <v>0</v>
      </c>
    </row>
    <row r="366" spans="1:33">
      <c r="A366" s="20" t="s">
        <v>1187</v>
      </c>
      <c r="B366" s="152" t="s">
        <v>13685</v>
      </c>
      <c r="C366" s="21" t="s">
        <v>4038</v>
      </c>
      <c r="D366" s="109" t="s">
        <v>13640</v>
      </c>
      <c r="E366" s="109" t="s">
        <v>13627</v>
      </c>
      <c r="F366" s="391" t="s">
        <v>13684</v>
      </c>
      <c r="G366" s="23"/>
      <c r="H366" s="23"/>
      <c r="I366" s="23"/>
      <c r="J366" s="23"/>
      <c r="K366" s="23"/>
      <c r="L366" s="375" t="s">
        <v>7787</v>
      </c>
      <c r="M366" s="351"/>
      <c r="N366" s="267">
        <f t="shared" si="48"/>
        <v>0</v>
      </c>
      <c r="O366" s="268">
        <f t="shared" si="49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3"/>
        <v>0</v>
      </c>
      <c r="AD366" s="196">
        <f t="shared" si="44"/>
        <v>0</v>
      </c>
      <c r="AE366" s="196">
        <f t="shared" si="45"/>
        <v>0</v>
      </c>
      <c r="AF366" s="2">
        <f t="shared" si="46"/>
        <v>0</v>
      </c>
      <c r="AG366" s="2">
        <f t="shared" si="47"/>
        <v>0</v>
      </c>
    </row>
    <row r="367" spans="1:33">
      <c r="A367" s="20" t="s">
        <v>10747</v>
      </c>
      <c r="B367" s="152"/>
      <c r="C367" s="21" t="s">
        <v>4038</v>
      </c>
      <c r="D367" s="109" t="s">
        <v>13640</v>
      </c>
      <c r="E367" s="109" t="s">
        <v>13671</v>
      </c>
      <c r="F367" s="391" t="s">
        <v>13684</v>
      </c>
      <c r="G367" s="23" t="s">
        <v>13670</v>
      </c>
      <c r="H367" s="23"/>
      <c r="I367" s="23"/>
      <c r="J367" s="23"/>
      <c r="K367" s="23"/>
      <c r="L367" s="375" t="s">
        <v>7787</v>
      </c>
      <c r="M367" s="351"/>
      <c r="N367" s="267">
        <f t="shared" si="48"/>
        <v>0</v>
      </c>
      <c r="O367" s="268">
        <f t="shared" si="49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3"/>
        <v>0</v>
      </c>
      <c r="AD367" s="196">
        <f t="shared" si="44"/>
        <v>0</v>
      </c>
      <c r="AE367" s="196">
        <f t="shared" si="45"/>
        <v>0</v>
      </c>
      <c r="AF367" s="2">
        <f t="shared" si="46"/>
        <v>0</v>
      </c>
      <c r="AG367" s="2">
        <f t="shared" si="47"/>
        <v>0</v>
      </c>
    </row>
    <row r="368" spans="1:33">
      <c r="A368" s="20" t="s">
        <v>1189</v>
      </c>
      <c r="B368" s="161"/>
      <c r="C368" s="21" t="s">
        <v>4038</v>
      </c>
      <c r="D368" s="109" t="s">
        <v>13551</v>
      </c>
      <c r="E368" s="109"/>
      <c r="F368" s="391" t="s">
        <v>13684</v>
      </c>
      <c r="G368" s="23"/>
      <c r="H368" s="23"/>
      <c r="I368" s="23"/>
      <c r="J368" s="23"/>
      <c r="K368" s="23"/>
      <c r="L368" s="350"/>
      <c r="M368" s="351"/>
      <c r="N368" s="267">
        <f t="shared" si="48"/>
        <v>0</v>
      </c>
      <c r="O368" s="268">
        <f t="shared" si="49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3"/>
        <v>0</v>
      </c>
      <c r="AD368" s="196">
        <f t="shared" si="44"/>
        <v>0</v>
      </c>
      <c r="AE368" s="196">
        <f t="shared" si="45"/>
        <v>0</v>
      </c>
      <c r="AF368" s="2">
        <f t="shared" si="46"/>
        <v>0</v>
      </c>
      <c r="AG368" s="2">
        <f t="shared" si="47"/>
        <v>0</v>
      </c>
    </row>
    <row r="369" spans="1:33">
      <c r="A369" s="20" t="s">
        <v>1190</v>
      </c>
      <c r="B369" s="151"/>
      <c r="C369" s="21" t="s">
        <v>4038</v>
      </c>
      <c r="D369" s="109" t="s">
        <v>13553</v>
      </c>
      <c r="E369" s="109" t="s">
        <v>13658</v>
      </c>
      <c r="F369" s="391" t="s">
        <v>13684</v>
      </c>
      <c r="G369" s="23" t="s">
        <v>13660</v>
      </c>
      <c r="H369" s="23"/>
      <c r="I369" s="23"/>
      <c r="J369" s="23"/>
      <c r="K369" s="23"/>
      <c r="L369" s="350"/>
      <c r="M369" s="351"/>
      <c r="N369" s="267">
        <f t="shared" si="48"/>
        <v>0</v>
      </c>
      <c r="O369" s="268">
        <f t="shared" si="49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3"/>
        <v>0</v>
      </c>
      <c r="AD369" s="196">
        <f t="shared" si="44"/>
        <v>0</v>
      </c>
      <c r="AE369" s="196">
        <f t="shared" si="45"/>
        <v>0</v>
      </c>
      <c r="AF369" s="2">
        <f t="shared" si="46"/>
        <v>0</v>
      </c>
      <c r="AG369" s="2">
        <f t="shared" si="47"/>
        <v>0</v>
      </c>
    </row>
    <row r="370" spans="1:33">
      <c r="A370" s="20" t="s">
        <v>1191</v>
      </c>
      <c r="B370" s="156"/>
      <c r="C370" s="21" t="s">
        <v>4038</v>
      </c>
      <c r="D370" s="109" t="s">
        <v>13553</v>
      </c>
      <c r="E370" s="109" t="s">
        <v>13661</v>
      </c>
      <c r="F370" s="391" t="s">
        <v>13686</v>
      </c>
      <c r="G370" s="23" t="s">
        <v>13642</v>
      </c>
      <c r="H370" s="23" t="s">
        <v>13660</v>
      </c>
      <c r="I370" s="23"/>
      <c r="J370" s="23"/>
      <c r="K370" s="23"/>
      <c r="L370" s="350"/>
      <c r="M370" s="351"/>
      <c r="N370" s="267">
        <f t="shared" si="48"/>
        <v>0</v>
      </c>
      <c r="O370" s="268">
        <f t="shared" si="49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3"/>
        <v>0</v>
      </c>
      <c r="AD370" s="196">
        <f t="shared" si="44"/>
        <v>0</v>
      </c>
      <c r="AE370" s="196">
        <f t="shared" si="45"/>
        <v>0</v>
      </c>
      <c r="AF370" s="2">
        <f t="shared" si="46"/>
        <v>0</v>
      </c>
      <c r="AG370" s="2">
        <f t="shared" si="47"/>
        <v>0</v>
      </c>
    </row>
    <row r="371" spans="1:33">
      <c r="A371" s="20" t="s">
        <v>1192</v>
      </c>
      <c r="B371" s="150"/>
      <c r="C371" s="21" t="s">
        <v>4038</v>
      </c>
      <c r="D371" s="109" t="s">
        <v>13655</v>
      </c>
      <c r="E371" s="109"/>
      <c r="F371" s="391" t="s">
        <v>13684</v>
      </c>
      <c r="G371" s="23"/>
      <c r="H371" s="23"/>
      <c r="I371" s="23"/>
      <c r="J371" s="23"/>
      <c r="K371" s="23"/>
      <c r="L371" s="350"/>
      <c r="M371" s="351"/>
      <c r="N371" s="267">
        <f t="shared" si="48"/>
        <v>0</v>
      </c>
      <c r="O371" s="268">
        <f t="shared" si="49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3"/>
        <v>0</v>
      </c>
      <c r="AD371" s="196">
        <f t="shared" si="44"/>
        <v>0</v>
      </c>
      <c r="AE371" s="196">
        <f t="shared" si="45"/>
        <v>0</v>
      </c>
      <c r="AF371" s="2">
        <f t="shared" si="46"/>
        <v>0</v>
      </c>
      <c r="AG371" s="2">
        <f t="shared" si="47"/>
        <v>0</v>
      </c>
    </row>
    <row r="372" spans="1:33">
      <c r="A372" s="20" t="s">
        <v>1193</v>
      </c>
      <c r="B372" s="150"/>
      <c r="C372" s="21" t="s">
        <v>4039</v>
      </c>
      <c r="D372" s="109" t="s">
        <v>13551</v>
      </c>
      <c r="E372" s="109"/>
      <c r="F372" s="391" t="s">
        <v>13687</v>
      </c>
      <c r="G372" s="23"/>
      <c r="H372" s="23"/>
      <c r="I372" s="23"/>
      <c r="J372" s="23"/>
      <c r="K372" s="23"/>
      <c r="L372" s="375" t="s">
        <v>7787</v>
      </c>
      <c r="M372" s="351"/>
      <c r="N372" s="267">
        <f t="shared" si="48"/>
        <v>0</v>
      </c>
      <c r="O372" s="268">
        <f t="shared" si="49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79"/>
      <c r="AB372" s="238"/>
      <c r="AC372" s="196">
        <f t="shared" si="43"/>
        <v>0</v>
      </c>
      <c r="AD372" s="196">
        <f t="shared" si="44"/>
        <v>0</v>
      </c>
      <c r="AE372" s="196">
        <f t="shared" si="45"/>
        <v>0</v>
      </c>
      <c r="AF372" s="2">
        <f t="shared" si="46"/>
        <v>0</v>
      </c>
      <c r="AG372" s="2">
        <f t="shared" si="47"/>
        <v>0</v>
      </c>
    </row>
    <row r="373" spans="1:33">
      <c r="A373" s="20" t="s">
        <v>1194</v>
      </c>
      <c r="B373" s="150"/>
      <c r="C373" s="21" t="s">
        <v>13688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75" t="s">
        <v>7787</v>
      </c>
      <c r="M373" s="351"/>
      <c r="N373" s="267">
        <f t="shared" si="48"/>
        <v>0</v>
      </c>
      <c r="O373" s="268">
        <f t="shared" si="49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3"/>
        <v>0</v>
      </c>
      <c r="AD373" s="196">
        <f t="shared" si="44"/>
        <v>0</v>
      </c>
      <c r="AE373" s="196">
        <f t="shared" si="45"/>
        <v>0</v>
      </c>
      <c r="AF373" s="2">
        <f t="shared" si="46"/>
        <v>0</v>
      </c>
      <c r="AG373" s="2">
        <f t="shared" si="47"/>
        <v>0</v>
      </c>
    </row>
    <row r="374" spans="1:33">
      <c r="A374" s="20" t="s">
        <v>1195</v>
      </c>
      <c r="B374" s="150"/>
      <c r="C374" s="21" t="s">
        <v>13693</v>
      </c>
      <c r="D374" s="109" t="s">
        <v>13689</v>
      </c>
      <c r="E374" s="109"/>
      <c r="F374" s="391" t="s">
        <v>13690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8"/>
        <v>0</v>
      </c>
      <c r="O374" s="268">
        <f t="shared" si="49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3"/>
        <v>0</v>
      </c>
      <c r="AD374" s="196">
        <f t="shared" si="44"/>
        <v>0</v>
      </c>
      <c r="AE374" s="196">
        <f t="shared" si="45"/>
        <v>0</v>
      </c>
      <c r="AF374" s="2">
        <f t="shared" si="46"/>
        <v>0</v>
      </c>
      <c r="AG374" s="2">
        <f t="shared" si="47"/>
        <v>0</v>
      </c>
    </row>
    <row r="375" spans="1:33">
      <c r="A375" s="20" t="s">
        <v>1196</v>
      </c>
      <c r="B375" s="150"/>
      <c r="C375" s="21" t="s">
        <v>13693</v>
      </c>
      <c r="D375" s="109" t="s">
        <v>13689</v>
      </c>
      <c r="E375" s="109"/>
      <c r="F375" s="391" t="s">
        <v>13694</v>
      </c>
      <c r="G375" s="23" t="s">
        <v>13691</v>
      </c>
      <c r="H375" s="23" t="s">
        <v>13692</v>
      </c>
      <c r="I375" s="23"/>
      <c r="J375" s="23"/>
      <c r="K375" s="23"/>
      <c r="L375" s="350"/>
      <c r="M375" s="351"/>
      <c r="N375" s="267">
        <f t="shared" si="48"/>
        <v>0</v>
      </c>
      <c r="O375" s="268">
        <f t="shared" si="49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85"/>
      <c r="AB375" s="238"/>
      <c r="AC375" s="196">
        <f t="shared" si="43"/>
        <v>0</v>
      </c>
      <c r="AD375" s="196">
        <f t="shared" si="44"/>
        <v>0</v>
      </c>
      <c r="AE375" s="196">
        <f t="shared" si="45"/>
        <v>0</v>
      </c>
      <c r="AF375" s="2">
        <f t="shared" si="46"/>
        <v>0</v>
      </c>
      <c r="AG375" s="2">
        <f t="shared" si="47"/>
        <v>0</v>
      </c>
    </row>
    <row r="376" spans="1:33">
      <c r="A376" s="20" t="s">
        <v>22465</v>
      </c>
      <c r="B376" s="150"/>
      <c r="C376" s="21" t="s">
        <v>22397</v>
      </c>
      <c r="D376" s="109" t="s">
        <v>22398</v>
      </c>
      <c r="E376" s="109" t="s">
        <v>22399</v>
      </c>
      <c r="F376" s="391" t="s">
        <v>22396</v>
      </c>
      <c r="G376" s="23" t="s">
        <v>15071</v>
      </c>
      <c r="H376" s="23"/>
      <c r="I376" s="23"/>
      <c r="J376" s="23"/>
      <c r="K376" s="23"/>
      <c r="L376" s="375" t="s">
        <v>7787</v>
      </c>
      <c r="M376" s="351"/>
      <c r="N376" s="267">
        <f t="shared" si="48"/>
        <v>0</v>
      </c>
      <c r="O376" s="268">
        <f t="shared" si="49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3"/>
        <v>0</v>
      </c>
      <c r="AD376" s="196">
        <f t="shared" si="44"/>
        <v>0</v>
      </c>
      <c r="AE376" s="196">
        <f t="shared" si="45"/>
        <v>0</v>
      </c>
      <c r="AF376" s="2">
        <f t="shared" si="46"/>
        <v>0</v>
      </c>
      <c r="AG376" s="2">
        <f t="shared" si="47"/>
        <v>0</v>
      </c>
    </row>
    <row r="377" spans="1:33">
      <c r="A377" s="20" t="s">
        <v>1200</v>
      </c>
      <c r="B377" s="150"/>
      <c r="C377" s="21" t="s">
        <v>4040</v>
      </c>
      <c r="D377" s="109" t="s">
        <v>13640</v>
      </c>
      <c r="E377" s="109" t="s">
        <v>13627</v>
      </c>
      <c r="F377" s="391" t="s">
        <v>13695</v>
      </c>
      <c r="G377" s="23"/>
      <c r="H377" s="23"/>
      <c r="I377" s="23"/>
      <c r="J377" s="23"/>
      <c r="K377" s="23"/>
      <c r="L377" s="350"/>
      <c r="M377" s="351"/>
      <c r="N377" s="267">
        <f t="shared" si="48"/>
        <v>0</v>
      </c>
      <c r="O377" s="268">
        <f t="shared" si="49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3"/>
        <v>0</v>
      </c>
      <c r="AD377" s="196">
        <f t="shared" si="44"/>
        <v>0</v>
      </c>
      <c r="AE377" s="196">
        <f t="shared" si="45"/>
        <v>0</v>
      </c>
      <c r="AF377" s="2">
        <f t="shared" si="46"/>
        <v>0</v>
      </c>
      <c r="AG377" s="2">
        <f t="shared" si="47"/>
        <v>0</v>
      </c>
    </row>
    <row r="378" spans="1:33">
      <c r="A378" s="20" t="s">
        <v>1197</v>
      </c>
      <c r="B378" s="150"/>
      <c r="C378" s="21" t="s">
        <v>4040</v>
      </c>
      <c r="D378" s="109" t="s">
        <v>13547</v>
      </c>
      <c r="E378" s="109"/>
      <c r="F378" s="391" t="s">
        <v>13696</v>
      </c>
      <c r="G378" s="23"/>
      <c r="H378" s="23"/>
      <c r="I378" s="23"/>
      <c r="J378" s="23"/>
      <c r="K378" s="23"/>
      <c r="L378" s="350"/>
      <c r="M378" s="351"/>
      <c r="N378" s="267">
        <f t="shared" si="48"/>
        <v>0</v>
      </c>
      <c r="O378" s="268">
        <f t="shared" si="49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3"/>
        <v>0</v>
      </c>
      <c r="AD378" s="196">
        <f t="shared" si="44"/>
        <v>0</v>
      </c>
      <c r="AE378" s="196">
        <f t="shared" si="45"/>
        <v>0</v>
      </c>
      <c r="AF378" s="2">
        <f t="shared" si="46"/>
        <v>0</v>
      </c>
      <c r="AG378" s="2">
        <f t="shared" si="47"/>
        <v>0</v>
      </c>
    </row>
    <row r="379" spans="1:33">
      <c r="A379" s="20" t="s">
        <v>1198</v>
      </c>
      <c r="B379" s="150"/>
      <c r="C379" s="21" t="s">
        <v>13697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8"/>
        <v>0</v>
      </c>
      <c r="O379" s="268">
        <f t="shared" si="49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3"/>
        <v>0</v>
      </c>
      <c r="AD379" s="196">
        <f t="shared" si="44"/>
        <v>0</v>
      </c>
      <c r="AE379" s="196">
        <f t="shared" si="45"/>
        <v>0</v>
      </c>
      <c r="AF379" s="2">
        <f t="shared" si="46"/>
        <v>0</v>
      </c>
      <c r="AG379" s="2">
        <f t="shared" si="47"/>
        <v>0</v>
      </c>
    </row>
    <row r="380" spans="1:33">
      <c r="A380" s="20" t="s">
        <v>1199</v>
      </c>
      <c r="B380" s="150"/>
      <c r="C380" s="21" t="s">
        <v>13698</v>
      </c>
      <c r="D380" s="109" t="s">
        <v>13547</v>
      </c>
      <c r="E380" s="109"/>
      <c r="F380" s="391" t="s">
        <v>13695</v>
      </c>
      <c r="G380" s="23"/>
      <c r="H380" s="23"/>
      <c r="I380" s="23"/>
      <c r="J380" s="23"/>
      <c r="K380" s="23"/>
      <c r="L380" s="350"/>
      <c r="M380" s="351"/>
      <c r="N380" s="267">
        <f t="shared" si="48"/>
        <v>0</v>
      </c>
      <c r="O380" s="268">
        <f t="shared" si="49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3"/>
        <v>0</v>
      </c>
      <c r="AD380" s="196">
        <f t="shared" si="44"/>
        <v>0</v>
      </c>
      <c r="AE380" s="196">
        <f t="shared" si="45"/>
        <v>0</v>
      </c>
      <c r="AF380" s="2">
        <f t="shared" si="46"/>
        <v>0</v>
      </c>
      <c r="AG380" s="2">
        <f t="shared" si="47"/>
        <v>0</v>
      </c>
    </row>
    <row r="381" spans="1:33">
      <c r="A381" s="20" t="s">
        <v>1202</v>
      </c>
      <c r="B381" s="150"/>
      <c r="C381" s="21" t="s">
        <v>4041</v>
      </c>
      <c r="D381" s="109" t="s">
        <v>13547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8"/>
        <v>0</v>
      </c>
      <c r="O381" s="268">
        <f t="shared" si="49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3"/>
        <v>0</v>
      </c>
      <c r="AD381" s="196">
        <f t="shared" si="44"/>
        <v>0</v>
      </c>
      <c r="AE381" s="196">
        <f t="shared" si="45"/>
        <v>0</v>
      </c>
      <c r="AF381" s="2">
        <f t="shared" si="46"/>
        <v>0</v>
      </c>
      <c r="AG381" s="2">
        <f t="shared" si="47"/>
        <v>0</v>
      </c>
    </row>
    <row r="382" spans="1:33">
      <c r="A382" s="20" t="s">
        <v>1201</v>
      </c>
      <c r="B382" s="150"/>
      <c r="C382" s="21" t="s">
        <v>4041</v>
      </c>
      <c r="D382" s="109" t="s">
        <v>13700</v>
      </c>
      <c r="E382" s="109"/>
      <c r="F382" s="391" t="s">
        <v>13699</v>
      </c>
      <c r="G382" s="23"/>
      <c r="H382" s="23"/>
      <c r="I382" s="23"/>
      <c r="J382" s="23"/>
      <c r="K382" s="23"/>
      <c r="L382" s="350"/>
      <c r="M382" s="351"/>
      <c r="N382" s="267">
        <f t="shared" si="48"/>
        <v>0</v>
      </c>
      <c r="O382" s="268">
        <f t="shared" si="49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3"/>
        <v>0</v>
      </c>
      <c r="AD382" s="196">
        <f t="shared" si="44"/>
        <v>0</v>
      </c>
      <c r="AE382" s="196">
        <f t="shared" si="45"/>
        <v>0</v>
      </c>
      <c r="AF382" s="2">
        <f t="shared" si="46"/>
        <v>0</v>
      </c>
      <c r="AG382" s="2">
        <f t="shared" si="47"/>
        <v>0</v>
      </c>
    </row>
    <row r="383" spans="1:33">
      <c r="A383" s="20" t="s">
        <v>1203</v>
      </c>
      <c r="B383" s="150"/>
      <c r="C383" s="21" t="s">
        <v>4042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8"/>
        <v>0</v>
      </c>
      <c r="O383" s="268">
        <f t="shared" si="49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3"/>
        <v>0</v>
      </c>
      <c r="AD383" s="196">
        <f t="shared" si="44"/>
        <v>0</v>
      </c>
      <c r="AE383" s="196">
        <f t="shared" si="45"/>
        <v>0</v>
      </c>
      <c r="AF383" s="2">
        <f t="shared" si="46"/>
        <v>0</v>
      </c>
      <c r="AG383" s="2">
        <f t="shared" si="47"/>
        <v>0</v>
      </c>
    </row>
    <row r="384" spans="1:33">
      <c r="A384" s="20" t="s">
        <v>1204</v>
      </c>
      <c r="B384" s="150"/>
      <c r="C384" s="21" t="s">
        <v>4043</v>
      </c>
      <c r="D384" s="109" t="s">
        <v>13640</v>
      </c>
      <c r="E384" s="109" t="s">
        <v>13627</v>
      </c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8"/>
        <v>0</v>
      </c>
      <c r="O384" s="268">
        <f t="shared" si="49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3"/>
        <v>0</v>
      </c>
      <c r="AD384" s="196">
        <f t="shared" si="44"/>
        <v>0</v>
      </c>
      <c r="AE384" s="196">
        <f t="shared" si="45"/>
        <v>0</v>
      </c>
      <c r="AF384" s="2">
        <f t="shared" si="46"/>
        <v>0</v>
      </c>
      <c r="AG384" s="2">
        <f t="shared" si="47"/>
        <v>0</v>
      </c>
    </row>
    <row r="385" spans="1:33">
      <c r="A385" s="20" t="s">
        <v>1205</v>
      </c>
      <c r="B385" s="150"/>
      <c r="C385" s="21" t="s">
        <v>13702</v>
      </c>
      <c r="D385" s="109" t="s">
        <v>13547</v>
      </c>
      <c r="E385" s="109"/>
      <c r="F385" s="391" t="s">
        <v>13701</v>
      </c>
      <c r="G385" s="23"/>
      <c r="H385" s="23"/>
      <c r="I385" s="23"/>
      <c r="J385" s="23"/>
      <c r="K385" s="23"/>
      <c r="L385" s="350"/>
      <c r="M385" s="351"/>
      <c r="N385" s="267">
        <f t="shared" si="48"/>
        <v>0</v>
      </c>
      <c r="O385" s="268">
        <f t="shared" si="49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79"/>
      <c r="AB385" s="238"/>
      <c r="AC385" s="196">
        <f t="shared" si="43"/>
        <v>0</v>
      </c>
      <c r="AD385" s="196">
        <f t="shared" si="44"/>
        <v>0</v>
      </c>
      <c r="AE385" s="196">
        <f t="shared" si="45"/>
        <v>0</v>
      </c>
      <c r="AF385" s="2">
        <f t="shared" si="46"/>
        <v>0</v>
      </c>
      <c r="AG385" s="2">
        <f t="shared" si="47"/>
        <v>0</v>
      </c>
    </row>
    <row r="386" spans="1:33">
      <c r="A386" s="20" t="s">
        <v>1206</v>
      </c>
      <c r="B386" s="150"/>
      <c r="C386" s="21" t="s">
        <v>13703</v>
      </c>
      <c r="D386" s="109" t="s">
        <v>13547</v>
      </c>
      <c r="E386" s="109"/>
      <c r="F386" s="391" t="s">
        <v>13701</v>
      </c>
      <c r="G386" s="23" t="s">
        <v>13691</v>
      </c>
      <c r="H386" s="23" t="s">
        <v>13692</v>
      </c>
      <c r="I386" s="23"/>
      <c r="J386" s="23"/>
      <c r="K386" s="23"/>
      <c r="L386" s="375" t="s">
        <v>7787</v>
      </c>
      <c r="M386" s="351" t="s">
        <v>7787</v>
      </c>
      <c r="N386" s="267">
        <f t="shared" si="48"/>
        <v>0</v>
      </c>
      <c r="O386" s="268">
        <f t="shared" si="49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3"/>
        <v>0</v>
      </c>
      <c r="AD386" s="196">
        <f t="shared" si="44"/>
        <v>0</v>
      </c>
      <c r="AE386" s="196">
        <f t="shared" si="45"/>
        <v>0</v>
      </c>
      <c r="AF386" s="2">
        <f t="shared" si="46"/>
        <v>0</v>
      </c>
      <c r="AG386" s="2">
        <f t="shared" si="47"/>
        <v>0</v>
      </c>
    </row>
    <row r="387" spans="1:33">
      <c r="A387" s="20" t="s">
        <v>1207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 t="s">
        <v>13706</v>
      </c>
      <c r="H387" s="23"/>
      <c r="I387" s="23"/>
      <c r="J387" s="23"/>
      <c r="K387" s="23"/>
      <c r="L387" s="350"/>
      <c r="M387" s="351"/>
      <c r="N387" s="267">
        <f t="shared" si="48"/>
        <v>0</v>
      </c>
      <c r="O387" s="268">
        <f t="shared" si="49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40"/>
      <c r="AB387" s="238"/>
      <c r="AC387" s="196">
        <f t="shared" si="43"/>
        <v>0</v>
      </c>
      <c r="AD387" s="196">
        <f t="shared" si="44"/>
        <v>0</v>
      </c>
      <c r="AE387" s="196">
        <f t="shared" si="45"/>
        <v>0</v>
      </c>
      <c r="AF387" s="2">
        <f t="shared" si="46"/>
        <v>0</v>
      </c>
      <c r="AG387" s="2">
        <f t="shared" si="47"/>
        <v>0</v>
      </c>
    </row>
    <row r="388" spans="1:33">
      <c r="A388" s="20" t="s">
        <v>1208</v>
      </c>
      <c r="B388" s="150"/>
      <c r="C388" s="21" t="s">
        <v>13704</v>
      </c>
      <c r="D388" s="109" t="s">
        <v>13547</v>
      </c>
      <c r="E388" s="109"/>
      <c r="F388" s="391" t="s">
        <v>13705</v>
      </c>
      <c r="G388" s="23"/>
      <c r="H388" s="23"/>
      <c r="I388" s="23"/>
      <c r="J388" s="23"/>
      <c r="K388" s="23"/>
      <c r="L388" s="350"/>
      <c r="M388" s="351"/>
      <c r="N388" s="267">
        <f t="shared" si="48"/>
        <v>0</v>
      </c>
      <c r="O388" s="268">
        <f t="shared" si="49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3"/>
        <v>0</v>
      </c>
      <c r="AD388" s="196">
        <f t="shared" si="44"/>
        <v>0</v>
      </c>
      <c r="AE388" s="196">
        <f t="shared" si="45"/>
        <v>0</v>
      </c>
      <c r="AF388" s="2">
        <f t="shared" si="46"/>
        <v>0</v>
      </c>
      <c r="AG388" s="2">
        <f t="shared" si="47"/>
        <v>0</v>
      </c>
    </row>
    <row r="389" spans="1:33">
      <c r="A389" s="20" t="s">
        <v>1210</v>
      </c>
      <c r="B389" s="150"/>
      <c r="C389" s="21" t="s">
        <v>725</v>
      </c>
      <c r="D389" s="109" t="s">
        <v>13551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8"/>
        <v>0</v>
      </c>
      <c r="O389" s="268">
        <f t="shared" si="49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3"/>
        <v>0</v>
      </c>
      <c r="AD389" s="196">
        <f t="shared" si="44"/>
        <v>0</v>
      </c>
      <c r="AE389" s="196">
        <f t="shared" si="45"/>
        <v>0</v>
      </c>
      <c r="AF389" s="2">
        <f t="shared" si="46"/>
        <v>0</v>
      </c>
      <c r="AG389" s="2">
        <f t="shared" si="47"/>
        <v>0</v>
      </c>
    </row>
    <row r="390" spans="1:33">
      <c r="A390" s="20" t="s">
        <v>1211</v>
      </c>
      <c r="B390" s="150"/>
      <c r="C390" s="21" t="s">
        <v>725</v>
      </c>
      <c r="D390" s="109" t="s">
        <v>13553</v>
      </c>
      <c r="E390" s="109"/>
      <c r="F390" s="391" t="s">
        <v>13707</v>
      </c>
      <c r="G390" s="23"/>
      <c r="H390" s="23"/>
      <c r="I390" s="23"/>
      <c r="J390" s="23"/>
      <c r="K390" s="23"/>
      <c r="L390" s="350"/>
      <c r="M390" s="351"/>
      <c r="N390" s="267">
        <f t="shared" si="48"/>
        <v>0</v>
      </c>
      <c r="O390" s="268">
        <f t="shared" si="49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si="43"/>
        <v>0</v>
      </c>
      <c r="AD390" s="196">
        <f t="shared" si="44"/>
        <v>0</v>
      </c>
      <c r="AE390" s="196">
        <f t="shared" si="45"/>
        <v>0</v>
      </c>
      <c r="AF390" s="2">
        <f t="shared" si="46"/>
        <v>0</v>
      </c>
      <c r="AG390" s="2">
        <f t="shared" si="47"/>
        <v>0</v>
      </c>
    </row>
    <row r="391" spans="1:33">
      <c r="A391" s="20" t="s">
        <v>1212</v>
      </c>
      <c r="B391" s="150"/>
      <c r="C391" s="21" t="s">
        <v>681</v>
      </c>
      <c r="D391" s="109" t="s">
        <v>13640</v>
      </c>
      <c r="E391" s="109" t="s">
        <v>13627</v>
      </c>
      <c r="F391" s="391" t="s">
        <v>13708</v>
      </c>
      <c r="G391" s="23" t="s">
        <v>13709</v>
      </c>
      <c r="H391" s="23"/>
      <c r="I391" s="23"/>
      <c r="J391" s="23"/>
      <c r="K391" s="23"/>
      <c r="L391" s="375" t="s">
        <v>7787</v>
      </c>
      <c r="M391" s="357" t="s">
        <v>7787</v>
      </c>
      <c r="N391" s="267">
        <f t="shared" si="48"/>
        <v>0</v>
      </c>
      <c r="O391" s="268">
        <f t="shared" si="49"/>
        <v>0</v>
      </c>
      <c r="P391" s="239"/>
      <c r="Q391" s="239"/>
      <c r="R391" s="239"/>
      <c r="S391" s="239"/>
      <c r="T391" s="239"/>
      <c r="U391" s="240"/>
      <c r="V391" s="240"/>
      <c r="W391" s="240"/>
      <c r="X391" s="278"/>
      <c r="Y391" s="237"/>
      <c r="Z391" s="237"/>
      <c r="AA391" s="279"/>
      <c r="AB391" s="238"/>
      <c r="AC391" s="196">
        <f t="shared" ref="AC391:AC454" si="52">SUM(P391:AA391)</f>
        <v>0</v>
      </c>
      <c r="AD391" s="196">
        <f t="shared" ref="AD391:AD454" si="53">SUM(P391:AB391)</f>
        <v>0</v>
      </c>
      <c r="AE391" s="196">
        <f t="shared" ref="AE391:AE454" si="54">SUM(AC391-AD391)</f>
        <v>0</v>
      </c>
      <c r="AF391" s="2">
        <f t="shared" ref="AF391:AF454" si="55">+AC391</f>
        <v>0</v>
      </c>
      <c r="AG391" s="2">
        <f t="shared" ref="AG391:AG454" si="56">+AC391-AF391</f>
        <v>0</v>
      </c>
    </row>
    <row r="392" spans="1:33">
      <c r="A392" s="20" t="s">
        <v>1213</v>
      </c>
      <c r="B392" s="152" t="s">
        <v>13710</v>
      </c>
      <c r="C392" s="21" t="s">
        <v>681</v>
      </c>
      <c r="D392" s="109" t="s">
        <v>13551</v>
      </c>
      <c r="E392" s="109"/>
      <c r="F392" s="391" t="s">
        <v>13708</v>
      </c>
      <c r="G392" s="23" t="s">
        <v>13540</v>
      </c>
      <c r="H392" s="23" t="s">
        <v>13711</v>
      </c>
      <c r="I392" s="23" t="s">
        <v>19156</v>
      </c>
      <c r="J392" s="23" t="s">
        <v>18699</v>
      </c>
      <c r="K392" s="23" t="s">
        <v>13409</v>
      </c>
      <c r="L392" s="375" t="s">
        <v>27862</v>
      </c>
      <c r="M392" s="351" t="s">
        <v>45</v>
      </c>
      <c r="N392" s="267">
        <f t="shared" si="48"/>
        <v>0</v>
      </c>
      <c r="O392" s="268">
        <f t="shared" si="49"/>
        <v>650</v>
      </c>
      <c r="P392" s="239"/>
      <c r="Q392" s="239">
        <f>700-300+1250-300-200-500</f>
        <v>650</v>
      </c>
      <c r="R392" s="239"/>
      <c r="S392" s="239"/>
      <c r="T392" s="239"/>
      <c r="U392" s="240"/>
      <c r="V392" s="240"/>
      <c r="W392" s="240"/>
      <c r="X392" s="278"/>
      <c r="Y392" s="241"/>
      <c r="Z392" s="237"/>
      <c r="AA392" s="279"/>
      <c r="AB392" s="238" t="s">
        <v>27858</v>
      </c>
      <c r="AC392" s="196">
        <f t="shared" si="52"/>
        <v>650</v>
      </c>
      <c r="AD392" s="196">
        <f t="shared" si="53"/>
        <v>650</v>
      </c>
      <c r="AE392" s="196">
        <f t="shared" si="54"/>
        <v>0</v>
      </c>
      <c r="AF392" s="2">
        <f t="shared" si="55"/>
        <v>650</v>
      </c>
      <c r="AG392" s="2">
        <f t="shared" si="56"/>
        <v>0</v>
      </c>
    </row>
    <row r="393" spans="1:33">
      <c r="A393" s="20" t="s">
        <v>1214</v>
      </c>
      <c r="B393" s="151" t="s">
        <v>13712</v>
      </c>
      <c r="C393" s="21" t="s">
        <v>681</v>
      </c>
      <c r="D393" s="109" t="s">
        <v>13553</v>
      </c>
      <c r="E393" s="109" t="s">
        <v>13658</v>
      </c>
      <c r="F393" s="391" t="s">
        <v>13708</v>
      </c>
      <c r="G393" s="23" t="s">
        <v>13713</v>
      </c>
      <c r="H393" s="23" t="s">
        <v>13709</v>
      </c>
      <c r="I393" s="23" t="s">
        <v>13673</v>
      </c>
      <c r="J393" s="23" t="s">
        <v>13978</v>
      </c>
      <c r="K393" s="23"/>
      <c r="L393" s="375" t="s">
        <v>7787</v>
      </c>
      <c r="M393" s="357" t="s">
        <v>7787</v>
      </c>
      <c r="N393" s="267">
        <f t="shared" si="48"/>
        <v>0</v>
      </c>
      <c r="O393" s="268">
        <f t="shared" si="49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9"/>
      <c r="Z393" s="237"/>
      <c r="AA393" s="279"/>
      <c r="AB393" s="238"/>
      <c r="AC393" s="196">
        <f t="shared" si="52"/>
        <v>0</v>
      </c>
      <c r="AD393" s="196">
        <f t="shared" si="53"/>
        <v>0</v>
      </c>
      <c r="AE393" s="196">
        <f t="shared" si="54"/>
        <v>0</v>
      </c>
      <c r="AF393" s="2">
        <f t="shared" si="55"/>
        <v>0</v>
      </c>
      <c r="AG393" s="2">
        <f t="shared" si="56"/>
        <v>0</v>
      </c>
    </row>
    <row r="394" spans="1:33">
      <c r="A394" s="20" t="s">
        <v>1215</v>
      </c>
      <c r="B394" s="150"/>
      <c r="C394" s="21" t="s">
        <v>681</v>
      </c>
      <c r="D394" s="109" t="s">
        <v>13655</v>
      </c>
      <c r="E394" s="109"/>
      <c r="F394" s="391" t="s">
        <v>13708</v>
      </c>
      <c r="G394" s="23"/>
      <c r="H394" s="23"/>
      <c r="I394" s="23"/>
      <c r="J394" s="23"/>
      <c r="K394" s="23"/>
      <c r="L394" s="350"/>
      <c r="M394" s="351"/>
      <c r="N394" s="267">
        <f t="shared" si="48"/>
        <v>0</v>
      </c>
      <c r="O394" s="268">
        <f t="shared" si="49"/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2"/>
        <v>0</v>
      </c>
      <c r="AD394" s="196">
        <f t="shared" si="53"/>
        <v>0</v>
      </c>
      <c r="AE394" s="196">
        <f t="shared" si="54"/>
        <v>0</v>
      </c>
      <c r="AF394" s="2">
        <f t="shared" si="55"/>
        <v>0</v>
      </c>
      <c r="AG394" s="2">
        <f t="shared" si="56"/>
        <v>0</v>
      </c>
    </row>
    <row r="395" spans="1:33">
      <c r="A395" s="20" t="s">
        <v>1216</v>
      </c>
      <c r="B395" s="150"/>
      <c r="C395" s="21" t="s">
        <v>681</v>
      </c>
      <c r="D395" s="109" t="s">
        <v>13544</v>
      </c>
      <c r="E395" s="109"/>
      <c r="F395" s="391" t="s">
        <v>13708</v>
      </c>
      <c r="G395" s="23" t="s">
        <v>13714</v>
      </c>
      <c r="H395" s="23"/>
      <c r="I395" s="23"/>
      <c r="J395" s="23"/>
      <c r="K395" s="23"/>
      <c r="L395" s="375" t="s">
        <v>7787</v>
      </c>
      <c r="M395" s="351" t="s">
        <v>7787</v>
      </c>
      <c r="N395" s="267">
        <f t="shared" ref="N395:N459" si="57">SUM(L395:M395)</f>
        <v>0</v>
      </c>
      <c r="O395" s="268">
        <f t="shared" ref="O395:O459" si="58">SUM(P395:Z395)</f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2"/>
        <v>0</v>
      </c>
      <c r="AD395" s="196">
        <f t="shared" si="53"/>
        <v>0</v>
      </c>
      <c r="AE395" s="196">
        <f t="shared" si="54"/>
        <v>0</v>
      </c>
      <c r="AF395" s="2">
        <f t="shared" si="55"/>
        <v>0</v>
      </c>
      <c r="AG395" s="2">
        <f t="shared" si="56"/>
        <v>0</v>
      </c>
    </row>
    <row r="396" spans="1:33">
      <c r="A396" s="20" t="s">
        <v>1217</v>
      </c>
      <c r="B396" s="150"/>
      <c r="C396" s="21" t="s">
        <v>726</v>
      </c>
      <c r="D396" s="109" t="s">
        <v>13715</v>
      </c>
      <c r="E396" s="109"/>
      <c r="F396" s="391" t="s">
        <v>13716</v>
      </c>
      <c r="G396" s="23"/>
      <c r="H396" s="23"/>
      <c r="I396" s="23"/>
      <c r="J396" s="23"/>
      <c r="K396" s="23"/>
      <c r="L396" s="350"/>
      <c r="M396" s="351"/>
      <c r="N396" s="267">
        <f t="shared" si="57"/>
        <v>0</v>
      </c>
      <c r="O396" s="268">
        <f t="shared" si="58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2"/>
        <v>0</v>
      </c>
      <c r="AD396" s="196">
        <f t="shared" si="53"/>
        <v>0</v>
      </c>
      <c r="AE396" s="196">
        <f t="shared" si="54"/>
        <v>0</v>
      </c>
      <c r="AF396" s="2">
        <f t="shared" si="55"/>
        <v>0</v>
      </c>
      <c r="AG396" s="2">
        <f t="shared" si="56"/>
        <v>0</v>
      </c>
    </row>
    <row r="397" spans="1:33">
      <c r="A397" s="20" t="s">
        <v>1219</v>
      </c>
      <c r="B397" s="150"/>
      <c r="C397" s="21" t="s">
        <v>727</v>
      </c>
      <c r="D397" s="109" t="s">
        <v>13653</v>
      </c>
      <c r="E397" s="109" t="s">
        <v>13717</v>
      </c>
      <c r="F397" s="391" t="s">
        <v>13718</v>
      </c>
      <c r="G397" s="23" t="s">
        <v>13546</v>
      </c>
      <c r="H397" s="23"/>
      <c r="I397" s="23"/>
      <c r="J397" s="23"/>
      <c r="K397" s="23"/>
      <c r="L397" s="350"/>
      <c r="M397" s="351"/>
      <c r="N397" s="267">
        <f t="shared" si="57"/>
        <v>0</v>
      </c>
      <c r="O397" s="268">
        <f t="shared" si="58"/>
        <v>0</v>
      </c>
      <c r="P397" s="239"/>
      <c r="Q397" s="239"/>
      <c r="R397" s="239"/>
      <c r="S397" s="239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2"/>
        <v>0</v>
      </c>
      <c r="AD397" s="196">
        <f t="shared" si="53"/>
        <v>0</v>
      </c>
      <c r="AE397" s="196">
        <f t="shared" si="54"/>
        <v>0</v>
      </c>
      <c r="AF397" s="2">
        <f t="shared" si="55"/>
        <v>0</v>
      </c>
      <c r="AG397" s="2">
        <f t="shared" si="56"/>
        <v>0</v>
      </c>
    </row>
    <row r="398" spans="1:33">
      <c r="A398" s="20" t="s">
        <v>18747</v>
      </c>
      <c r="B398" s="150"/>
      <c r="C398" s="21" t="s">
        <v>727</v>
      </c>
      <c r="D398" s="109" t="s">
        <v>3127</v>
      </c>
      <c r="E398" s="109"/>
      <c r="F398" s="391" t="s">
        <v>4222</v>
      </c>
      <c r="G398" s="23" t="s">
        <v>13546</v>
      </c>
      <c r="H398" s="23"/>
      <c r="I398" s="23"/>
      <c r="J398" s="23"/>
      <c r="K398" s="23"/>
      <c r="L398" s="375" t="s">
        <v>7787</v>
      </c>
      <c r="M398" s="351"/>
      <c r="N398" s="267">
        <f t="shared" si="57"/>
        <v>0</v>
      </c>
      <c r="O398" s="268">
        <f t="shared" si="58"/>
        <v>0</v>
      </c>
      <c r="P398" s="239"/>
      <c r="Q398" s="239"/>
      <c r="R398" s="239"/>
      <c r="S398" s="241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2"/>
        <v>0</v>
      </c>
      <c r="AD398" s="196">
        <f t="shared" si="53"/>
        <v>0</v>
      </c>
      <c r="AE398" s="196">
        <f t="shared" si="54"/>
        <v>0</v>
      </c>
      <c r="AF398" s="2">
        <f t="shared" si="55"/>
        <v>0</v>
      </c>
      <c r="AG398" s="2">
        <f t="shared" si="56"/>
        <v>0</v>
      </c>
    </row>
    <row r="399" spans="1:33">
      <c r="A399" s="20" t="s">
        <v>1218</v>
      </c>
      <c r="B399" s="150"/>
      <c r="C399" s="21" t="s">
        <v>727</v>
      </c>
      <c r="D399" s="109" t="s">
        <v>13715</v>
      </c>
      <c r="E399" s="109"/>
      <c r="F399" s="391" t="s">
        <v>13719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7"/>
        <v>0</v>
      </c>
      <c r="O399" s="268">
        <f t="shared" si="58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2"/>
        <v>0</v>
      </c>
      <c r="AD399" s="196">
        <f t="shared" si="53"/>
        <v>0</v>
      </c>
      <c r="AE399" s="196">
        <f t="shared" si="54"/>
        <v>0</v>
      </c>
      <c r="AF399" s="2">
        <f t="shared" si="55"/>
        <v>0</v>
      </c>
      <c r="AG399" s="2">
        <f t="shared" si="56"/>
        <v>0</v>
      </c>
    </row>
    <row r="400" spans="1:33">
      <c r="A400" s="20" t="s">
        <v>1220</v>
      </c>
      <c r="B400" s="150"/>
      <c r="C400" s="21" t="s">
        <v>728</v>
      </c>
      <c r="D400" s="109" t="s">
        <v>13721</v>
      </c>
      <c r="E400" s="109"/>
      <c r="F400" s="391" t="s">
        <v>13722</v>
      </c>
      <c r="G400" s="23" t="s">
        <v>13720</v>
      </c>
      <c r="H400" s="23"/>
      <c r="I400" s="23"/>
      <c r="J400" s="23"/>
      <c r="K400" s="23"/>
      <c r="L400" s="350"/>
      <c r="M400" s="351"/>
      <c r="N400" s="267">
        <f t="shared" si="57"/>
        <v>0</v>
      </c>
      <c r="O400" s="268">
        <f t="shared" si="58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2"/>
        <v>0</v>
      </c>
      <c r="AD400" s="196">
        <f t="shared" si="53"/>
        <v>0</v>
      </c>
      <c r="AE400" s="196">
        <f t="shared" si="54"/>
        <v>0</v>
      </c>
      <c r="AF400" s="2">
        <f t="shared" si="55"/>
        <v>0</v>
      </c>
      <c r="AG400" s="2">
        <f t="shared" si="56"/>
        <v>0</v>
      </c>
    </row>
    <row r="401" spans="1:33">
      <c r="A401" s="20" t="s">
        <v>1223</v>
      </c>
      <c r="B401" s="150"/>
      <c r="C401" s="21" t="s">
        <v>4044</v>
      </c>
      <c r="D401" s="109" t="s">
        <v>13723</v>
      </c>
      <c r="E401" s="109"/>
      <c r="F401" s="391" t="s">
        <v>13724</v>
      </c>
      <c r="G401" s="23"/>
      <c r="H401" s="23"/>
      <c r="I401" s="23"/>
      <c r="J401" s="23"/>
      <c r="K401" s="23"/>
      <c r="L401" s="350"/>
      <c r="M401" s="351"/>
      <c r="N401" s="267">
        <f t="shared" si="57"/>
        <v>0</v>
      </c>
      <c r="O401" s="268">
        <f t="shared" si="58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2"/>
        <v>0</v>
      </c>
      <c r="AD401" s="196">
        <f t="shared" si="53"/>
        <v>0</v>
      </c>
      <c r="AE401" s="196">
        <f t="shared" si="54"/>
        <v>0</v>
      </c>
      <c r="AF401" s="2">
        <f t="shared" si="55"/>
        <v>0</v>
      </c>
      <c r="AG401" s="2">
        <f t="shared" si="56"/>
        <v>0</v>
      </c>
    </row>
    <row r="402" spans="1:33">
      <c r="A402" s="20" t="s">
        <v>1224</v>
      </c>
      <c r="B402" s="150"/>
      <c r="C402" s="21" t="s">
        <v>4044</v>
      </c>
      <c r="D402" s="109" t="s">
        <v>13553</v>
      </c>
      <c r="E402" s="109"/>
      <c r="F402" s="391" t="s">
        <v>13725</v>
      </c>
      <c r="G402" s="23"/>
      <c r="H402" s="23"/>
      <c r="I402" s="23"/>
      <c r="J402" s="23"/>
      <c r="K402" s="23"/>
      <c r="L402" s="350"/>
      <c r="M402" s="351"/>
      <c r="N402" s="267">
        <f t="shared" si="57"/>
        <v>0</v>
      </c>
      <c r="O402" s="268">
        <f t="shared" si="58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7"/>
      <c r="Z402" s="237"/>
      <c r="AA402" s="279"/>
      <c r="AB402" s="238"/>
      <c r="AC402" s="196">
        <f t="shared" si="52"/>
        <v>0</v>
      </c>
      <c r="AD402" s="196">
        <f t="shared" si="53"/>
        <v>0</v>
      </c>
      <c r="AE402" s="196">
        <f t="shared" si="54"/>
        <v>0</v>
      </c>
      <c r="AF402" s="2">
        <f t="shared" si="55"/>
        <v>0</v>
      </c>
      <c r="AG402" s="2">
        <f t="shared" si="56"/>
        <v>0</v>
      </c>
    </row>
    <row r="403" spans="1:33">
      <c r="A403" s="20" t="s">
        <v>1221</v>
      </c>
      <c r="B403" s="150"/>
      <c r="C403" s="21" t="s">
        <v>729</v>
      </c>
      <c r="D403" s="109" t="s">
        <v>13551</v>
      </c>
      <c r="E403" s="109"/>
      <c r="F403" s="391" t="s">
        <v>13726</v>
      </c>
      <c r="G403" s="23" t="s">
        <v>13727</v>
      </c>
      <c r="H403" s="23"/>
      <c r="I403" s="23"/>
      <c r="J403" s="23"/>
      <c r="K403" s="23"/>
      <c r="L403" s="350"/>
      <c r="M403" s="351"/>
      <c r="N403" s="267">
        <f t="shared" si="57"/>
        <v>0</v>
      </c>
      <c r="O403" s="268">
        <f t="shared" si="58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2"/>
        <v>0</v>
      </c>
      <c r="AD403" s="196">
        <f t="shared" si="53"/>
        <v>0</v>
      </c>
      <c r="AE403" s="196">
        <f t="shared" si="54"/>
        <v>0</v>
      </c>
      <c r="AF403" s="2">
        <f t="shared" si="55"/>
        <v>0</v>
      </c>
      <c r="AG403" s="2">
        <f t="shared" si="56"/>
        <v>0</v>
      </c>
    </row>
    <row r="404" spans="1:33">
      <c r="A404" s="20" t="s">
        <v>1225</v>
      </c>
      <c r="B404" s="162" t="s">
        <v>5813</v>
      </c>
      <c r="C404" s="21" t="s">
        <v>4045</v>
      </c>
      <c r="D404" s="109" t="s">
        <v>13631</v>
      </c>
      <c r="E404" s="109"/>
      <c r="F404" s="391" t="s">
        <v>13728</v>
      </c>
      <c r="G404" s="23" t="s">
        <v>13540</v>
      </c>
      <c r="H404" s="23" t="s">
        <v>13543</v>
      </c>
      <c r="I404" s="23" t="s">
        <v>17233</v>
      </c>
      <c r="J404" s="23"/>
      <c r="K404" s="23"/>
      <c r="L404" s="375" t="s">
        <v>7787</v>
      </c>
      <c r="M404" s="357" t="s">
        <v>7787</v>
      </c>
      <c r="N404" s="267">
        <f t="shared" si="57"/>
        <v>0</v>
      </c>
      <c r="O404" s="268">
        <f t="shared" si="58"/>
        <v>0</v>
      </c>
      <c r="P404" s="239"/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/>
      <c r="AC404" s="196">
        <f t="shared" si="52"/>
        <v>0</v>
      </c>
      <c r="AD404" s="196">
        <f t="shared" si="53"/>
        <v>0</v>
      </c>
      <c r="AE404" s="196">
        <f t="shared" si="54"/>
        <v>0</v>
      </c>
      <c r="AF404" s="2">
        <f t="shared" si="55"/>
        <v>0</v>
      </c>
      <c r="AG404" s="2">
        <f t="shared" si="56"/>
        <v>0</v>
      </c>
    </row>
    <row r="405" spans="1:33">
      <c r="A405" s="20" t="s">
        <v>23819</v>
      </c>
      <c r="B405" s="162"/>
      <c r="C405" s="21" t="s">
        <v>4045</v>
      </c>
      <c r="D405" s="109" t="s">
        <v>3137</v>
      </c>
      <c r="E405" s="109" t="s">
        <v>23949</v>
      </c>
      <c r="F405" s="391" t="s">
        <v>4228</v>
      </c>
      <c r="G405" s="23" t="s">
        <v>13215</v>
      </c>
      <c r="H405" s="23" t="s">
        <v>13249</v>
      </c>
      <c r="I405" s="23" t="s">
        <v>17233</v>
      </c>
      <c r="J405" s="23"/>
      <c r="K405" s="23"/>
      <c r="L405" s="375" t="s">
        <v>7787</v>
      </c>
      <c r="M405" s="357"/>
      <c r="N405" s="267">
        <f t="shared" si="57"/>
        <v>0</v>
      </c>
      <c r="O405" s="268">
        <f t="shared" si="58"/>
        <v>150</v>
      </c>
      <c r="P405" s="239">
        <f>4000-3600+4000-3600+3600-3600+3600+4800-7200+3000-50-3600-100+4000-3600+2250-3600-50+7200-7200+3600-3600+500+3600-300-3600+7000-7200-50-50</f>
        <v>150</v>
      </c>
      <c r="Q405" s="239"/>
      <c r="R405" s="239"/>
      <c r="S405" s="239"/>
      <c r="T405" s="239"/>
      <c r="U405" s="240"/>
      <c r="V405" s="240"/>
      <c r="W405" s="240"/>
      <c r="X405" s="278"/>
      <c r="Y405" s="239"/>
      <c r="Z405" s="237"/>
      <c r="AA405" s="279"/>
      <c r="AB405" s="238" t="s">
        <v>25537</v>
      </c>
      <c r="AC405" s="196">
        <f t="shared" si="52"/>
        <v>150</v>
      </c>
      <c r="AD405" s="196">
        <f t="shared" si="53"/>
        <v>150</v>
      </c>
      <c r="AE405" s="196">
        <f t="shared" si="54"/>
        <v>0</v>
      </c>
      <c r="AF405" s="2">
        <f t="shared" si="55"/>
        <v>150</v>
      </c>
      <c r="AG405" s="2">
        <f t="shared" si="56"/>
        <v>0</v>
      </c>
    </row>
    <row r="406" spans="1:33">
      <c r="A406" s="20" t="s">
        <v>10454</v>
      </c>
      <c r="B406" s="162"/>
      <c r="C406" s="21" t="s">
        <v>4045</v>
      </c>
      <c r="D406" s="109" t="s">
        <v>13729</v>
      </c>
      <c r="E406" s="109"/>
      <c r="F406" s="391" t="s">
        <v>13728</v>
      </c>
      <c r="G406" s="23" t="s">
        <v>13730</v>
      </c>
      <c r="H406" s="23" t="s">
        <v>13731</v>
      </c>
      <c r="I406" s="23"/>
      <c r="J406" s="23"/>
      <c r="K406" s="23"/>
      <c r="L406" s="375"/>
      <c r="M406" s="357" t="s">
        <v>7787</v>
      </c>
      <c r="N406" s="267">
        <f t="shared" si="57"/>
        <v>0</v>
      </c>
      <c r="O406" s="268">
        <f t="shared" si="58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2"/>
        <v>0</v>
      </c>
      <c r="AD406" s="196">
        <f t="shared" si="53"/>
        <v>0</v>
      </c>
      <c r="AE406" s="196">
        <f t="shared" si="54"/>
        <v>0</v>
      </c>
      <c r="AF406" s="2">
        <f t="shared" si="55"/>
        <v>0</v>
      </c>
      <c r="AG406" s="2">
        <f t="shared" si="56"/>
        <v>0</v>
      </c>
    </row>
    <row r="407" spans="1:33">
      <c r="A407" s="20" t="s">
        <v>1226</v>
      </c>
      <c r="B407" s="152" t="s">
        <v>5814</v>
      </c>
      <c r="C407" s="21" t="s">
        <v>4046</v>
      </c>
      <c r="D407" s="109" t="s">
        <v>13631</v>
      </c>
      <c r="E407" s="109"/>
      <c r="F407" s="391" t="s">
        <v>13732</v>
      </c>
      <c r="G407" s="23" t="s">
        <v>13540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7"/>
        <v>0</v>
      </c>
      <c r="O407" s="268">
        <f t="shared" si="58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7"/>
      <c r="Z407" s="237"/>
      <c r="AA407" s="279"/>
      <c r="AB407" s="238"/>
      <c r="AC407" s="196">
        <f t="shared" si="52"/>
        <v>0</v>
      </c>
      <c r="AD407" s="196">
        <f t="shared" si="53"/>
        <v>0</v>
      </c>
      <c r="AE407" s="196">
        <f t="shared" si="54"/>
        <v>0</v>
      </c>
      <c r="AF407" s="2">
        <f t="shared" si="55"/>
        <v>0</v>
      </c>
      <c r="AG407" s="2">
        <f t="shared" si="56"/>
        <v>0</v>
      </c>
    </row>
    <row r="408" spans="1:33">
      <c r="A408" s="20" t="s">
        <v>1227</v>
      </c>
      <c r="B408" s="151" t="s">
        <v>13733</v>
      </c>
      <c r="C408" s="21" t="s">
        <v>4047</v>
      </c>
      <c r="D408" s="109" t="s">
        <v>13734</v>
      </c>
      <c r="E408" s="109"/>
      <c r="F408" s="391" t="s">
        <v>13735</v>
      </c>
      <c r="G408" s="23" t="s">
        <v>13646</v>
      </c>
      <c r="H408" s="23"/>
      <c r="I408" s="23"/>
      <c r="J408" s="23"/>
      <c r="K408" s="23"/>
      <c r="L408" s="375" t="s">
        <v>7787</v>
      </c>
      <c r="M408" s="351" t="s">
        <v>7787</v>
      </c>
      <c r="N408" s="267">
        <f t="shared" si="57"/>
        <v>0</v>
      </c>
      <c r="O408" s="268">
        <f t="shared" si="58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2"/>
        <v>0</v>
      </c>
      <c r="AD408" s="196">
        <f t="shared" si="53"/>
        <v>0</v>
      </c>
      <c r="AE408" s="196">
        <f t="shared" si="54"/>
        <v>0</v>
      </c>
      <c r="AF408" s="2">
        <f t="shared" si="55"/>
        <v>0</v>
      </c>
      <c r="AG408" s="2">
        <f t="shared" si="56"/>
        <v>0</v>
      </c>
    </row>
    <row r="409" spans="1:33">
      <c r="A409" s="20" t="s">
        <v>21771</v>
      </c>
      <c r="B409" s="151" t="s">
        <v>6373</v>
      </c>
      <c r="C409" s="21" t="s">
        <v>4047</v>
      </c>
      <c r="D409" s="109" t="s">
        <v>21723</v>
      </c>
      <c r="E409" s="109"/>
      <c r="F409" s="391" t="s">
        <v>21724</v>
      </c>
      <c r="G409" s="23" t="s">
        <v>21725</v>
      </c>
      <c r="H409" s="23"/>
      <c r="I409" s="23"/>
      <c r="J409" s="23"/>
      <c r="K409" s="23"/>
      <c r="L409" s="375" t="s">
        <v>45</v>
      </c>
      <c r="M409" s="351"/>
      <c r="N409" s="267">
        <f t="shared" si="57"/>
        <v>0</v>
      </c>
      <c r="O409" s="268">
        <f t="shared" si="58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79"/>
      <c r="AB409" s="238"/>
      <c r="AC409" s="196">
        <f t="shared" si="52"/>
        <v>0</v>
      </c>
      <c r="AD409" s="196">
        <f t="shared" si="53"/>
        <v>0</v>
      </c>
      <c r="AE409" s="196">
        <f t="shared" si="54"/>
        <v>0</v>
      </c>
      <c r="AF409" s="2">
        <f t="shared" si="55"/>
        <v>0</v>
      </c>
      <c r="AG409" s="2">
        <f t="shared" si="56"/>
        <v>0</v>
      </c>
    </row>
    <row r="410" spans="1:33">
      <c r="A410" s="20" t="s">
        <v>1228</v>
      </c>
      <c r="B410" s="163" t="s">
        <v>13736</v>
      </c>
      <c r="C410" s="21" t="s">
        <v>4048</v>
      </c>
      <c r="D410" s="109" t="s">
        <v>13734</v>
      </c>
      <c r="E410" s="109"/>
      <c r="F410" s="391" t="s">
        <v>13737</v>
      </c>
      <c r="G410" s="23" t="s">
        <v>13646</v>
      </c>
      <c r="H410" s="23"/>
      <c r="I410" s="23"/>
      <c r="J410" s="23"/>
      <c r="K410" s="23" t="s">
        <v>22445</v>
      </c>
      <c r="L410" s="375"/>
      <c r="M410" s="351" t="s">
        <v>7787</v>
      </c>
      <c r="N410" s="267">
        <f t="shared" si="57"/>
        <v>0</v>
      </c>
      <c r="O410" s="268">
        <f t="shared" si="58"/>
        <v>0</v>
      </c>
      <c r="P410" s="239"/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39"/>
      <c r="AB410" s="238"/>
      <c r="AC410" s="196">
        <f t="shared" si="52"/>
        <v>0</v>
      </c>
      <c r="AD410" s="196">
        <f t="shared" si="53"/>
        <v>0</v>
      </c>
      <c r="AE410" s="196">
        <f t="shared" si="54"/>
        <v>0</v>
      </c>
      <c r="AF410" s="2">
        <f t="shared" si="55"/>
        <v>0</v>
      </c>
      <c r="AG410" s="2">
        <f t="shared" si="56"/>
        <v>0</v>
      </c>
    </row>
    <row r="411" spans="1:33">
      <c r="A411" s="20" t="s">
        <v>26878</v>
      </c>
      <c r="B411" s="163"/>
      <c r="C411" s="21" t="s">
        <v>4048</v>
      </c>
      <c r="D411" s="109" t="s">
        <v>21723</v>
      </c>
      <c r="E411" s="109" t="s">
        <v>27070</v>
      </c>
      <c r="F411" s="391" t="s">
        <v>26536</v>
      </c>
      <c r="G411" s="23" t="s">
        <v>26537</v>
      </c>
      <c r="H411" s="23"/>
      <c r="I411" s="23"/>
      <c r="J411" s="23"/>
      <c r="K411" s="23" t="s">
        <v>7787</v>
      </c>
      <c r="L411" s="375"/>
      <c r="M411" s="351" t="s">
        <v>7787</v>
      </c>
      <c r="N411" s="267">
        <f t="shared" ref="N411" si="59">SUM(L411:M411)</f>
        <v>0</v>
      </c>
      <c r="O411" s="268">
        <f t="shared" ref="O411" si="60">SUM(P411:Z411)</f>
        <v>500</v>
      </c>
      <c r="P411" s="239">
        <f>2000-1500</f>
        <v>500</v>
      </c>
      <c r="Q411" s="239"/>
      <c r="R411" s="239"/>
      <c r="S411" s="239"/>
      <c r="T411" s="239"/>
      <c r="U411" s="240"/>
      <c r="V411" s="240"/>
      <c r="W411" s="240"/>
      <c r="X411" s="278"/>
      <c r="Y411" s="239"/>
      <c r="Z411" s="237"/>
      <c r="AA411" s="247"/>
      <c r="AB411" s="238" t="s">
        <v>27632</v>
      </c>
      <c r="AC411" s="196">
        <f t="shared" si="52"/>
        <v>500</v>
      </c>
      <c r="AD411" s="196">
        <f t="shared" si="53"/>
        <v>500</v>
      </c>
      <c r="AE411" s="196">
        <f t="shared" si="54"/>
        <v>0</v>
      </c>
      <c r="AF411" s="2">
        <f t="shared" si="55"/>
        <v>500</v>
      </c>
      <c r="AG411" s="2">
        <f t="shared" si="56"/>
        <v>0</v>
      </c>
    </row>
    <row r="412" spans="1:33">
      <c r="A412" s="20" t="s">
        <v>1231</v>
      </c>
      <c r="B412" s="161"/>
      <c r="C412" s="21" t="s">
        <v>4051</v>
      </c>
      <c r="D412" s="109" t="s">
        <v>13640</v>
      </c>
      <c r="E412" s="109" t="s">
        <v>13627</v>
      </c>
      <c r="F412" s="391" t="s">
        <v>13738</v>
      </c>
      <c r="G412" s="23"/>
      <c r="H412" s="23"/>
      <c r="I412" s="23"/>
      <c r="J412" s="23"/>
      <c r="K412" s="23"/>
      <c r="L412" s="350"/>
      <c r="M412" s="351"/>
      <c r="N412" s="267">
        <f t="shared" si="57"/>
        <v>0</v>
      </c>
      <c r="O412" s="268">
        <f t="shared" si="58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79"/>
      <c r="AB412" s="238"/>
      <c r="AC412" s="196">
        <f t="shared" si="52"/>
        <v>0</v>
      </c>
      <c r="AD412" s="196">
        <f t="shared" si="53"/>
        <v>0</v>
      </c>
      <c r="AE412" s="196">
        <f t="shared" si="54"/>
        <v>0</v>
      </c>
      <c r="AF412" s="2">
        <f t="shared" si="55"/>
        <v>0</v>
      </c>
      <c r="AG412" s="2">
        <f t="shared" si="56"/>
        <v>0</v>
      </c>
    </row>
    <row r="413" spans="1:33">
      <c r="A413" s="20" t="s">
        <v>1233</v>
      </c>
      <c r="B413" s="162" t="s">
        <v>5815</v>
      </c>
      <c r="C413" s="21" t="s">
        <v>4051</v>
      </c>
      <c r="D413" s="109" t="s">
        <v>13739</v>
      </c>
      <c r="E413" s="109"/>
      <c r="F413" s="391" t="s">
        <v>13740</v>
      </c>
      <c r="G413" s="23" t="s">
        <v>13540</v>
      </c>
      <c r="H413" s="23" t="s">
        <v>13639</v>
      </c>
      <c r="I413" s="23" t="s">
        <v>13486</v>
      </c>
      <c r="J413" s="23"/>
      <c r="K413" s="23"/>
      <c r="L413" s="375" t="s">
        <v>7787</v>
      </c>
      <c r="M413" s="351" t="s">
        <v>7787</v>
      </c>
      <c r="N413" s="267">
        <f t="shared" si="57"/>
        <v>0</v>
      </c>
      <c r="O413" s="268">
        <f t="shared" si="58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2"/>
        <v>0</v>
      </c>
      <c r="AD413" s="196">
        <f t="shared" si="53"/>
        <v>0</v>
      </c>
      <c r="AE413" s="196">
        <f t="shared" si="54"/>
        <v>0</v>
      </c>
      <c r="AF413" s="2">
        <f t="shared" si="55"/>
        <v>0</v>
      </c>
      <c r="AG413" s="2">
        <f t="shared" si="56"/>
        <v>0</v>
      </c>
    </row>
    <row r="414" spans="1:33">
      <c r="A414" s="20" t="s">
        <v>1234</v>
      </c>
      <c r="B414" s="150"/>
      <c r="C414" s="21" t="s">
        <v>4051</v>
      </c>
      <c r="D414" s="109" t="s">
        <v>13549</v>
      </c>
      <c r="E414" s="109"/>
      <c r="F414" s="391" t="s">
        <v>13741</v>
      </c>
      <c r="G414" s="23" t="s">
        <v>13540</v>
      </c>
      <c r="H414" s="23" t="s">
        <v>13639</v>
      </c>
      <c r="I414" s="23"/>
      <c r="J414" s="23"/>
      <c r="K414" s="23"/>
      <c r="L414" s="375" t="s">
        <v>7787</v>
      </c>
      <c r="M414" s="351" t="s">
        <v>7787</v>
      </c>
      <c r="N414" s="267">
        <f t="shared" si="57"/>
        <v>0</v>
      </c>
      <c r="O414" s="268">
        <f t="shared" si="58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85"/>
      <c r="AB414" s="238"/>
      <c r="AC414" s="196">
        <f t="shared" si="52"/>
        <v>0</v>
      </c>
      <c r="AD414" s="196">
        <f t="shared" si="53"/>
        <v>0</v>
      </c>
      <c r="AE414" s="196">
        <f t="shared" si="54"/>
        <v>0</v>
      </c>
      <c r="AF414" s="2">
        <f t="shared" si="55"/>
        <v>0</v>
      </c>
      <c r="AG414" s="2">
        <f t="shared" si="56"/>
        <v>0</v>
      </c>
    </row>
    <row r="415" spans="1:33">
      <c r="A415" s="20" t="s">
        <v>1235</v>
      </c>
      <c r="B415" s="150"/>
      <c r="C415" s="21" t="s">
        <v>4051</v>
      </c>
      <c r="D415" s="109" t="s">
        <v>13550</v>
      </c>
      <c r="E415" s="109"/>
      <c r="F415" s="391" t="s">
        <v>13742</v>
      </c>
      <c r="G415" s="23"/>
      <c r="H415" s="23"/>
      <c r="I415" s="23"/>
      <c r="J415" s="23"/>
      <c r="K415" s="23"/>
      <c r="L415" s="350"/>
      <c r="M415" s="351"/>
      <c r="N415" s="267">
        <f t="shared" si="57"/>
        <v>0</v>
      </c>
      <c r="O415" s="268">
        <f t="shared" si="58"/>
        <v>0</v>
      </c>
      <c r="P415" s="239"/>
      <c r="Q415" s="239"/>
      <c r="R415" s="239"/>
      <c r="S415" s="239"/>
      <c r="T415" s="239"/>
      <c r="U415" s="240"/>
      <c r="V415" s="240"/>
      <c r="W415" s="240"/>
      <c r="X415" s="278"/>
      <c r="Y415" s="237"/>
      <c r="Z415" s="237"/>
      <c r="AA415" s="279"/>
      <c r="AB415" s="238"/>
      <c r="AC415" s="196">
        <f t="shared" si="52"/>
        <v>0</v>
      </c>
      <c r="AD415" s="196">
        <f t="shared" si="53"/>
        <v>0</v>
      </c>
      <c r="AE415" s="196">
        <f t="shared" si="54"/>
        <v>0</v>
      </c>
      <c r="AF415" s="2">
        <f t="shared" si="55"/>
        <v>0</v>
      </c>
      <c r="AG415" s="2">
        <f t="shared" si="56"/>
        <v>0</v>
      </c>
    </row>
    <row r="416" spans="1:33">
      <c r="A416" s="20" t="s">
        <v>1237</v>
      </c>
      <c r="B416" s="150"/>
      <c r="C416" s="21" t="s">
        <v>4051</v>
      </c>
      <c r="D416" s="109" t="s">
        <v>13551</v>
      </c>
      <c r="E416" s="109"/>
      <c r="F416" s="391" t="s">
        <v>13743</v>
      </c>
      <c r="G416" s="23" t="s">
        <v>13540</v>
      </c>
      <c r="H416" s="23" t="s">
        <v>13744</v>
      </c>
      <c r="I416" s="23"/>
      <c r="J416" s="23"/>
      <c r="K416" s="23"/>
      <c r="L416" s="350"/>
      <c r="M416" s="351"/>
      <c r="N416" s="267">
        <f t="shared" si="57"/>
        <v>0</v>
      </c>
      <c r="O416" s="268">
        <f t="shared" si="58"/>
        <v>100</v>
      </c>
      <c r="P416" s="239"/>
      <c r="Q416" s="239"/>
      <c r="R416" s="239"/>
      <c r="S416" s="239">
        <v>100</v>
      </c>
      <c r="T416" s="239"/>
      <c r="U416" s="240"/>
      <c r="V416" s="240"/>
      <c r="W416" s="240"/>
      <c r="X416" s="278"/>
      <c r="Y416" s="237"/>
      <c r="Z416" s="237"/>
      <c r="AA416" s="279"/>
      <c r="AB416" s="238" t="s">
        <v>21320</v>
      </c>
      <c r="AC416" s="196">
        <f t="shared" si="52"/>
        <v>100</v>
      </c>
      <c r="AD416" s="196">
        <f t="shared" si="53"/>
        <v>100</v>
      </c>
      <c r="AE416" s="196">
        <f t="shared" si="54"/>
        <v>0</v>
      </c>
      <c r="AF416" s="2">
        <f t="shared" si="55"/>
        <v>100</v>
      </c>
      <c r="AG416" s="2">
        <f t="shared" si="56"/>
        <v>0</v>
      </c>
    </row>
    <row r="417" spans="1:33">
      <c r="A417" s="377" t="s">
        <v>1236</v>
      </c>
      <c r="B417" s="150"/>
      <c r="C417" s="213" t="s">
        <v>13754</v>
      </c>
      <c r="D417" s="109" t="s">
        <v>13551</v>
      </c>
      <c r="E417" s="109"/>
      <c r="F417" s="393" t="s">
        <v>13755</v>
      </c>
      <c r="G417" s="380" t="s">
        <v>13756</v>
      </c>
      <c r="H417" s="380" t="s">
        <v>13757</v>
      </c>
      <c r="I417" s="380" t="s">
        <v>13758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7"/>
        <v>0</v>
      </c>
      <c r="O417" s="268">
        <f t="shared" si="58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2"/>
        <v>0</v>
      </c>
      <c r="AD417" s="196">
        <f t="shared" si="53"/>
        <v>0</v>
      </c>
      <c r="AE417" s="196">
        <f t="shared" si="54"/>
        <v>0</v>
      </c>
      <c r="AF417" s="2">
        <f t="shared" si="55"/>
        <v>0</v>
      </c>
      <c r="AG417" s="2">
        <f t="shared" si="56"/>
        <v>0</v>
      </c>
    </row>
    <row r="418" spans="1:33">
      <c r="A418" s="377" t="s">
        <v>1236</v>
      </c>
      <c r="B418" s="150"/>
      <c r="C418" s="213" t="s">
        <v>17115</v>
      </c>
      <c r="D418" s="109" t="s">
        <v>3101</v>
      </c>
      <c r="E418" s="109"/>
      <c r="F418" s="393" t="s">
        <v>4241</v>
      </c>
      <c r="G418" s="380" t="s">
        <v>13214</v>
      </c>
      <c r="H418" s="380" t="s">
        <v>13341</v>
      </c>
      <c r="I418" s="380" t="s">
        <v>13409</v>
      </c>
      <c r="J418" s="380" t="s">
        <v>13759</v>
      </c>
      <c r="K418" s="380"/>
      <c r="L418" s="375" t="s">
        <v>7787</v>
      </c>
      <c r="M418" s="351" t="s">
        <v>7787</v>
      </c>
      <c r="N418" s="267">
        <f t="shared" si="57"/>
        <v>0</v>
      </c>
      <c r="O418" s="268">
        <f t="shared" si="58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2"/>
        <v>0</v>
      </c>
      <c r="AD418" s="196">
        <f t="shared" si="53"/>
        <v>0</v>
      </c>
      <c r="AE418" s="196">
        <f t="shared" si="54"/>
        <v>0</v>
      </c>
      <c r="AF418" s="2">
        <f t="shared" si="55"/>
        <v>0</v>
      </c>
      <c r="AG418" s="2">
        <f t="shared" si="56"/>
        <v>0</v>
      </c>
    </row>
    <row r="419" spans="1:33">
      <c r="A419" s="20" t="s">
        <v>13107</v>
      </c>
      <c r="B419" s="150"/>
      <c r="C419" s="21" t="s">
        <v>17169</v>
      </c>
      <c r="D419" s="109" t="s">
        <v>3096</v>
      </c>
      <c r="E419" s="109"/>
      <c r="F419" s="393" t="s">
        <v>4241</v>
      </c>
      <c r="G419" s="380" t="s">
        <v>13341</v>
      </c>
      <c r="H419" s="380"/>
      <c r="I419" s="380"/>
      <c r="J419" s="380"/>
      <c r="K419" s="380"/>
      <c r="L419" s="375"/>
      <c r="M419" s="351"/>
      <c r="N419" s="267">
        <f t="shared" si="57"/>
        <v>0</v>
      </c>
      <c r="O419" s="268">
        <f t="shared" si="58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2"/>
        <v>0</v>
      </c>
      <c r="AD419" s="196">
        <f t="shared" si="53"/>
        <v>0</v>
      </c>
      <c r="AE419" s="196">
        <f t="shared" si="54"/>
        <v>0</v>
      </c>
      <c r="AF419" s="2">
        <f t="shared" si="55"/>
        <v>0</v>
      </c>
      <c r="AG419" s="2">
        <f t="shared" si="56"/>
        <v>0</v>
      </c>
    </row>
    <row r="420" spans="1:33">
      <c r="A420" s="20" t="s">
        <v>1232</v>
      </c>
      <c r="B420" s="161"/>
      <c r="C420" s="21" t="s">
        <v>13745</v>
      </c>
      <c r="D420" s="109" t="s">
        <v>13553</v>
      </c>
      <c r="E420" s="109"/>
      <c r="F420" s="391" t="s">
        <v>13746</v>
      </c>
      <c r="G420" s="23" t="s">
        <v>13673</v>
      </c>
      <c r="H420" s="23"/>
      <c r="I420" s="23"/>
      <c r="J420" s="23"/>
      <c r="K420" s="23"/>
      <c r="L420" s="350"/>
      <c r="M420" s="351"/>
      <c r="N420" s="267">
        <f t="shared" si="57"/>
        <v>0</v>
      </c>
      <c r="O420" s="268">
        <f t="shared" si="58"/>
        <v>0</v>
      </c>
      <c r="P420" s="239"/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79"/>
      <c r="AB420" s="238"/>
      <c r="AC420" s="196">
        <f t="shared" si="52"/>
        <v>0</v>
      </c>
      <c r="AD420" s="196">
        <f t="shared" si="53"/>
        <v>0</v>
      </c>
      <c r="AE420" s="196">
        <f t="shared" si="54"/>
        <v>0</v>
      </c>
      <c r="AF420" s="2">
        <f t="shared" si="55"/>
        <v>0</v>
      </c>
      <c r="AG420" s="2">
        <f t="shared" si="56"/>
        <v>0</v>
      </c>
    </row>
    <row r="421" spans="1:33">
      <c r="A421" s="20" t="s">
        <v>11024</v>
      </c>
      <c r="B421" s="150"/>
      <c r="C421" s="21" t="s">
        <v>4049</v>
      </c>
      <c r="D421" s="109" t="s">
        <v>13747</v>
      </c>
      <c r="E421" s="109"/>
      <c r="F421" s="391" t="s">
        <v>13748</v>
      </c>
      <c r="G421" s="23" t="s">
        <v>13749</v>
      </c>
      <c r="H421" s="23" t="s">
        <v>26077</v>
      </c>
      <c r="I421" s="23"/>
      <c r="J421" s="23"/>
      <c r="K421" s="23"/>
      <c r="L421" s="375" t="s">
        <v>45</v>
      </c>
      <c r="M421" s="351"/>
      <c r="N421" s="267">
        <f t="shared" si="57"/>
        <v>0</v>
      </c>
      <c r="O421" s="268">
        <f t="shared" si="58"/>
        <v>50</v>
      </c>
      <c r="P421" s="239">
        <f>400-50-100-100+100-200</f>
        <v>50</v>
      </c>
      <c r="Q421" s="239"/>
      <c r="R421" s="239"/>
      <c r="S421" s="239"/>
      <c r="T421" s="239"/>
      <c r="U421" s="240"/>
      <c r="V421" s="240"/>
      <c r="W421" s="240"/>
      <c r="X421" s="278"/>
      <c r="Y421" s="237"/>
      <c r="Z421" s="237"/>
      <c r="AA421" s="239"/>
      <c r="AB421" s="238" t="s">
        <v>26078</v>
      </c>
      <c r="AC421" s="196">
        <f t="shared" si="52"/>
        <v>50</v>
      </c>
      <c r="AD421" s="196">
        <f t="shared" si="53"/>
        <v>50</v>
      </c>
      <c r="AE421" s="196">
        <f t="shared" si="54"/>
        <v>0</v>
      </c>
      <c r="AF421" s="2">
        <f t="shared" si="55"/>
        <v>50</v>
      </c>
      <c r="AG421" s="2">
        <f t="shared" si="56"/>
        <v>0</v>
      </c>
    </row>
    <row r="422" spans="1:33">
      <c r="A422" s="20" t="s">
        <v>1229</v>
      </c>
      <c r="B422" s="150"/>
      <c r="C422" s="21" t="s">
        <v>4049</v>
      </c>
      <c r="D422" s="109" t="s">
        <v>13544</v>
      </c>
      <c r="E422" s="109"/>
      <c r="F422" s="391" t="s">
        <v>13748</v>
      </c>
      <c r="G422" s="23" t="s">
        <v>13546</v>
      </c>
      <c r="H422" s="23" t="s">
        <v>13750</v>
      </c>
      <c r="I422" s="23"/>
      <c r="J422" s="23"/>
      <c r="K422" s="23"/>
      <c r="L422" s="375" t="s">
        <v>7787</v>
      </c>
      <c r="M422" s="351" t="s">
        <v>7787</v>
      </c>
      <c r="N422" s="267">
        <f t="shared" si="57"/>
        <v>0</v>
      </c>
      <c r="O422" s="268">
        <f t="shared" si="58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43"/>
      <c r="Z422" s="237"/>
      <c r="AA422" s="279"/>
      <c r="AB422" s="238"/>
      <c r="AC422" s="196">
        <f t="shared" si="52"/>
        <v>0</v>
      </c>
      <c r="AD422" s="196">
        <f t="shared" si="53"/>
        <v>0</v>
      </c>
      <c r="AE422" s="196">
        <f t="shared" si="54"/>
        <v>0</v>
      </c>
      <c r="AF422" s="2">
        <f t="shared" si="55"/>
        <v>0</v>
      </c>
      <c r="AG422" s="2">
        <f t="shared" si="56"/>
        <v>0</v>
      </c>
    </row>
    <row r="423" spans="1:33">
      <c r="A423" s="20" t="s">
        <v>9087</v>
      </c>
      <c r="B423" s="150"/>
      <c r="C423" s="21" t="s">
        <v>4049</v>
      </c>
      <c r="D423" s="109" t="s">
        <v>13747</v>
      </c>
      <c r="E423" s="109" t="s">
        <v>13633</v>
      </c>
      <c r="F423" s="391" t="s">
        <v>13748</v>
      </c>
      <c r="G423" s="23" t="s">
        <v>13751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7"/>
        <v>0</v>
      </c>
      <c r="O423" s="268">
        <f t="shared" si="58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2"/>
        <v>0</v>
      </c>
      <c r="AD423" s="196">
        <f t="shared" si="53"/>
        <v>0</v>
      </c>
      <c r="AE423" s="196">
        <f t="shared" si="54"/>
        <v>0</v>
      </c>
      <c r="AF423" s="2">
        <f t="shared" si="55"/>
        <v>0</v>
      </c>
      <c r="AG423" s="2">
        <f t="shared" si="56"/>
        <v>0</v>
      </c>
    </row>
    <row r="424" spans="1:33">
      <c r="A424" s="20" t="s">
        <v>19218</v>
      </c>
      <c r="B424" s="150"/>
      <c r="C424" s="21" t="s">
        <v>4049</v>
      </c>
      <c r="D424" s="109" t="s">
        <v>3935</v>
      </c>
      <c r="E424" s="109" t="s">
        <v>19349</v>
      </c>
      <c r="F424" s="391" t="s">
        <v>4232</v>
      </c>
      <c r="G424" s="23" t="s">
        <v>13515</v>
      </c>
      <c r="H424" s="23"/>
      <c r="I424" s="23"/>
      <c r="J424" s="23"/>
      <c r="K424" s="23"/>
      <c r="L424" s="375" t="s">
        <v>7787</v>
      </c>
      <c r="M424" s="351" t="s">
        <v>7787</v>
      </c>
      <c r="N424" s="267">
        <f t="shared" si="57"/>
        <v>0</v>
      </c>
      <c r="O424" s="268">
        <f t="shared" si="58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2"/>
        <v>0</v>
      </c>
      <c r="AD424" s="196">
        <f t="shared" si="53"/>
        <v>0</v>
      </c>
      <c r="AE424" s="196">
        <f t="shared" si="54"/>
        <v>0</v>
      </c>
      <c r="AF424" s="2">
        <f t="shared" si="55"/>
        <v>0</v>
      </c>
      <c r="AG424" s="2">
        <f t="shared" si="56"/>
        <v>0</v>
      </c>
    </row>
    <row r="425" spans="1:33">
      <c r="A425" s="20" t="s">
        <v>20495</v>
      </c>
      <c r="B425" s="150"/>
      <c r="C425" s="21" t="s">
        <v>4049</v>
      </c>
      <c r="D425" s="109" t="s">
        <v>20612</v>
      </c>
      <c r="E425" s="109" t="s">
        <v>20613</v>
      </c>
      <c r="F425" s="391" t="s">
        <v>4232</v>
      </c>
      <c r="G425" s="23" t="s">
        <v>20615</v>
      </c>
      <c r="H425" s="23"/>
      <c r="I425" s="23"/>
      <c r="J425" s="23"/>
      <c r="K425" s="23"/>
      <c r="L425" s="375" t="s">
        <v>7787</v>
      </c>
      <c r="M425" s="351"/>
      <c r="N425" s="267">
        <f t="shared" si="57"/>
        <v>0</v>
      </c>
      <c r="O425" s="268">
        <f t="shared" si="58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2"/>
        <v>0</v>
      </c>
      <c r="AD425" s="196">
        <f t="shared" si="53"/>
        <v>0</v>
      </c>
      <c r="AE425" s="196">
        <f t="shared" si="54"/>
        <v>0</v>
      </c>
      <c r="AF425" s="2">
        <f t="shared" si="55"/>
        <v>0</v>
      </c>
      <c r="AG425" s="2">
        <f t="shared" si="56"/>
        <v>0</v>
      </c>
    </row>
    <row r="426" spans="1:33">
      <c r="A426" s="20" t="s">
        <v>20496</v>
      </c>
      <c r="B426" s="150"/>
      <c r="C426" s="21" t="s">
        <v>4049</v>
      </c>
      <c r="D426" s="109" t="s">
        <v>20612</v>
      </c>
      <c r="E426" s="109" t="s">
        <v>20614</v>
      </c>
      <c r="F426" s="391" t="s">
        <v>4232</v>
      </c>
      <c r="G426" s="23" t="s">
        <v>20615</v>
      </c>
      <c r="H426" s="23"/>
      <c r="I426" s="23"/>
      <c r="J426" s="23"/>
      <c r="K426" s="23"/>
      <c r="L426" s="375"/>
      <c r="M426" s="351"/>
      <c r="N426" s="267">
        <f t="shared" si="57"/>
        <v>0</v>
      </c>
      <c r="O426" s="268">
        <f t="shared" si="58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9"/>
      <c r="Z426" s="237"/>
      <c r="AA426" s="279"/>
      <c r="AB426" s="238"/>
      <c r="AC426" s="196">
        <f t="shared" si="52"/>
        <v>0</v>
      </c>
      <c r="AD426" s="196">
        <f t="shared" si="53"/>
        <v>0</v>
      </c>
      <c r="AE426" s="196">
        <f t="shared" si="54"/>
        <v>0</v>
      </c>
      <c r="AF426" s="2">
        <f t="shared" si="55"/>
        <v>0</v>
      </c>
      <c r="AG426" s="2">
        <f t="shared" si="56"/>
        <v>0</v>
      </c>
    </row>
    <row r="427" spans="1:33">
      <c r="A427" s="20" t="s">
        <v>1230</v>
      </c>
      <c r="B427" s="150"/>
      <c r="C427" s="21" t="s">
        <v>4050</v>
      </c>
      <c r="D427" s="109" t="s">
        <v>13631</v>
      </c>
      <c r="E427" s="109" t="s">
        <v>13752</v>
      </c>
      <c r="F427" s="391" t="s">
        <v>13753</v>
      </c>
      <c r="G427" s="23" t="s">
        <v>13543</v>
      </c>
      <c r="H427" s="23"/>
      <c r="I427" s="23"/>
      <c r="J427" s="23"/>
      <c r="K427" s="23"/>
      <c r="L427" s="375" t="s">
        <v>7787</v>
      </c>
      <c r="M427" s="351" t="s">
        <v>7787</v>
      </c>
      <c r="N427" s="267">
        <f t="shared" si="57"/>
        <v>0</v>
      </c>
      <c r="O427" s="268">
        <f t="shared" si="58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2"/>
        <v>0</v>
      </c>
      <c r="AD427" s="196">
        <f t="shared" si="53"/>
        <v>0</v>
      </c>
      <c r="AE427" s="196">
        <f t="shared" si="54"/>
        <v>0</v>
      </c>
      <c r="AF427" s="2">
        <f t="shared" si="55"/>
        <v>0</v>
      </c>
      <c r="AG427" s="2">
        <f t="shared" si="56"/>
        <v>0</v>
      </c>
    </row>
    <row r="428" spans="1:33">
      <c r="A428" s="20" t="s">
        <v>1256</v>
      </c>
      <c r="B428" s="150"/>
      <c r="C428" s="21" t="s">
        <v>3897</v>
      </c>
      <c r="D428" s="109" t="s">
        <v>13760</v>
      </c>
      <c r="E428" s="109" t="s">
        <v>13671</v>
      </c>
      <c r="F428" s="391" t="s">
        <v>13761</v>
      </c>
      <c r="G428" s="23"/>
      <c r="H428" s="23"/>
      <c r="I428" s="23"/>
      <c r="J428" s="23"/>
      <c r="K428" s="23"/>
      <c r="L428" s="350"/>
      <c r="M428" s="351"/>
      <c r="N428" s="267">
        <f t="shared" si="57"/>
        <v>0</v>
      </c>
      <c r="O428" s="268">
        <f t="shared" si="58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79"/>
      <c r="AB428" s="238"/>
      <c r="AC428" s="196">
        <f t="shared" si="52"/>
        <v>0</v>
      </c>
      <c r="AD428" s="196">
        <f t="shared" si="53"/>
        <v>0</v>
      </c>
      <c r="AE428" s="196">
        <f t="shared" si="54"/>
        <v>0</v>
      </c>
      <c r="AF428" s="2">
        <f t="shared" si="55"/>
        <v>0</v>
      </c>
      <c r="AG428" s="2">
        <f t="shared" si="56"/>
        <v>0</v>
      </c>
    </row>
    <row r="429" spans="1:33">
      <c r="A429" s="20" t="s">
        <v>1240</v>
      </c>
      <c r="B429" s="150"/>
      <c r="C429" s="21" t="s">
        <v>3897</v>
      </c>
      <c r="D429" s="109" t="s">
        <v>13653</v>
      </c>
      <c r="E429" s="109" t="s">
        <v>13633</v>
      </c>
      <c r="F429" s="391" t="s">
        <v>13762</v>
      </c>
      <c r="G429" s="23" t="s">
        <v>13763</v>
      </c>
      <c r="H429" s="23"/>
      <c r="I429" s="23"/>
      <c r="J429" s="23"/>
      <c r="K429" s="23"/>
      <c r="L429" s="350"/>
      <c r="M429" s="351"/>
      <c r="N429" s="267">
        <f t="shared" si="57"/>
        <v>0</v>
      </c>
      <c r="O429" s="268">
        <f t="shared" si="58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85"/>
      <c r="AB429" s="238"/>
      <c r="AC429" s="196">
        <f t="shared" si="52"/>
        <v>0</v>
      </c>
      <c r="AD429" s="196">
        <f t="shared" si="53"/>
        <v>0</v>
      </c>
      <c r="AE429" s="196">
        <f t="shared" si="54"/>
        <v>0</v>
      </c>
      <c r="AF429" s="2">
        <f t="shared" si="55"/>
        <v>0</v>
      </c>
      <c r="AG429" s="2">
        <f t="shared" si="56"/>
        <v>0</v>
      </c>
    </row>
    <row r="430" spans="1:33">
      <c r="A430" s="20" t="s">
        <v>1238</v>
      </c>
      <c r="B430" s="150"/>
      <c r="C430" s="21" t="s">
        <v>3897</v>
      </c>
      <c r="D430" s="109" t="s">
        <v>13640</v>
      </c>
      <c r="E430" s="109" t="s">
        <v>13630</v>
      </c>
      <c r="F430" s="391" t="s">
        <v>13764</v>
      </c>
      <c r="G430" s="23"/>
      <c r="H430" s="23"/>
      <c r="I430" s="23"/>
      <c r="J430" s="23"/>
      <c r="K430" s="23"/>
      <c r="L430" s="350"/>
      <c r="M430" s="351"/>
      <c r="N430" s="267">
        <f t="shared" si="57"/>
        <v>0</v>
      </c>
      <c r="O430" s="268">
        <f t="shared" si="58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2"/>
        <v>0</v>
      </c>
      <c r="AD430" s="196">
        <f t="shared" si="53"/>
        <v>0</v>
      </c>
      <c r="AE430" s="196">
        <f t="shared" si="54"/>
        <v>0</v>
      </c>
      <c r="AF430" s="2">
        <f t="shared" si="55"/>
        <v>0</v>
      </c>
      <c r="AG430" s="2">
        <f t="shared" si="56"/>
        <v>0</v>
      </c>
    </row>
    <row r="431" spans="1:33">
      <c r="A431" s="20" t="s">
        <v>19219</v>
      </c>
      <c r="B431" s="150"/>
      <c r="C431" s="21" t="s">
        <v>3897</v>
      </c>
      <c r="D431" s="109" t="s">
        <v>19370</v>
      </c>
      <c r="E431" s="109" t="s">
        <v>19371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 t="s">
        <v>7787</v>
      </c>
      <c r="N431" s="267">
        <f t="shared" si="57"/>
        <v>0</v>
      </c>
      <c r="O431" s="268">
        <f t="shared" si="58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2"/>
        <v>0</v>
      </c>
      <c r="AD431" s="196">
        <f t="shared" si="53"/>
        <v>0</v>
      </c>
      <c r="AE431" s="196">
        <f t="shared" si="54"/>
        <v>0</v>
      </c>
      <c r="AF431" s="2">
        <f t="shared" si="55"/>
        <v>0</v>
      </c>
      <c r="AG431" s="2">
        <f t="shared" si="56"/>
        <v>0</v>
      </c>
    </row>
    <row r="432" spans="1:33">
      <c r="A432" s="20" t="s">
        <v>19220</v>
      </c>
      <c r="B432" s="150"/>
      <c r="C432" s="21" t="s">
        <v>3897</v>
      </c>
      <c r="D432" s="109" t="s">
        <v>19370</v>
      </c>
      <c r="E432" s="109" t="s">
        <v>19419</v>
      </c>
      <c r="F432" s="391" t="s">
        <v>4243</v>
      </c>
      <c r="G432" s="23" t="s">
        <v>19420</v>
      </c>
      <c r="H432" s="23"/>
      <c r="I432" s="23"/>
      <c r="J432" s="23"/>
      <c r="K432" s="23"/>
      <c r="L432" s="375" t="s">
        <v>7787</v>
      </c>
      <c r="M432" s="351"/>
      <c r="N432" s="267">
        <f t="shared" si="57"/>
        <v>0</v>
      </c>
      <c r="O432" s="268">
        <f t="shared" si="58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79"/>
      <c r="AB432" s="238"/>
      <c r="AC432" s="196">
        <f t="shared" si="52"/>
        <v>0</v>
      </c>
      <c r="AD432" s="196">
        <f t="shared" si="53"/>
        <v>0</v>
      </c>
      <c r="AE432" s="196">
        <f t="shared" si="54"/>
        <v>0</v>
      </c>
      <c r="AF432" s="2">
        <f t="shared" si="55"/>
        <v>0</v>
      </c>
      <c r="AG432" s="2">
        <f t="shared" si="56"/>
        <v>0</v>
      </c>
    </row>
    <row r="433" spans="1:33">
      <c r="A433" s="20" t="s">
        <v>1239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13765</v>
      </c>
      <c r="G433" s="23"/>
      <c r="H433" s="23"/>
      <c r="I433" s="23"/>
      <c r="J433" s="23"/>
      <c r="K433" s="23"/>
      <c r="L433" s="350"/>
      <c r="M433" s="351"/>
      <c r="N433" s="267">
        <f t="shared" si="57"/>
        <v>0</v>
      </c>
      <c r="O433" s="268">
        <f t="shared" si="58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85"/>
      <c r="AB433" s="238"/>
      <c r="AC433" s="196">
        <f t="shared" si="52"/>
        <v>0</v>
      </c>
      <c r="AD433" s="196">
        <f t="shared" si="53"/>
        <v>0</v>
      </c>
      <c r="AE433" s="196">
        <f t="shared" si="54"/>
        <v>0</v>
      </c>
      <c r="AF433" s="2">
        <f t="shared" si="55"/>
        <v>0</v>
      </c>
      <c r="AG433" s="2">
        <f t="shared" si="56"/>
        <v>0</v>
      </c>
    </row>
    <row r="434" spans="1:33">
      <c r="A434" s="20" t="s">
        <v>1257</v>
      </c>
      <c r="B434" s="150"/>
      <c r="C434" s="21" t="s">
        <v>3897</v>
      </c>
      <c r="D434" s="109" t="s">
        <v>13640</v>
      </c>
      <c r="E434" s="109" t="s">
        <v>13627</v>
      </c>
      <c r="F434" s="391" t="s">
        <v>13761</v>
      </c>
      <c r="G434" s="23"/>
      <c r="H434" s="23"/>
      <c r="I434" s="23"/>
      <c r="J434" s="23"/>
      <c r="K434" s="23"/>
      <c r="L434" s="350"/>
      <c r="M434" s="351"/>
      <c r="N434" s="267">
        <f t="shared" si="57"/>
        <v>0</v>
      </c>
      <c r="O434" s="268">
        <f t="shared" si="58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2"/>
        <v>0</v>
      </c>
      <c r="AD434" s="196">
        <f t="shared" si="53"/>
        <v>0</v>
      </c>
      <c r="AE434" s="196">
        <f t="shared" si="54"/>
        <v>0</v>
      </c>
      <c r="AF434" s="2">
        <f t="shared" si="55"/>
        <v>0</v>
      </c>
      <c r="AG434" s="2">
        <f t="shared" si="56"/>
        <v>0</v>
      </c>
    </row>
    <row r="435" spans="1:33">
      <c r="A435" s="20" t="s">
        <v>10748</v>
      </c>
      <c r="B435" s="150"/>
      <c r="C435" s="21" t="s">
        <v>3897</v>
      </c>
      <c r="D435" s="109" t="s">
        <v>13766</v>
      </c>
      <c r="E435" s="109" t="s">
        <v>13767</v>
      </c>
      <c r="F435" s="391" t="s">
        <v>13761</v>
      </c>
      <c r="G435" s="23" t="s">
        <v>13768</v>
      </c>
      <c r="H435" s="23"/>
      <c r="I435" s="23"/>
      <c r="J435" s="23"/>
      <c r="K435" s="23"/>
      <c r="L435" s="350"/>
      <c r="M435" s="351"/>
      <c r="N435" s="267">
        <f t="shared" si="57"/>
        <v>0</v>
      </c>
      <c r="O435" s="268">
        <f t="shared" si="58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2"/>
        <v>0</v>
      </c>
      <c r="AD435" s="196">
        <f t="shared" si="53"/>
        <v>0</v>
      </c>
      <c r="AE435" s="196">
        <f t="shared" si="54"/>
        <v>0</v>
      </c>
      <c r="AF435" s="2">
        <f t="shared" si="55"/>
        <v>0</v>
      </c>
      <c r="AG435" s="2">
        <f t="shared" si="56"/>
        <v>0</v>
      </c>
    </row>
    <row r="436" spans="1:33">
      <c r="A436" s="20" t="s">
        <v>1262</v>
      </c>
      <c r="B436" s="150"/>
      <c r="C436" s="21" t="s">
        <v>3897</v>
      </c>
      <c r="D436" s="109" t="s">
        <v>13769</v>
      </c>
      <c r="E436" s="109" t="s">
        <v>13661</v>
      </c>
      <c r="F436" s="391" t="s">
        <v>13761</v>
      </c>
      <c r="G436" s="23" t="s">
        <v>13543</v>
      </c>
      <c r="H436" s="23"/>
      <c r="I436" s="23"/>
      <c r="J436" s="23"/>
      <c r="K436" s="23"/>
      <c r="L436" s="350"/>
      <c r="M436" s="351"/>
      <c r="N436" s="267">
        <f t="shared" si="57"/>
        <v>0</v>
      </c>
      <c r="O436" s="268">
        <f t="shared" si="58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2"/>
        <v>0</v>
      </c>
      <c r="AD436" s="196">
        <f t="shared" si="53"/>
        <v>0</v>
      </c>
      <c r="AE436" s="196">
        <f t="shared" si="54"/>
        <v>0</v>
      </c>
      <c r="AF436" s="2">
        <f t="shared" si="55"/>
        <v>0</v>
      </c>
      <c r="AG436" s="2">
        <f t="shared" si="56"/>
        <v>0</v>
      </c>
    </row>
    <row r="437" spans="1:33">
      <c r="A437" s="20" t="s">
        <v>1263</v>
      </c>
      <c r="B437" s="150"/>
      <c r="C437" s="21" t="s">
        <v>3897</v>
      </c>
      <c r="D437" s="109" t="s">
        <v>13770</v>
      </c>
      <c r="E437" s="109"/>
      <c r="F437" s="391" t="s">
        <v>13761</v>
      </c>
      <c r="G437" s="23" t="s">
        <v>13543</v>
      </c>
      <c r="H437" s="23" t="s">
        <v>13771</v>
      </c>
      <c r="I437" s="23"/>
      <c r="J437" s="23"/>
      <c r="K437" s="23"/>
      <c r="L437" s="350"/>
      <c r="M437" s="351"/>
      <c r="N437" s="267">
        <f t="shared" si="57"/>
        <v>0</v>
      </c>
      <c r="O437" s="268">
        <f t="shared" si="58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2"/>
        <v>0</v>
      </c>
      <c r="AD437" s="196">
        <f t="shared" si="53"/>
        <v>0</v>
      </c>
      <c r="AE437" s="196">
        <f t="shared" si="54"/>
        <v>0</v>
      </c>
      <c r="AF437" s="2">
        <f t="shared" si="55"/>
        <v>0</v>
      </c>
      <c r="AG437" s="2">
        <f t="shared" si="56"/>
        <v>0</v>
      </c>
    </row>
    <row r="438" spans="1:33">
      <c r="A438" s="20" t="s">
        <v>1242</v>
      </c>
      <c r="B438" s="150"/>
      <c r="C438" s="21" t="s">
        <v>3897</v>
      </c>
      <c r="D438" s="109" t="s">
        <v>13772</v>
      </c>
      <c r="E438" s="109"/>
      <c r="F438" s="391" t="s">
        <v>13773</v>
      </c>
      <c r="G438" s="23"/>
      <c r="H438" s="23"/>
      <c r="I438" s="23"/>
      <c r="J438" s="23"/>
      <c r="K438" s="23"/>
      <c r="L438" s="375" t="s">
        <v>7787</v>
      </c>
      <c r="M438" s="351" t="s">
        <v>7787</v>
      </c>
      <c r="N438" s="267">
        <f t="shared" si="57"/>
        <v>0</v>
      </c>
      <c r="O438" s="268">
        <f t="shared" si="58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2"/>
        <v>0</v>
      </c>
      <c r="AD438" s="196">
        <f t="shared" si="53"/>
        <v>0</v>
      </c>
      <c r="AE438" s="196">
        <f t="shared" si="54"/>
        <v>0</v>
      </c>
      <c r="AF438" s="2">
        <f t="shared" si="55"/>
        <v>0</v>
      </c>
      <c r="AG438" s="2">
        <f t="shared" si="56"/>
        <v>0</v>
      </c>
    </row>
    <row r="439" spans="1:33">
      <c r="A439" s="20" t="s">
        <v>1252</v>
      </c>
      <c r="B439" s="162" t="s">
        <v>5816</v>
      </c>
      <c r="C439" s="21" t="s">
        <v>3897</v>
      </c>
      <c r="D439" s="109" t="s">
        <v>13551</v>
      </c>
      <c r="E439" s="109" t="s">
        <v>13661</v>
      </c>
      <c r="F439" s="391" t="s">
        <v>13761</v>
      </c>
      <c r="G439" s="23" t="s">
        <v>13543</v>
      </c>
      <c r="H439" s="23"/>
      <c r="I439" s="23"/>
      <c r="J439" s="23"/>
      <c r="K439" s="23"/>
      <c r="L439" s="350"/>
      <c r="M439" s="351"/>
      <c r="N439" s="267">
        <f t="shared" si="57"/>
        <v>0</v>
      </c>
      <c r="O439" s="268">
        <f t="shared" si="58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2"/>
        <v>0</v>
      </c>
      <c r="AD439" s="196">
        <f t="shared" si="53"/>
        <v>0</v>
      </c>
      <c r="AE439" s="196">
        <f t="shared" si="54"/>
        <v>0</v>
      </c>
      <c r="AF439" s="2">
        <f t="shared" si="55"/>
        <v>0</v>
      </c>
      <c r="AG439" s="2">
        <f t="shared" si="56"/>
        <v>0</v>
      </c>
    </row>
    <row r="440" spans="1:33">
      <c r="A440" s="20" t="s">
        <v>1253</v>
      </c>
      <c r="B440" s="150"/>
      <c r="C440" s="21" t="s">
        <v>3897</v>
      </c>
      <c r="D440" s="109" t="s">
        <v>13553</v>
      </c>
      <c r="E440" s="109"/>
      <c r="F440" s="391" t="s">
        <v>13761</v>
      </c>
      <c r="G440" s="23"/>
      <c r="H440" s="23"/>
      <c r="I440" s="23"/>
      <c r="J440" s="23"/>
      <c r="K440" s="23"/>
      <c r="L440" s="350"/>
      <c r="M440" s="351"/>
      <c r="N440" s="267">
        <f t="shared" si="57"/>
        <v>0</v>
      </c>
      <c r="O440" s="268">
        <f t="shared" si="58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7"/>
      <c r="Z440" s="237"/>
      <c r="AA440" s="279"/>
      <c r="AB440" s="238"/>
      <c r="AC440" s="196">
        <f t="shared" si="52"/>
        <v>0</v>
      </c>
      <c r="AD440" s="196">
        <f t="shared" si="53"/>
        <v>0</v>
      </c>
      <c r="AE440" s="196">
        <f t="shared" si="54"/>
        <v>0</v>
      </c>
      <c r="AF440" s="2">
        <f t="shared" si="55"/>
        <v>0</v>
      </c>
      <c r="AG440" s="2">
        <f t="shared" si="56"/>
        <v>0</v>
      </c>
    </row>
    <row r="441" spans="1:33">
      <c r="A441" s="20" t="s">
        <v>1241</v>
      </c>
      <c r="B441" s="150"/>
      <c r="C441" s="21" t="s">
        <v>3897</v>
      </c>
      <c r="D441" s="109" t="s">
        <v>13677</v>
      </c>
      <c r="E441" s="109" t="s">
        <v>13627</v>
      </c>
      <c r="F441" s="391" t="s">
        <v>13774</v>
      </c>
      <c r="G441" s="23" t="s">
        <v>13775</v>
      </c>
      <c r="H441" s="23"/>
      <c r="I441" s="23"/>
      <c r="J441" s="23"/>
      <c r="K441" s="23"/>
      <c r="L441" s="350"/>
      <c r="M441" s="351"/>
      <c r="N441" s="267">
        <f t="shared" si="57"/>
        <v>0</v>
      </c>
      <c r="O441" s="268">
        <f t="shared" si="58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79"/>
      <c r="AB441" s="238"/>
      <c r="AC441" s="196">
        <f t="shared" si="52"/>
        <v>0</v>
      </c>
      <c r="AD441" s="196">
        <f t="shared" si="53"/>
        <v>0</v>
      </c>
      <c r="AE441" s="196">
        <f t="shared" si="54"/>
        <v>0</v>
      </c>
      <c r="AF441" s="2">
        <f t="shared" si="55"/>
        <v>0</v>
      </c>
      <c r="AG441" s="2">
        <f t="shared" si="56"/>
        <v>0</v>
      </c>
    </row>
    <row r="442" spans="1:33">
      <c r="A442" s="20" t="s">
        <v>1260</v>
      </c>
      <c r="B442" s="151"/>
      <c r="C442" s="21" t="s">
        <v>3897</v>
      </c>
      <c r="D442" s="109" t="s">
        <v>13776</v>
      </c>
      <c r="E442" s="109"/>
      <c r="F442" s="391" t="s">
        <v>13761</v>
      </c>
      <c r="G442" s="23" t="s">
        <v>13756</v>
      </c>
      <c r="H442" s="23" t="s">
        <v>13676</v>
      </c>
      <c r="I442" s="23" t="s">
        <v>13777</v>
      </c>
      <c r="J442" s="23" t="s">
        <v>13778</v>
      </c>
      <c r="K442" s="23"/>
      <c r="L442" s="375"/>
      <c r="M442" s="351" t="s">
        <v>7787</v>
      </c>
      <c r="N442" s="267">
        <f t="shared" si="57"/>
        <v>0</v>
      </c>
      <c r="O442" s="268">
        <f t="shared" si="58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9"/>
      <c r="Z442" s="237"/>
      <c r="AA442" s="239"/>
      <c r="AB442" s="238"/>
      <c r="AC442" s="196">
        <f t="shared" si="52"/>
        <v>0</v>
      </c>
      <c r="AD442" s="196">
        <f t="shared" si="53"/>
        <v>0</v>
      </c>
      <c r="AE442" s="196">
        <f t="shared" si="54"/>
        <v>0</v>
      </c>
      <c r="AF442" s="2">
        <f t="shared" si="55"/>
        <v>0</v>
      </c>
      <c r="AG442" s="2">
        <f t="shared" si="56"/>
        <v>0</v>
      </c>
    </row>
    <row r="443" spans="1:33">
      <c r="A443" s="20" t="s">
        <v>1264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13780</v>
      </c>
      <c r="H443" s="23"/>
      <c r="I443" s="23"/>
      <c r="J443" s="23"/>
      <c r="K443" s="23"/>
      <c r="L443" s="350"/>
      <c r="M443" s="351"/>
      <c r="N443" s="267">
        <f t="shared" si="57"/>
        <v>0</v>
      </c>
      <c r="O443" s="268">
        <f t="shared" si="58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2"/>
        <v>0</v>
      </c>
      <c r="AD443" s="196">
        <f t="shared" si="53"/>
        <v>0</v>
      </c>
      <c r="AE443" s="196">
        <f t="shared" si="54"/>
        <v>0</v>
      </c>
      <c r="AF443" s="2">
        <f t="shared" si="55"/>
        <v>0</v>
      </c>
      <c r="AG443" s="2">
        <f t="shared" si="56"/>
        <v>0</v>
      </c>
    </row>
    <row r="444" spans="1:33">
      <c r="A444" s="20" t="s">
        <v>1265</v>
      </c>
      <c r="B444" s="161"/>
      <c r="C444" s="21" t="s">
        <v>3897</v>
      </c>
      <c r="D444" s="109" t="s">
        <v>13779</v>
      </c>
      <c r="E444" s="109"/>
      <c r="F444" s="391" t="s">
        <v>13761</v>
      </c>
      <c r="G444" s="23" t="s">
        <v>13543</v>
      </c>
      <c r="H444" s="23"/>
      <c r="I444" s="23"/>
      <c r="J444" s="23"/>
      <c r="K444" s="23"/>
      <c r="L444" s="350"/>
      <c r="M444" s="351"/>
      <c r="N444" s="267">
        <f t="shared" si="57"/>
        <v>0</v>
      </c>
      <c r="O444" s="268">
        <f t="shared" si="58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2"/>
        <v>0</v>
      </c>
      <c r="AD444" s="196">
        <f t="shared" si="53"/>
        <v>0</v>
      </c>
      <c r="AE444" s="196">
        <f t="shared" si="54"/>
        <v>0</v>
      </c>
      <c r="AF444" s="2">
        <f t="shared" si="55"/>
        <v>0</v>
      </c>
      <c r="AG444" s="2">
        <f t="shared" si="56"/>
        <v>0</v>
      </c>
    </row>
    <row r="445" spans="1:33">
      <c r="A445" s="20" t="s">
        <v>1254</v>
      </c>
      <c r="B445" s="150"/>
      <c r="C445" s="21" t="s">
        <v>3897</v>
      </c>
      <c r="D445" s="109" t="s">
        <v>13544</v>
      </c>
      <c r="E445" s="109" t="s">
        <v>13781</v>
      </c>
      <c r="F445" s="391" t="s">
        <v>13761</v>
      </c>
      <c r="G445" s="23" t="s">
        <v>13546</v>
      </c>
      <c r="H445" s="23"/>
      <c r="I445" s="23"/>
      <c r="J445" s="23"/>
      <c r="K445" s="23"/>
      <c r="L445" s="350"/>
      <c r="M445" s="351"/>
      <c r="N445" s="267">
        <f t="shared" si="57"/>
        <v>0</v>
      </c>
      <c r="O445" s="268">
        <f t="shared" si="58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2"/>
        <v>0</v>
      </c>
      <c r="AD445" s="196">
        <f t="shared" si="53"/>
        <v>0</v>
      </c>
      <c r="AE445" s="196">
        <f t="shared" si="54"/>
        <v>0</v>
      </c>
      <c r="AF445" s="2">
        <f t="shared" si="55"/>
        <v>0</v>
      </c>
      <c r="AG445" s="2">
        <f t="shared" si="56"/>
        <v>0</v>
      </c>
    </row>
    <row r="446" spans="1:33">
      <c r="A446" s="20" t="s">
        <v>1255</v>
      </c>
      <c r="B446" s="161"/>
      <c r="C446" s="21" t="s">
        <v>3897</v>
      </c>
      <c r="D446" s="109" t="s">
        <v>13544</v>
      </c>
      <c r="E446" s="109"/>
      <c r="F446" s="391" t="s">
        <v>13761</v>
      </c>
      <c r="G446" s="23" t="s">
        <v>13546</v>
      </c>
      <c r="H446" s="23"/>
      <c r="I446" s="23"/>
      <c r="J446" s="23"/>
      <c r="K446" s="23"/>
      <c r="L446" s="375" t="s">
        <v>7787</v>
      </c>
      <c r="M446" s="351" t="s">
        <v>7787</v>
      </c>
      <c r="N446" s="267">
        <f t="shared" si="57"/>
        <v>0</v>
      </c>
      <c r="O446" s="268">
        <f t="shared" si="58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2"/>
        <v>0</v>
      </c>
      <c r="AD446" s="196">
        <f t="shared" si="53"/>
        <v>0</v>
      </c>
      <c r="AE446" s="196">
        <f t="shared" si="54"/>
        <v>0</v>
      </c>
      <c r="AF446" s="2">
        <f t="shared" si="55"/>
        <v>0</v>
      </c>
      <c r="AG446" s="2">
        <f t="shared" si="56"/>
        <v>0</v>
      </c>
    </row>
    <row r="447" spans="1:33">
      <c r="A447" s="20" t="s">
        <v>1251</v>
      </c>
      <c r="B447" s="150"/>
      <c r="C447" s="21" t="s">
        <v>13782</v>
      </c>
      <c r="D447" s="109" t="s">
        <v>13551</v>
      </c>
      <c r="E447" s="109" t="s">
        <v>13538</v>
      </c>
      <c r="F447" s="391" t="s">
        <v>13761</v>
      </c>
      <c r="G447" s="23" t="s">
        <v>13540</v>
      </c>
      <c r="H447" s="23"/>
      <c r="I447" s="23"/>
      <c r="J447" s="23"/>
      <c r="K447" s="23"/>
      <c r="L447" s="350"/>
      <c r="M447" s="351"/>
      <c r="N447" s="267">
        <f t="shared" si="57"/>
        <v>0</v>
      </c>
      <c r="O447" s="268">
        <f t="shared" si="58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2"/>
        <v>0</v>
      </c>
      <c r="AD447" s="196">
        <f t="shared" si="53"/>
        <v>0</v>
      </c>
      <c r="AE447" s="196">
        <f t="shared" si="54"/>
        <v>0</v>
      </c>
      <c r="AF447" s="2">
        <f t="shared" si="55"/>
        <v>0</v>
      </c>
      <c r="AG447" s="2">
        <f t="shared" si="56"/>
        <v>0</v>
      </c>
    </row>
    <row r="448" spans="1:33">
      <c r="A448" s="20" t="s">
        <v>1244</v>
      </c>
      <c r="B448" s="150"/>
      <c r="C448" s="21" t="s">
        <v>13783</v>
      </c>
      <c r="D448" s="109" t="s">
        <v>13700</v>
      </c>
      <c r="E448" s="109"/>
      <c r="F448" s="391" t="s">
        <v>13784</v>
      </c>
      <c r="G448" s="23" t="s">
        <v>13785</v>
      </c>
      <c r="H448" s="23"/>
      <c r="I448" s="23"/>
      <c r="J448" s="23"/>
      <c r="K448" s="23"/>
      <c r="L448" s="375" t="s">
        <v>45</v>
      </c>
      <c r="M448" s="351"/>
      <c r="N448" s="267">
        <f t="shared" si="57"/>
        <v>0</v>
      </c>
      <c r="O448" s="268">
        <f t="shared" si="58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2"/>
        <v>0</v>
      </c>
      <c r="AD448" s="196">
        <f t="shared" si="53"/>
        <v>0</v>
      </c>
      <c r="AE448" s="196">
        <f t="shared" si="54"/>
        <v>0</v>
      </c>
      <c r="AF448" s="2">
        <f t="shared" si="55"/>
        <v>0</v>
      </c>
      <c r="AG448" s="2">
        <f t="shared" si="56"/>
        <v>0</v>
      </c>
    </row>
    <row r="449" spans="1:33">
      <c r="A449" s="20" t="s">
        <v>1245</v>
      </c>
      <c r="B449" s="150"/>
      <c r="C449" s="21" t="s">
        <v>13783</v>
      </c>
      <c r="D449" s="109" t="s">
        <v>13700</v>
      </c>
      <c r="E449" s="109"/>
      <c r="F449" s="391" t="s">
        <v>13786</v>
      </c>
      <c r="G449" s="23" t="s">
        <v>13540</v>
      </c>
      <c r="H449" s="23"/>
      <c r="I449" s="23"/>
      <c r="J449" s="23"/>
      <c r="K449" s="23"/>
      <c r="L449" s="375" t="s">
        <v>7787</v>
      </c>
      <c r="M449" s="351" t="s">
        <v>7787</v>
      </c>
      <c r="N449" s="267">
        <f t="shared" si="57"/>
        <v>0</v>
      </c>
      <c r="O449" s="268">
        <f t="shared" si="58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2"/>
        <v>0</v>
      </c>
      <c r="AD449" s="196">
        <f t="shared" si="53"/>
        <v>0</v>
      </c>
      <c r="AE449" s="196">
        <f t="shared" si="54"/>
        <v>0</v>
      </c>
      <c r="AF449" s="2">
        <f t="shared" si="55"/>
        <v>0</v>
      </c>
      <c r="AG449" s="2">
        <f t="shared" si="56"/>
        <v>0</v>
      </c>
    </row>
    <row r="450" spans="1:33">
      <c r="A450" s="20" t="s">
        <v>1249</v>
      </c>
      <c r="B450" s="162"/>
      <c r="C450" s="21" t="s">
        <v>13783</v>
      </c>
      <c r="D450" s="109" t="s">
        <v>13551</v>
      </c>
      <c r="E450" s="109"/>
      <c r="F450" s="391" t="s">
        <v>13787</v>
      </c>
      <c r="G450" s="23" t="s">
        <v>13540</v>
      </c>
      <c r="H450" s="23" t="s">
        <v>13543</v>
      </c>
      <c r="I450" s="23" t="s">
        <v>13662</v>
      </c>
      <c r="J450" s="23"/>
      <c r="K450" s="23"/>
      <c r="L450" s="350"/>
      <c r="M450" s="351" t="s">
        <v>7787</v>
      </c>
      <c r="N450" s="267">
        <f t="shared" si="57"/>
        <v>0</v>
      </c>
      <c r="O450" s="268">
        <f t="shared" si="58"/>
        <v>0</v>
      </c>
      <c r="P450" s="239"/>
      <c r="Q450" s="239"/>
      <c r="R450" s="239"/>
      <c r="S450" s="239"/>
      <c r="T450" s="239"/>
      <c r="U450" s="240"/>
      <c r="V450" s="240"/>
      <c r="W450" s="240"/>
      <c r="X450" s="278"/>
      <c r="Y450" s="237"/>
      <c r="Z450" s="237"/>
      <c r="AA450" s="279"/>
      <c r="AB450" s="238"/>
      <c r="AC450" s="196">
        <f t="shared" si="52"/>
        <v>0</v>
      </c>
      <c r="AD450" s="196">
        <f t="shared" si="53"/>
        <v>0</v>
      </c>
      <c r="AE450" s="196">
        <f t="shared" si="54"/>
        <v>0</v>
      </c>
      <c r="AF450" s="2">
        <f t="shared" si="55"/>
        <v>0</v>
      </c>
      <c r="AG450" s="2">
        <f t="shared" si="56"/>
        <v>0</v>
      </c>
    </row>
    <row r="451" spans="1:33">
      <c r="A451" s="20" t="s">
        <v>1243</v>
      </c>
      <c r="B451" s="150"/>
      <c r="C451" s="21" t="s">
        <v>13788</v>
      </c>
      <c r="D451" s="109" t="s">
        <v>13318</v>
      </c>
      <c r="E451" s="109"/>
      <c r="F451" s="391" t="s">
        <v>13789</v>
      </c>
      <c r="G451" s="23" t="s">
        <v>13790</v>
      </c>
      <c r="H451" s="23" t="s">
        <v>13791</v>
      </c>
      <c r="I451" s="23" t="s">
        <v>13350</v>
      </c>
      <c r="J451" s="23" t="s">
        <v>22916</v>
      </c>
      <c r="K451" s="23" t="s">
        <v>23373</v>
      </c>
      <c r="L451" s="375" t="s">
        <v>28053</v>
      </c>
      <c r="M451" s="351" t="s">
        <v>45</v>
      </c>
      <c r="N451" s="267">
        <f t="shared" si="57"/>
        <v>0</v>
      </c>
      <c r="O451" s="268">
        <f t="shared" si="58"/>
        <v>10700</v>
      </c>
      <c r="P451" s="239"/>
      <c r="Q451" s="239"/>
      <c r="R451" s="239"/>
      <c r="S451" s="239"/>
      <c r="T451" s="239"/>
      <c r="U451" s="240">
        <f>4100-2700+3000+6300</f>
        <v>10700</v>
      </c>
      <c r="V451" s="240"/>
      <c r="W451" s="240"/>
      <c r="X451" s="278"/>
      <c r="Y451" s="237"/>
      <c r="Z451" s="237"/>
      <c r="AA451" s="240"/>
      <c r="AB451" s="238" t="s">
        <v>28030</v>
      </c>
      <c r="AC451" s="196">
        <f t="shared" si="52"/>
        <v>10700</v>
      </c>
      <c r="AD451" s="196">
        <f t="shared" si="53"/>
        <v>10700</v>
      </c>
      <c r="AE451" s="196">
        <f t="shared" si="54"/>
        <v>0</v>
      </c>
      <c r="AF451" s="2">
        <f t="shared" si="55"/>
        <v>10700</v>
      </c>
      <c r="AG451" s="2">
        <f t="shared" si="56"/>
        <v>0</v>
      </c>
    </row>
    <row r="452" spans="1:33">
      <c r="A452" s="20" t="s">
        <v>1248</v>
      </c>
      <c r="B452" s="152"/>
      <c r="C452" s="21" t="s">
        <v>13792</v>
      </c>
      <c r="D452" s="109" t="s">
        <v>13319</v>
      </c>
      <c r="E452" s="109" t="s">
        <v>13793</v>
      </c>
      <c r="F452" s="391" t="s">
        <v>13794</v>
      </c>
      <c r="G452" s="23" t="s">
        <v>21360</v>
      </c>
      <c r="H452" s="23" t="s">
        <v>13796</v>
      </c>
      <c r="I452" s="23" t="s">
        <v>13662</v>
      </c>
      <c r="J452" s="23" t="s">
        <v>13797</v>
      </c>
      <c r="K452" s="23" t="s">
        <v>13798</v>
      </c>
      <c r="L452" s="375" t="s">
        <v>27530</v>
      </c>
      <c r="M452" s="351" t="s">
        <v>7787</v>
      </c>
      <c r="N452" s="267">
        <f t="shared" si="57"/>
        <v>0</v>
      </c>
      <c r="O452" s="268">
        <f t="shared" si="58"/>
        <v>150</v>
      </c>
      <c r="P452" s="239"/>
      <c r="Q452" s="239"/>
      <c r="R452" s="239"/>
      <c r="S452" s="248"/>
      <c r="T452" s="239"/>
      <c r="U452" s="240">
        <f>650-500</f>
        <v>150</v>
      </c>
      <c r="V452" s="240"/>
      <c r="W452" s="240"/>
      <c r="X452" s="278"/>
      <c r="Y452" s="237"/>
      <c r="Z452" s="237"/>
      <c r="AA452" s="279"/>
      <c r="AB452" s="238" t="s">
        <v>27528</v>
      </c>
      <c r="AC452" s="196">
        <f t="shared" si="52"/>
        <v>150</v>
      </c>
      <c r="AD452" s="196">
        <f t="shared" si="53"/>
        <v>150</v>
      </c>
      <c r="AE452" s="196">
        <f t="shared" si="54"/>
        <v>0</v>
      </c>
      <c r="AF452" s="2">
        <f t="shared" si="55"/>
        <v>150</v>
      </c>
      <c r="AG452" s="2">
        <f t="shared" si="56"/>
        <v>0</v>
      </c>
    </row>
    <row r="453" spans="1:33">
      <c r="A453" s="20" t="s">
        <v>22575</v>
      </c>
      <c r="B453" s="152"/>
      <c r="C453" s="21" t="s">
        <v>3897</v>
      </c>
      <c r="D453" s="109" t="s">
        <v>3101</v>
      </c>
      <c r="E453" s="109" t="s">
        <v>22661</v>
      </c>
      <c r="F453" s="391" t="s">
        <v>4255</v>
      </c>
      <c r="G453" s="23" t="s">
        <v>22662</v>
      </c>
      <c r="H453" s="23" t="s">
        <v>22663</v>
      </c>
      <c r="I453" s="23" t="s">
        <v>22863</v>
      </c>
      <c r="J453" s="23"/>
      <c r="K453" s="23"/>
      <c r="L453" s="375" t="s">
        <v>7787</v>
      </c>
      <c r="M453" s="351"/>
      <c r="N453" s="267">
        <f t="shared" si="57"/>
        <v>0</v>
      </c>
      <c r="O453" s="268">
        <f t="shared" si="58"/>
        <v>0</v>
      </c>
      <c r="P453" s="248"/>
      <c r="Q453" s="239"/>
      <c r="R453" s="239"/>
      <c r="S453" s="248"/>
      <c r="T453" s="239"/>
      <c r="U453" s="240"/>
      <c r="V453" s="292"/>
      <c r="W453" s="240"/>
      <c r="X453" s="278"/>
      <c r="Y453" s="237"/>
      <c r="Z453" s="237"/>
      <c r="AA453" s="279"/>
      <c r="AB453" s="238"/>
      <c r="AC453" s="196">
        <f t="shared" si="52"/>
        <v>0</v>
      </c>
      <c r="AD453" s="196">
        <f t="shared" si="53"/>
        <v>0</v>
      </c>
      <c r="AE453" s="196">
        <f t="shared" si="54"/>
        <v>0</v>
      </c>
      <c r="AF453" s="2">
        <f t="shared" si="55"/>
        <v>0</v>
      </c>
      <c r="AG453" s="2">
        <f t="shared" si="56"/>
        <v>0</v>
      </c>
    </row>
    <row r="454" spans="1:33">
      <c r="A454" s="20" t="s">
        <v>1246</v>
      </c>
      <c r="B454" s="161"/>
      <c r="C454" s="21" t="s">
        <v>13799</v>
      </c>
      <c r="D454" s="109" t="s">
        <v>13689</v>
      </c>
      <c r="E454" s="109"/>
      <c r="F454" s="391" t="s">
        <v>13800</v>
      </c>
      <c r="G454" s="23" t="s">
        <v>13785</v>
      </c>
      <c r="H454" s="23" t="s">
        <v>13757</v>
      </c>
      <c r="I454" s="23" t="s">
        <v>13801</v>
      </c>
      <c r="J454" s="23" t="s">
        <v>13350</v>
      </c>
      <c r="K454" s="23" t="s">
        <v>13409</v>
      </c>
      <c r="L454" s="375" t="s">
        <v>7787</v>
      </c>
      <c r="M454" s="351" t="s">
        <v>7787</v>
      </c>
      <c r="N454" s="267">
        <f t="shared" si="57"/>
        <v>0</v>
      </c>
      <c r="O454" s="268">
        <f t="shared" si="58"/>
        <v>0</v>
      </c>
      <c r="P454" s="239"/>
      <c r="Q454" s="239"/>
      <c r="R454" s="239"/>
      <c r="S454" s="239"/>
      <c r="T454" s="239"/>
      <c r="U454" s="240"/>
      <c r="V454" s="279"/>
      <c r="W454" s="240"/>
      <c r="X454" s="278"/>
      <c r="Y454" s="237"/>
      <c r="Z454" s="237"/>
      <c r="AA454" s="279"/>
      <c r="AB454" s="238"/>
      <c r="AC454" s="196">
        <f t="shared" si="52"/>
        <v>0</v>
      </c>
      <c r="AD454" s="196">
        <f t="shared" si="53"/>
        <v>0</v>
      </c>
      <c r="AE454" s="196">
        <f t="shared" si="54"/>
        <v>0</v>
      </c>
      <c r="AF454" s="2">
        <f t="shared" si="55"/>
        <v>0</v>
      </c>
      <c r="AG454" s="2">
        <f t="shared" si="56"/>
        <v>0</v>
      </c>
    </row>
    <row r="455" spans="1:33">
      <c r="A455" s="20" t="s">
        <v>1247</v>
      </c>
      <c r="B455" s="161"/>
      <c r="C455" s="21" t="s">
        <v>13799</v>
      </c>
      <c r="D455" s="109" t="s">
        <v>13689</v>
      </c>
      <c r="E455" s="109"/>
      <c r="F455" s="391" t="s">
        <v>13786</v>
      </c>
      <c r="G455" s="23"/>
      <c r="H455" s="23"/>
      <c r="I455" s="23"/>
      <c r="J455" s="23"/>
      <c r="K455" s="23"/>
      <c r="L455" s="350"/>
      <c r="M455" s="351"/>
      <c r="N455" s="267">
        <f t="shared" si="57"/>
        <v>0</v>
      </c>
      <c r="O455" s="268">
        <f t="shared" si="58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ref="AC455:AC518" si="61">SUM(P455:AA455)</f>
        <v>0</v>
      </c>
      <c r="AD455" s="196">
        <f t="shared" ref="AD455:AD518" si="62">SUM(P455:AB455)</f>
        <v>0</v>
      </c>
      <c r="AE455" s="196">
        <f t="shared" ref="AE455:AE518" si="63">SUM(AC455-AD455)</f>
        <v>0</v>
      </c>
      <c r="AF455" s="2">
        <f t="shared" ref="AF455:AF518" si="64">+AC455</f>
        <v>0</v>
      </c>
      <c r="AG455" s="2">
        <f t="shared" ref="AG455:AG518" si="65">+AC455-AF455</f>
        <v>0</v>
      </c>
    </row>
    <row r="456" spans="1:33">
      <c r="A456" s="20" t="s">
        <v>1250</v>
      </c>
      <c r="B456" s="152"/>
      <c r="C456" s="21" t="s">
        <v>13802</v>
      </c>
      <c r="D456" s="109" t="s">
        <v>13551</v>
      </c>
      <c r="E456" s="109"/>
      <c r="F456" s="391" t="s">
        <v>13803</v>
      </c>
      <c r="G456" s="23" t="s">
        <v>13540</v>
      </c>
      <c r="H456" s="23" t="s">
        <v>13543</v>
      </c>
      <c r="I456" s="23" t="s">
        <v>13662</v>
      </c>
      <c r="J456" s="23"/>
      <c r="K456" s="23"/>
      <c r="L456" s="350"/>
      <c r="M456" s="351"/>
      <c r="N456" s="267">
        <f t="shared" si="57"/>
        <v>0</v>
      </c>
      <c r="O456" s="268">
        <f t="shared" si="58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61"/>
        <v>0</v>
      </c>
      <c r="AD456" s="196">
        <f t="shared" si="62"/>
        <v>0</v>
      </c>
      <c r="AE456" s="196">
        <f t="shared" si="63"/>
        <v>0</v>
      </c>
      <c r="AF456" s="2">
        <f t="shared" si="64"/>
        <v>0</v>
      </c>
      <c r="AG456" s="2">
        <f t="shared" si="65"/>
        <v>0</v>
      </c>
    </row>
    <row r="457" spans="1:33">
      <c r="A457" s="20" t="s">
        <v>1261</v>
      </c>
      <c r="B457" s="156"/>
      <c r="C457" s="21" t="s">
        <v>13802</v>
      </c>
      <c r="D457" s="109" t="s">
        <v>13776</v>
      </c>
      <c r="E457" s="109"/>
      <c r="F457" s="391" t="s">
        <v>13804</v>
      </c>
      <c r="G457" s="23" t="s">
        <v>13756</v>
      </c>
      <c r="H457" s="23" t="s">
        <v>13676</v>
      </c>
      <c r="I457" s="23"/>
      <c r="J457" s="23"/>
      <c r="K457" s="23"/>
      <c r="L457" s="350"/>
      <c r="M457" s="351"/>
      <c r="N457" s="267">
        <f t="shared" si="57"/>
        <v>0</v>
      </c>
      <c r="O457" s="268">
        <f t="shared" si="58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61"/>
        <v>0</v>
      </c>
      <c r="AD457" s="196">
        <f t="shared" si="62"/>
        <v>0</v>
      </c>
      <c r="AE457" s="196">
        <f t="shared" si="63"/>
        <v>0</v>
      </c>
      <c r="AF457" s="2">
        <f t="shared" si="64"/>
        <v>0</v>
      </c>
      <c r="AG457" s="2">
        <f t="shared" si="65"/>
        <v>0</v>
      </c>
    </row>
    <row r="458" spans="1:33">
      <c r="A458" s="20" t="s">
        <v>1258</v>
      </c>
      <c r="B458" s="162"/>
      <c r="C458" s="21" t="s">
        <v>13805</v>
      </c>
      <c r="D458" s="109" t="s">
        <v>13769</v>
      </c>
      <c r="E458" s="109"/>
      <c r="F458" s="391" t="s">
        <v>13761</v>
      </c>
      <c r="G458" s="23" t="s">
        <v>13540</v>
      </c>
      <c r="H458" s="23"/>
      <c r="I458" s="23"/>
      <c r="J458" s="23"/>
      <c r="K458" s="23"/>
      <c r="L458" s="375" t="s">
        <v>7787</v>
      </c>
      <c r="M458" s="351" t="s">
        <v>7787</v>
      </c>
      <c r="N458" s="267">
        <f t="shared" si="57"/>
        <v>0</v>
      </c>
      <c r="O458" s="268">
        <f t="shared" si="58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61"/>
        <v>0</v>
      </c>
      <c r="AD458" s="196">
        <f t="shared" si="62"/>
        <v>0</v>
      </c>
      <c r="AE458" s="196">
        <f t="shared" si="63"/>
        <v>0</v>
      </c>
      <c r="AF458" s="2">
        <f t="shared" si="64"/>
        <v>0</v>
      </c>
      <c r="AG458" s="2">
        <f t="shared" si="65"/>
        <v>0</v>
      </c>
    </row>
    <row r="459" spans="1:33">
      <c r="A459" s="20" t="s">
        <v>1259</v>
      </c>
      <c r="B459" s="162"/>
      <c r="C459" s="21" t="s">
        <v>13805</v>
      </c>
      <c r="D459" s="109" t="s">
        <v>13769</v>
      </c>
      <c r="E459" s="109"/>
      <c r="F459" s="391" t="s">
        <v>13806</v>
      </c>
      <c r="G459" s="23" t="s">
        <v>13540</v>
      </c>
      <c r="H459" s="23"/>
      <c r="I459" s="23"/>
      <c r="J459" s="23"/>
      <c r="K459" s="23"/>
      <c r="L459" s="350"/>
      <c r="M459" s="351"/>
      <c r="N459" s="267">
        <f t="shared" si="57"/>
        <v>0</v>
      </c>
      <c r="O459" s="268">
        <f t="shared" si="58"/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61"/>
        <v>0</v>
      </c>
      <c r="AD459" s="196">
        <f t="shared" si="62"/>
        <v>0</v>
      </c>
      <c r="AE459" s="196">
        <f t="shared" si="63"/>
        <v>0</v>
      </c>
      <c r="AF459" s="2">
        <f t="shared" si="64"/>
        <v>0</v>
      </c>
      <c r="AG459" s="2">
        <f t="shared" si="65"/>
        <v>0</v>
      </c>
    </row>
    <row r="460" spans="1:33">
      <c r="A460" s="20" t="s">
        <v>1275</v>
      </c>
      <c r="B460" s="150"/>
      <c r="C460" s="21" t="s">
        <v>4052</v>
      </c>
      <c r="D460" s="109" t="s">
        <v>13653</v>
      </c>
      <c r="E460" s="109" t="s">
        <v>13717</v>
      </c>
      <c r="F460" s="391" t="s">
        <v>13726</v>
      </c>
      <c r="G460" s="23"/>
      <c r="H460" s="23"/>
      <c r="I460" s="23"/>
      <c r="J460" s="23"/>
      <c r="K460" s="23"/>
      <c r="L460" s="350"/>
      <c r="M460" s="351"/>
      <c r="N460" s="267">
        <f t="shared" ref="N460:N523" si="66">SUM(L460:M460)</f>
        <v>0</v>
      </c>
      <c r="O460" s="268">
        <f t="shared" ref="O460:O523" si="67">SUM(P460:Z460)</f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61"/>
        <v>0</v>
      </c>
      <c r="AD460" s="196">
        <f t="shared" si="62"/>
        <v>0</v>
      </c>
      <c r="AE460" s="196">
        <f t="shared" si="63"/>
        <v>0</v>
      </c>
      <c r="AF460" s="2">
        <f t="shared" si="64"/>
        <v>0</v>
      </c>
      <c r="AG460" s="2">
        <f t="shared" si="65"/>
        <v>0</v>
      </c>
    </row>
    <row r="461" spans="1:33">
      <c r="A461" s="20" t="s">
        <v>1266</v>
      </c>
      <c r="B461" s="150"/>
      <c r="C461" s="21" t="s">
        <v>4052</v>
      </c>
      <c r="D461" s="109" t="s">
        <v>13640</v>
      </c>
      <c r="E461" s="109" t="s">
        <v>13630</v>
      </c>
      <c r="F461" s="391" t="s">
        <v>13807</v>
      </c>
      <c r="G461" s="23"/>
      <c r="H461" s="23"/>
      <c r="I461" s="23"/>
      <c r="J461" s="23"/>
      <c r="K461" s="23"/>
      <c r="L461" s="350"/>
      <c r="M461" s="351"/>
      <c r="N461" s="267">
        <f t="shared" si="66"/>
        <v>0</v>
      </c>
      <c r="O461" s="268">
        <f t="shared" si="67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61"/>
        <v>0</v>
      </c>
      <c r="AD461" s="196">
        <f t="shared" si="62"/>
        <v>0</v>
      </c>
      <c r="AE461" s="196">
        <f t="shared" si="63"/>
        <v>0</v>
      </c>
      <c r="AF461" s="2">
        <f t="shared" si="64"/>
        <v>0</v>
      </c>
      <c r="AG461" s="2">
        <f t="shared" si="65"/>
        <v>0</v>
      </c>
    </row>
    <row r="462" spans="1:33">
      <c r="A462" s="20" t="s">
        <v>1267</v>
      </c>
      <c r="B462" s="150"/>
      <c r="C462" s="21" t="s">
        <v>4052</v>
      </c>
      <c r="D462" s="109" t="s">
        <v>13640</v>
      </c>
      <c r="E462" s="109" t="s">
        <v>13627</v>
      </c>
      <c r="F462" s="391" t="s">
        <v>13807</v>
      </c>
      <c r="G462" s="23"/>
      <c r="H462" s="23"/>
      <c r="I462" s="23"/>
      <c r="J462" s="23"/>
      <c r="K462" s="23"/>
      <c r="L462" s="375" t="s">
        <v>7787</v>
      </c>
      <c r="M462" s="351"/>
      <c r="N462" s="267">
        <f t="shared" si="66"/>
        <v>0</v>
      </c>
      <c r="O462" s="268">
        <f t="shared" si="67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61"/>
        <v>0</v>
      </c>
      <c r="AD462" s="196">
        <f t="shared" si="62"/>
        <v>0</v>
      </c>
      <c r="AE462" s="196">
        <f t="shared" si="63"/>
        <v>0</v>
      </c>
      <c r="AF462" s="2">
        <f t="shared" si="64"/>
        <v>0</v>
      </c>
      <c r="AG462" s="2">
        <f t="shared" si="65"/>
        <v>0</v>
      </c>
    </row>
    <row r="463" spans="1:33">
      <c r="A463" s="20" t="s">
        <v>1268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13622</v>
      </c>
      <c r="H463" s="23"/>
      <c r="I463" s="23"/>
      <c r="J463" s="23"/>
      <c r="K463" s="23"/>
      <c r="L463" s="350"/>
      <c r="M463" s="351"/>
      <c r="N463" s="267">
        <f t="shared" si="66"/>
        <v>0</v>
      </c>
      <c r="O463" s="268">
        <f t="shared" si="67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61"/>
        <v>0</v>
      </c>
      <c r="AD463" s="196">
        <f t="shared" si="62"/>
        <v>0</v>
      </c>
      <c r="AE463" s="196">
        <f t="shared" si="63"/>
        <v>0</v>
      </c>
      <c r="AF463" s="2">
        <f t="shared" si="64"/>
        <v>0</v>
      </c>
      <c r="AG463" s="2">
        <f t="shared" si="65"/>
        <v>0</v>
      </c>
    </row>
    <row r="464" spans="1:33">
      <c r="A464" s="20" t="s">
        <v>1269</v>
      </c>
      <c r="B464" s="150"/>
      <c r="C464" s="21" t="s">
        <v>4052</v>
      </c>
      <c r="D464" s="109" t="s">
        <v>13657</v>
      </c>
      <c r="E464" s="109"/>
      <c r="F464" s="391" t="s">
        <v>13807</v>
      </c>
      <c r="G464" s="23" t="s">
        <v>13727</v>
      </c>
      <c r="H464" s="23"/>
      <c r="I464" s="23"/>
      <c r="J464" s="23"/>
      <c r="K464" s="23"/>
      <c r="L464" s="350"/>
      <c r="M464" s="351"/>
      <c r="N464" s="267">
        <f t="shared" si="66"/>
        <v>0</v>
      </c>
      <c r="O464" s="268">
        <f t="shared" si="67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61"/>
        <v>0</v>
      </c>
      <c r="AD464" s="196">
        <f t="shared" si="62"/>
        <v>0</v>
      </c>
      <c r="AE464" s="196">
        <f t="shared" si="63"/>
        <v>0</v>
      </c>
      <c r="AF464" s="2">
        <f t="shared" si="64"/>
        <v>0</v>
      </c>
      <c r="AG464" s="2">
        <f t="shared" si="65"/>
        <v>0</v>
      </c>
    </row>
    <row r="465" spans="1:33">
      <c r="A465" s="20" t="s">
        <v>1270</v>
      </c>
      <c r="B465" s="150"/>
      <c r="C465" s="21" t="s">
        <v>4052</v>
      </c>
      <c r="D465" s="109" t="s">
        <v>13551</v>
      </c>
      <c r="E465" s="109" t="s">
        <v>13658</v>
      </c>
      <c r="F465" s="391" t="s">
        <v>13808</v>
      </c>
      <c r="G465" s="23" t="s">
        <v>13795</v>
      </c>
      <c r="H465" s="23" t="s">
        <v>13809</v>
      </c>
      <c r="I465" s="23" t="s">
        <v>13810</v>
      </c>
      <c r="J465" s="23" t="s">
        <v>13811</v>
      </c>
      <c r="K465" s="23" t="s">
        <v>14100</v>
      </c>
      <c r="L465" s="375" t="s">
        <v>7787</v>
      </c>
      <c r="M465" s="351"/>
      <c r="N465" s="267">
        <f t="shared" si="66"/>
        <v>0</v>
      </c>
      <c r="O465" s="268">
        <f t="shared" si="67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7"/>
      <c r="Z465" s="237"/>
      <c r="AA465" s="279"/>
      <c r="AB465" s="238"/>
      <c r="AC465" s="196">
        <f t="shared" si="61"/>
        <v>0</v>
      </c>
      <c r="AD465" s="196">
        <f t="shared" si="62"/>
        <v>0</v>
      </c>
      <c r="AE465" s="196">
        <f t="shared" si="63"/>
        <v>0</v>
      </c>
      <c r="AF465" s="2">
        <f t="shared" si="64"/>
        <v>0</v>
      </c>
      <c r="AG465" s="2">
        <f t="shared" si="65"/>
        <v>0</v>
      </c>
    </row>
    <row r="466" spans="1:33">
      <c r="A466" s="20" t="s">
        <v>1271</v>
      </c>
      <c r="B466" s="150"/>
      <c r="C466" s="21" t="s">
        <v>4052</v>
      </c>
      <c r="D466" s="109" t="s">
        <v>13319</v>
      </c>
      <c r="E466" s="109" t="s">
        <v>25678</v>
      </c>
      <c r="F466" s="391" t="s">
        <v>13812</v>
      </c>
      <c r="G466" s="23" t="s">
        <v>13813</v>
      </c>
      <c r="H466" s="23"/>
      <c r="I466" s="23"/>
      <c r="J466" s="23"/>
      <c r="K466" s="23"/>
      <c r="L466" s="375" t="s">
        <v>7787</v>
      </c>
      <c r="M466" s="351"/>
      <c r="N466" s="267">
        <f t="shared" si="66"/>
        <v>0</v>
      </c>
      <c r="O466" s="268">
        <f t="shared" si="67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9"/>
      <c r="Z466" s="237"/>
      <c r="AA466" s="279"/>
      <c r="AB466" s="238"/>
      <c r="AC466" s="196">
        <f t="shared" si="61"/>
        <v>0</v>
      </c>
      <c r="AD466" s="196">
        <f t="shared" si="62"/>
        <v>0</v>
      </c>
      <c r="AE466" s="196">
        <f t="shared" si="63"/>
        <v>0</v>
      </c>
      <c r="AF466" s="2">
        <f t="shared" si="64"/>
        <v>0</v>
      </c>
      <c r="AG466" s="2">
        <f t="shared" si="65"/>
        <v>0</v>
      </c>
    </row>
    <row r="467" spans="1:33">
      <c r="A467" s="20" t="s">
        <v>1272</v>
      </c>
      <c r="B467" s="151"/>
      <c r="C467" s="21" t="s">
        <v>4052</v>
      </c>
      <c r="D467" s="109" t="s">
        <v>13553</v>
      </c>
      <c r="E467" s="109"/>
      <c r="F467" s="391" t="s">
        <v>13808</v>
      </c>
      <c r="G467" s="23" t="s">
        <v>13662</v>
      </c>
      <c r="H467" s="23" t="s">
        <v>13814</v>
      </c>
      <c r="I467" s="23" t="s">
        <v>13350</v>
      </c>
      <c r="J467" s="23" t="s">
        <v>18637</v>
      </c>
      <c r="K467" s="23" t="s">
        <v>19156</v>
      </c>
      <c r="L467" s="375" t="s">
        <v>7787</v>
      </c>
      <c r="M467" s="351" t="s">
        <v>7787</v>
      </c>
      <c r="N467" s="267">
        <f t="shared" si="66"/>
        <v>0</v>
      </c>
      <c r="O467" s="268">
        <f t="shared" si="67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237"/>
      <c r="Z467" s="237"/>
      <c r="AA467" s="237"/>
      <c r="AB467" s="238"/>
      <c r="AC467" s="196">
        <f t="shared" si="61"/>
        <v>0</v>
      </c>
      <c r="AD467" s="196">
        <f t="shared" si="62"/>
        <v>0</v>
      </c>
      <c r="AE467" s="196">
        <f t="shared" si="63"/>
        <v>0</v>
      </c>
      <c r="AF467" s="2">
        <f t="shared" si="64"/>
        <v>0</v>
      </c>
      <c r="AG467" s="2">
        <f t="shared" si="65"/>
        <v>0</v>
      </c>
    </row>
    <row r="468" spans="1:33">
      <c r="A468" s="20" t="s">
        <v>1273</v>
      </c>
      <c r="B468" s="151"/>
      <c r="C468" s="21" t="s">
        <v>4052</v>
      </c>
      <c r="D468" s="109" t="s">
        <v>13553</v>
      </c>
      <c r="E468" s="109"/>
      <c r="F468" s="391" t="s">
        <v>13815</v>
      </c>
      <c r="G468" s="23" t="s">
        <v>13662</v>
      </c>
      <c r="H468" s="23"/>
      <c r="I468" s="23"/>
      <c r="J468" s="23"/>
      <c r="K468" s="23"/>
      <c r="L468" s="350"/>
      <c r="M468" s="351"/>
      <c r="N468" s="267">
        <f t="shared" si="66"/>
        <v>0</v>
      </c>
      <c r="O468" s="268">
        <f t="shared" si="67"/>
        <v>0</v>
      </c>
      <c r="P468" s="239"/>
      <c r="Q468" s="239"/>
      <c r="R468" s="239"/>
      <c r="S468" s="239"/>
      <c r="T468" s="239"/>
      <c r="U468" s="240"/>
      <c r="V468" s="240"/>
      <c r="W468" s="240"/>
      <c r="X468" s="278"/>
      <c r="Y468" s="325"/>
      <c r="Z468" s="237"/>
      <c r="AA468" s="279"/>
      <c r="AB468" s="238"/>
      <c r="AC468" s="196">
        <f t="shared" si="61"/>
        <v>0</v>
      </c>
      <c r="AD468" s="196">
        <f t="shared" si="62"/>
        <v>0</v>
      </c>
      <c r="AE468" s="196">
        <f t="shared" si="63"/>
        <v>0</v>
      </c>
      <c r="AF468" s="2">
        <f t="shared" si="64"/>
        <v>0</v>
      </c>
      <c r="AG468" s="2">
        <f t="shared" si="65"/>
        <v>0</v>
      </c>
    </row>
    <row r="469" spans="1:33" s="418" customFormat="1">
      <c r="A469" s="20" t="s">
        <v>8975</v>
      </c>
      <c r="B469" s="156"/>
      <c r="C469" s="384" t="s">
        <v>4052</v>
      </c>
      <c r="D469" s="158" t="s">
        <v>13553</v>
      </c>
      <c r="E469" s="158" t="s">
        <v>13816</v>
      </c>
      <c r="F469" s="394" t="s">
        <v>13817</v>
      </c>
      <c r="G469" s="385" t="s">
        <v>13646</v>
      </c>
      <c r="H469" s="386"/>
      <c r="I469" s="386"/>
      <c r="J469" s="386"/>
      <c r="K469" s="386"/>
      <c r="L469" s="382">
        <v>0</v>
      </c>
      <c r="M469" s="383" t="s">
        <v>7787</v>
      </c>
      <c r="N469" s="267">
        <f t="shared" si="66"/>
        <v>0</v>
      </c>
      <c r="O469" s="268">
        <f t="shared" si="67"/>
        <v>0</v>
      </c>
      <c r="P469" s="235"/>
      <c r="Q469" s="235"/>
      <c r="R469" s="235"/>
      <c r="S469" s="235"/>
      <c r="T469" s="235"/>
      <c r="U469" s="286"/>
      <c r="V469" s="286"/>
      <c r="W469" s="286"/>
      <c r="X469" s="287"/>
      <c r="Y469" s="286"/>
      <c r="Z469" s="286"/>
      <c r="AA469" s="288"/>
      <c r="AB469" s="236"/>
      <c r="AC469" s="196">
        <f t="shared" si="61"/>
        <v>0</v>
      </c>
      <c r="AD469" s="196">
        <f t="shared" si="62"/>
        <v>0</v>
      </c>
      <c r="AE469" s="196">
        <f t="shared" si="63"/>
        <v>0</v>
      </c>
      <c r="AF469" s="2">
        <f t="shared" si="64"/>
        <v>0</v>
      </c>
      <c r="AG469" s="2">
        <f t="shared" si="65"/>
        <v>0</v>
      </c>
    </row>
    <row r="470" spans="1:33">
      <c r="A470" s="20" t="s">
        <v>1276</v>
      </c>
      <c r="B470" s="150"/>
      <c r="C470" s="21" t="s">
        <v>4052</v>
      </c>
      <c r="D470" s="109" t="s">
        <v>13776</v>
      </c>
      <c r="E470" s="109" t="s">
        <v>13661</v>
      </c>
      <c r="F470" s="391" t="s">
        <v>13818</v>
      </c>
      <c r="G470" s="23" t="s">
        <v>13543</v>
      </c>
      <c r="H470" s="23"/>
      <c r="I470" s="23"/>
      <c r="J470" s="23"/>
      <c r="K470" s="23"/>
      <c r="L470" s="375"/>
      <c r="M470" s="351"/>
      <c r="N470" s="267">
        <f t="shared" si="66"/>
        <v>0</v>
      </c>
      <c r="O470" s="268">
        <f t="shared" si="67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61"/>
        <v>0</v>
      </c>
      <c r="AD470" s="196">
        <f t="shared" si="62"/>
        <v>0</v>
      </c>
      <c r="AE470" s="196">
        <f t="shared" si="63"/>
        <v>0</v>
      </c>
      <c r="AF470" s="2">
        <f t="shared" si="64"/>
        <v>0</v>
      </c>
      <c r="AG470" s="2">
        <f t="shared" si="65"/>
        <v>0</v>
      </c>
    </row>
    <row r="471" spans="1:33">
      <c r="A471" s="20" t="s">
        <v>1277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13818</v>
      </c>
      <c r="G471" s="23" t="s">
        <v>13756</v>
      </c>
      <c r="H471" s="23" t="s">
        <v>13543</v>
      </c>
      <c r="I471" s="23" t="s">
        <v>13778</v>
      </c>
      <c r="J471" s="23" t="s">
        <v>13777</v>
      </c>
      <c r="K471" s="23" t="s">
        <v>13819</v>
      </c>
      <c r="L471" s="375" t="s">
        <v>7787</v>
      </c>
      <c r="M471" s="351" t="s">
        <v>7787</v>
      </c>
      <c r="N471" s="267">
        <f t="shared" si="66"/>
        <v>0</v>
      </c>
      <c r="O471" s="268">
        <f t="shared" si="67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9"/>
      <c r="Z471" s="237"/>
      <c r="AA471" s="279"/>
      <c r="AB471" s="238"/>
      <c r="AC471" s="196">
        <f t="shared" si="61"/>
        <v>0</v>
      </c>
      <c r="AD471" s="196">
        <f t="shared" si="62"/>
        <v>0</v>
      </c>
      <c r="AE471" s="196">
        <f t="shared" si="63"/>
        <v>0</v>
      </c>
      <c r="AF471" s="2">
        <f t="shared" si="64"/>
        <v>0</v>
      </c>
      <c r="AG471" s="2">
        <f t="shared" si="65"/>
        <v>0</v>
      </c>
    </row>
    <row r="472" spans="1:33">
      <c r="A472" s="20" t="s">
        <v>1278</v>
      </c>
      <c r="B472" s="150"/>
      <c r="C472" s="21" t="s">
        <v>4052</v>
      </c>
      <c r="D472" s="109" t="s">
        <v>13776</v>
      </c>
      <c r="E472" s="109" t="s">
        <v>13658</v>
      </c>
      <c r="F472" s="391" t="s">
        <v>13815</v>
      </c>
      <c r="G472" s="23" t="s">
        <v>13756</v>
      </c>
      <c r="H472" s="23" t="s">
        <v>13543</v>
      </c>
      <c r="I472" s="23" t="s">
        <v>13676</v>
      </c>
      <c r="J472" s="23"/>
      <c r="K472" s="23"/>
      <c r="L472" s="375" t="s">
        <v>7787</v>
      </c>
      <c r="M472" s="351" t="s">
        <v>7787</v>
      </c>
      <c r="N472" s="267">
        <f t="shared" si="66"/>
        <v>0</v>
      </c>
      <c r="O472" s="268">
        <f t="shared" si="67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7"/>
      <c r="Z472" s="237"/>
      <c r="AA472" s="279"/>
      <c r="AB472" s="238"/>
      <c r="AC472" s="196">
        <f t="shared" si="61"/>
        <v>0</v>
      </c>
      <c r="AD472" s="196">
        <f t="shared" si="62"/>
        <v>0</v>
      </c>
      <c r="AE472" s="196">
        <f t="shared" si="63"/>
        <v>0</v>
      </c>
      <c r="AF472" s="2">
        <f t="shared" si="64"/>
        <v>0</v>
      </c>
      <c r="AG472" s="2">
        <f t="shared" si="65"/>
        <v>0</v>
      </c>
    </row>
    <row r="473" spans="1:33">
      <c r="A473" s="20" t="s">
        <v>1274</v>
      </c>
      <c r="B473" s="150"/>
      <c r="C473" s="21" t="s">
        <v>4052</v>
      </c>
      <c r="D473" s="109" t="s">
        <v>13544</v>
      </c>
      <c r="E473" s="109"/>
      <c r="F473" s="391" t="s">
        <v>13726</v>
      </c>
      <c r="G473" s="23"/>
      <c r="H473" s="23" t="s">
        <v>13546</v>
      </c>
      <c r="I473" s="23"/>
      <c r="J473" s="23"/>
      <c r="K473" s="23"/>
      <c r="L473" s="350"/>
      <c r="M473" s="351"/>
      <c r="N473" s="267">
        <f t="shared" si="66"/>
        <v>0</v>
      </c>
      <c r="O473" s="268">
        <f t="shared" si="67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9"/>
      <c r="Z473" s="237"/>
      <c r="AA473" s="279"/>
      <c r="AB473" s="238"/>
      <c r="AC473" s="196">
        <f t="shared" si="61"/>
        <v>0</v>
      </c>
      <c r="AD473" s="196">
        <f t="shared" si="62"/>
        <v>0</v>
      </c>
      <c r="AE473" s="196">
        <f t="shared" si="63"/>
        <v>0</v>
      </c>
      <c r="AF473" s="2">
        <f t="shared" si="64"/>
        <v>0</v>
      </c>
      <c r="AG473" s="2">
        <f t="shared" si="65"/>
        <v>0</v>
      </c>
    </row>
    <row r="474" spans="1:33">
      <c r="A474" s="20" t="s">
        <v>1279</v>
      </c>
      <c r="B474" s="162"/>
      <c r="C474" s="21" t="s">
        <v>13820</v>
      </c>
      <c r="D474" s="109" t="s">
        <v>13388</v>
      </c>
      <c r="E474" s="109" t="s">
        <v>13793</v>
      </c>
      <c r="F474" s="391" t="s">
        <v>13821</v>
      </c>
      <c r="G474" s="23" t="s">
        <v>13540</v>
      </c>
      <c r="H474" s="23" t="s">
        <v>13543</v>
      </c>
      <c r="I474" s="23"/>
      <c r="J474" s="23"/>
      <c r="K474" s="23"/>
      <c r="L474" s="375" t="s">
        <v>7787</v>
      </c>
      <c r="M474" s="351"/>
      <c r="N474" s="267">
        <f t="shared" si="66"/>
        <v>0</v>
      </c>
      <c r="O474" s="268">
        <f t="shared" si="67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61"/>
        <v>0</v>
      </c>
      <c r="AD474" s="196">
        <f t="shared" si="62"/>
        <v>0</v>
      </c>
      <c r="AE474" s="196">
        <f t="shared" si="63"/>
        <v>0</v>
      </c>
      <c r="AF474" s="2">
        <f t="shared" si="64"/>
        <v>0</v>
      </c>
      <c r="AG474" s="2">
        <f t="shared" si="65"/>
        <v>0</v>
      </c>
    </row>
    <row r="475" spans="1:33">
      <c r="A475" s="20" t="s">
        <v>1280</v>
      </c>
      <c r="B475" s="152"/>
      <c r="C475" s="21" t="s">
        <v>13820</v>
      </c>
      <c r="D475" s="109" t="s">
        <v>13769</v>
      </c>
      <c r="E475" s="109" t="s">
        <v>13661</v>
      </c>
      <c r="F475" s="391" t="s">
        <v>13726</v>
      </c>
      <c r="G475" s="23" t="s">
        <v>13543</v>
      </c>
      <c r="H475" s="23"/>
      <c r="I475" s="23"/>
      <c r="J475" s="23"/>
      <c r="K475" s="23"/>
      <c r="L475" s="350"/>
      <c r="M475" s="351"/>
      <c r="N475" s="267">
        <f t="shared" si="66"/>
        <v>0</v>
      </c>
      <c r="O475" s="268">
        <f t="shared" si="67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61"/>
        <v>0</v>
      </c>
      <c r="AD475" s="196">
        <f t="shared" si="62"/>
        <v>0</v>
      </c>
      <c r="AE475" s="196">
        <f t="shared" si="63"/>
        <v>0</v>
      </c>
      <c r="AF475" s="2">
        <f t="shared" si="64"/>
        <v>0</v>
      </c>
      <c r="AG475" s="2">
        <f t="shared" si="65"/>
        <v>0</v>
      </c>
    </row>
    <row r="476" spans="1:33">
      <c r="A476" s="20" t="s">
        <v>1281</v>
      </c>
      <c r="B476" s="161"/>
      <c r="C476" s="21" t="s">
        <v>13820</v>
      </c>
      <c r="D476" s="109" t="s">
        <v>13770</v>
      </c>
      <c r="E476" s="109"/>
      <c r="F476" s="391" t="s">
        <v>13726</v>
      </c>
      <c r="G476" s="23" t="s">
        <v>13813</v>
      </c>
      <c r="H476" s="23"/>
      <c r="I476" s="23"/>
      <c r="J476" s="23"/>
      <c r="K476" s="23"/>
      <c r="L476" s="350"/>
      <c r="M476" s="351"/>
      <c r="N476" s="267">
        <f t="shared" si="66"/>
        <v>0</v>
      </c>
      <c r="O476" s="268">
        <f t="shared" si="67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61"/>
        <v>0</v>
      </c>
      <c r="AD476" s="196">
        <f t="shared" si="62"/>
        <v>0</v>
      </c>
      <c r="AE476" s="196">
        <f t="shared" si="63"/>
        <v>0</v>
      </c>
      <c r="AF476" s="2">
        <f t="shared" si="64"/>
        <v>0</v>
      </c>
      <c r="AG476" s="2">
        <f t="shared" si="65"/>
        <v>0</v>
      </c>
    </row>
    <row r="477" spans="1:33">
      <c r="A477" s="20" t="s">
        <v>1222</v>
      </c>
      <c r="B477" s="150"/>
      <c r="C477" s="21" t="s">
        <v>730</v>
      </c>
      <c r="D477" s="109" t="s">
        <v>20320</v>
      </c>
      <c r="E477" s="109"/>
      <c r="F477" s="391" t="s">
        <v>13822</v>
      </c>
      <c r="G477" s="23"/>
      <c r="H477" s="23"/>
      <c r="I477" s="23"/>
      <c r="J477" s="23"/>
      <c r="K477" s="23"/>
      <c r="L477" s="375" t="s">
        <v>7787</v>
      </c>
      <c r="M477" s="351"/>
      <c r="N477" s="267">
        <f t="shared" si="66"/>
        <v>0</v>
      </c>
      <c r="O477" s="268">
        <f t="shared" si="67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61"/>
        <v>0</v>
      </c>
      <c r="AD477" s="196">
        <f t="shared" si="62"/>
        <v>0</v>
      </c>
      <c r="AE477" s="196">
        <f t="shared" si="63"/>
        <v>0</v>
      </c>
      <c r="AF477" s="2">
        <f t="shared" si="64"/>
        <v>0</v>
      </c>
      <c r="AG477" s="2">
        <f t="shared" si="65"/>
        <v>0</v>
      </c>
    </row>
    <row r="478" spans="1:33">
      <c r="A478" s="20" t="s">
        <v>20198</v>
      </c>
      <c r="B478" s="150"/>
      <c r="C478" s="21" t="s">
        <v>730</v>
      </c>
      <c r="D478" s="109" t="s">
        <v>20321</v>
      </c>
      <c r="E478" s="109" t="s">
        <v>5412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 t="s">
        <v>7787</v>
      </c>
      <c r="N478" s="267">
        <f t="shared" si="66"/>
        <v>0</v>
      </c>
      <c r="O478" s="268">
        <f t="shared" si="67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61"/>
        <v>0</v>
      </c>
      <c r="AD478" s="196">
        <f t="shared" si="62"/>
        <v>0</v>
      </c>
      <c r="AE478" s="196">
        <f t="shared" si="63"/>
        <v>0</v>
      </c>
      <c r="AF478" s="2">
        <f t="shared" si="64"/>
        <v>0</v>
      </c>
      <c r="AG478" s="2">
        <f t="shared" si="65"/>
        <v>0</v>
      </c>
    </row>
    <row r="479" spans="1:33">
      <c r="A479" s="20" t="s">
        <v>20497</v>
      </c>
      <c r="B479" s="150"/>
      <c r="C479" s="21" t="s">
        <v>730</v>
      </c>
      <c r="D479" s="109" t="s">
        <v>19370</v>
      </c>
      <c r="E479" s="109" t="s">
        <v>20630</v>
      </c>
      <c r="F479" s="391" t="s">
        <v>4225</v>
      </c>
      <c r="G479" s="23" t="s">
        <v>13546</v>
      </c>
      <c r="H479" s="23"/>
      <c r="I479" s="23"/>
      <c r="J479" s="23"/>
      <c r="K479" s="23"/>
      <c r="L479" s="375" t="s">
        <v>7787</v>
      </c>
      <c r="M479" s="351"/>
      <c r="N479" s="267">
        <f t="shared" si="66"/>
        <v>0</v>
      </c>
      <c r="O479" s="268">
        <f t="shared" si="67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61"/>
        <v>0</v>
      </c>
      <c r="AD479" s="196">
        <f t="shared" si="62"/>
        <v>0</v>
      </c>
      <c r="AE479" s="196">
        <f t="shared" si="63"/>
        <v>0</v>
      </c>
      <c r="AF479" s="2">
        <f t="shared" si="64"/>
        <v>0</v>
      </c>
      <c r="AG479" s="2">
        <f t="shared" si="65"/>
        <v>0</v>
      </c>
    </row>
    <row r="480" spans="1:33">
      <c r="A480" s="20" t="s">
        <v>20498</v>
      </c>
      <c r="B480" s="150"/>
      <c r="C480" s="21" t="s">
        <v>730</v>
      </c>
      <c r="D480" s="109" t="s">
        <v>20581</v>
      </c>
      <c r="E480" s="109" t="s">
        <v>20583</v>
      </c>
      <c r="F480" s="391" t="s">
        <v>4225</v>
      </c>
      <c r="G480" s="23" t="s">
        <v>20582</v>
      </c>
      <c r="H480" s="23"/>
      <c r="I480" s="23"/>
      <c r="J480" s="23"/>
      <c r="K480" s="23"/>
      <c r="L480" s="375" t="s">
        <v>7787</v>
      </c>
      <c r="M480" s="351"/>
      <c r="N480" s="267">
        <f t="shared" si="66"/>
        <v>0</v>
      </c>
      <c r="O480" s="268">
        <f t="shared" si="67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61"/>
        <v>0</v>
      </c>
      <c r="AD480" s="196">
        <f t="shared" si="62"/>
        <v>0</v>
      </c>
      <c r="AE480" s="196">
        <f t="shared" si="63"/>
        <v>0</v>
      </c>
      <c r="AF480" s="2">
        <f t="shared" si="64"/>
        <v>0</v>
      </c>
      <c r="AG480" s="2">
        <f t="shared" si="65"/>
        <v>0</v>
      </c>
    </row>
    <row r="481" spans="1:33">
      <c r="A481" s="20" t="s">
        <v>1282</v>
      </c>
      <c r="B481" s="150"/>
      <c r="C481" s="21" t="s">
        <v>4053</v>
      </c>
      <c r="D481" s="109" t="s">
        <v>13553</v>
      </c>
      <c r="E481" s="109"/>
      <c r="F481" s="391" t="s">
        <v>13786</v>
      </c>
      <c r="G481" s="23"/>
      <c r="H481" s="23"/>
      <c r="I481" s="23"/>
      <c r="J481" s="23"/>
      <c r="K481" s="23"/>
      <c r="L481" s="350"/>
      <c r="M481" s="351"/>
      <c r="N481" s="267">
        <f t="shared" si="66"/>
        <v>0</v>
      </c>
      <c r="O481" s="268">
        <f t="shared" si="67"/>
        <v>0</v>
      </c>
      <c r="P481" s="239"/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61"/>
        <v>0</v>
      </c>
      <c r="AD481" s="196">
        <f t="shared" si="62"/>
        <v>0</v>
      </c>
      <c r="AE481" s="196">
        <f t="shared" si="63"/>
        <v>0</v>
      </c>
      <c r="AF481" s="2">
        <f t="shared" si="64"/>
        <v>0</v>
      </c>
      <c r="AG481" s="2">
        <f t="shared" si="65"/>
        <v>0</v>
      </c>
    </row>
    <row r="482" spans="1:33">
      <c r="A482" s="20" t="s">
        <v>1283</v>
      </c>
      <c r="B482" s="150"/>
      <c r="C482" s="21" t="s">
        <v>4054</v>
      </c>
      <c r="D482" s="109" t="s">
        <v>13551</v>
      </c>
      <c r="E482" s="109"/>
      <c r="F482" s="391" t="s">
        <v>13823</v>
      </c>
      <c r="G482" s="23" t="s">
        <v>13486</v>
      </c>
      <c r="H482" s="23"/>
      <c r="I482" s="23"/>
      <c r="J482" s="23"/>
      <c r="K482" s="23"/>
      <c r="L482" s="350"/>
      <c r="M482" s="351"/>
      <c r="N482" s="267">
        <f t="shared" si="66"/>
        <v>0</v>
      </c>
      <c r="O482" s="268">
        <f t="shared" si="67"/>
        <v>50</v>
      </c>
      <c r="P482" s="239">
        <f>150+600-500-200</f>
        <v>50</v>
      </c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79"/>
      <c r="AB482" s="238"/>
      <c r="AC482" s="196">
        <f t="shared" si="61"/>
        <v>50</v>
      </c>
      <c r="AD482" s="196">
        <f t="shared" si="62"/>
        <v>50</v>
      </c>
      <c r="AE482" s="196">
        <f t="shared" si="63"/>
        <v>0</v>
      </c>
      <c r="AF482" s="2">
        <f t="shared" si="64"/>
        <v>50</v>
      </c>
      <c r="AG482" s="2">
        <f t="shared" si="65"/>
        <v>0</v>
      </c>
    </row>
    <row r="483" spans="1:33">
      <c r="A483" s="20" t="s">
        <v>1284</v>
      </c>
      <c r="B483" s="150"/>
      <c r="C483" s="21" t="s">
        <v>58</v>
      </c>
      <c r="D483" s="109" t="s">
        <v>13551</v>
      </c>
      <c r="E483" s="109"/>
      <c r="F483" s="391" t="s">
        <v>13824</v>
      </c>
      <c r="G483" s="23"/>
      <c r="H483" s="23"/>
      <c r="I483" s="23"/>
      <c r="J483" s="23"/>
      <c r="K483" s="23"/>
      <c r="L483" s="350"/>
      <c r="M483" s="351"/>
      <c r="N483" s="267">
        <f t="shared" si="66"/>
        <v>0</v>
      </c>
      <c r="O483" s="268">
        <f t="shared" si="67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85"/>
      <c r="AB483" s="238"/>
      <c r="AC483" s="196">
        <f t="shared" si="61"/>
        <v>0</v>
      </c>
      <c r="AD483" s="196">
        <f t="shared" si="62"/>
        <v>0</v>
      </c>
      <c r="AE483" s="196">
        <f t="shared" si="63"/>
        <v>0</v>
      </c>
      <c r="AF483" s="2">
        <f t="shared" si="64"/>
        <v>0</v>
      </c>
      <c r="AG483" s="2">
        <f t="shared" si="65"/>
        <v>0</v>
      </c>
    </row>
    <row r="484" spans="1:33">
      <c r="A484" s="20" t="s">
        <v>1286</v>
      </c>
      <c r="B484" s="150"/>
      <c r="C484" s="21" t="s">
        <v>59</v>
      </c>
      <c r="D484" s="109" t="s">
        <v>13653</v>
      </c>
      <c r="E484" s="109" t="s">
        <v>13630</v>
      </c>
      <c r="F484" s="391" t="s">
        <v>13825</v>
      </c>
      <c r="G484" s="23"/>
      <c r="H484" s="23"/>
      <c r="I484" s="23"/>
      <c r="J484" s="23"/>
      <c r="K484" s="23"/>
      <c r="L484" s="350"/>
      <c r="M484" s="351"/>
      <c r="N484" s="267">
        <f t="shared" si="66"/>
        <v>0</v>
      </c>
      <c r="O484" s="268">
        <f t="shared" si="67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61"/>
        <v>0</v>
      </c>
      <c r="AD484" s="196">
        <f t="shared" si="62"/>
        <v>0</v>
      </c>
      <c r="AE484" s="196">
        <f t="shared" si="63"/>
        <v>0</v>
      </c>
      <c r="AF484" s="2">
        <f t="shared" si="64"/>
        <v>0</v>
      </c>
      <c r="AG484" s="2">
        <f t="shared" si="65"/>
        <v>0</v>
      </c>
    </row>
    <row r="485" spans="1:33">
      <c r="A485" s="20" t="s">
        <v>1285</v>
      </c>
      <c r="B485" s="150"/>
      <c r="C485" s="21" t="s">
        <v>59</v>
      </c>
      <c r="D485" s="109" t="s">
        <v>13551</v>
      </c>
      <c r="E485" s="109"/>
      <c r="F485" s="391" t="s">
        <v>13825</v>
      </c>
      <c r="G485" s="23" t="s">
        <v>13826</v>
      </c>
      <c r="H485" s="23"/>
      <c r="I485" s="23"/>
      <c r="J485" s="23"/>
      <c r="K485" s="23"/>
      <c r="L485" s="350"/>
      <c r="M485" s="351"/>
      <c r="N485" s="267">
        <f t="shared" si="66"/>
        <v>0</v>
      </c>
      <c r="O485" s="268">
        <f t="shared" si="67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61"/>
        <v>0</v>
      </c>
      <c r="AD485" s="196">
        <f t="shared" si="62"/>
        <v>0</v>
      </c>
      <c r="AE485" s="196">
        <f t="shared" si="63"/>
        <v>0</v>
      </c>
      <c r="AF485" s="2">
        <f t="shared" si="64"/>
        <v>0</v>
      </c>
      <c r="AG485" s="2">
        <f t="shared" si="65"/>
        <v>0</v>
      </c>
    </row>
    <row r="486" spans="1:33">
      <c r="A486" s="20" t="s">
        <v>1287</v>
      </c>
      <c r="B486" s="152" t="s">
        <v>13827</v>
      </c>
      <c r="C486" s="21" t="s">
        <v>60</v>
      </c>
      <c r="D486" s="109" t="s">
        <v>13551</v>
      </c>
      <c r="E486" s="109"/>
      <c r="F486" s="391" t="s">
        <v>13828</v>
      </c>
      <c r="G486" s="23" t="s">
        <v>13711</v>
      </c>
      <c r="H486" s="23"/>
      <c r="I486" s="23"/>
      <c r="J486" s="23"/>
      <c r="K486" s="23"/>
      <c r="L486" s="350"/>
      <c r="M486" s="351"/>
      <c r="N486" s="267">
        <f t="shared" si="66"/>
        <v>0</v>
      </c>
      <c r="O486" s="268">
        <f t="shared" si="67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61"/>
        <v>0</v>
      </c>
      <c r="AD486" s="196">
        <f t="shared" si="62"/>
        <v>0</v>
      </c>
      <c r="AE486" s="196">
        <f t="shared" si="63"/>
        <v>0</v>
      </c>
      <c r="AF486" s="2">
        <f t="shared" si="64"/>
        <v>0</v>
      </c>
      <c r="AG486" s="2">
        <f t="shared" si="65"/>
        <v>0</v>
      </c>
    </row>
    <row r="487" spans="1:33">
      <c r="A487" s="20" t="s">
        <v>1288</v>
      </c>
      <c r="B487" s="150"/>
      <c r="C487" s="21" t="s">
        <v>61</v>
      </c>
      <c r="D487" s="109" t="s">
        <v>13700</v>
      </c>
      <c r="E487" s="109"/>
      <c r="F487" s="391" t="s">
        <v>13829</v>
      </c>
      <c r="G487" s="23"/>
      <c r="H487" s="23"/>
      <c r="I487" s="23"/>
      <c r="J487" s="23"/>
      <c r="K487" s="23"/>
      <c r="L487" s="350"/>
      <c r="M487" s="351"/>
      <c r="N487" s="267">
        <f t="shared" si="66"/>
        <v>0</v>
      </c>
      <c r="O487" s="268">
        <f t="shared" si="67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61"/>
        <v>0</v>
      </c>
      <c r="AD487" s="196">
        <f t="shared" si="62"/>
        <v>0</v>
      </c>
      <c r="AE487" s="196">
        <f t="shared" si="63"/>
        <v>0</v>
      </c>
      <c r="AF487" s="2">
        <f t="shared" si="64"/>
        <v>0</v>
      </c>
      <c r="AG487" s="2">
        <f t="shared" si="65"/>
        <v>0</v>
      </c>
    </row>
    <row r="488" spans="1:33">
      <c r="A488" s="20" t="s">
        <v>1289</v>
      </c>
      <c r="B488" s="150"/>
      <c r="C488" s="21" t="s">
        <v>62</v>
      </c>
      <c r="D488" s="109" t="s">
        <v>13551</v>
      </c>
      <c r="E488" s="109"/>
      <c r="F488" s="391" t="s">
        <v>13830</v>
      </c>
      <c r="G488" s="23" t="s">
        <v>13692</v>
      </c>
      <c r="H488" s="23" t="s">
        <v>13639</v>
      </c>
      <c r="I488" s="23" t="s">
        <v>15071</v>
      </c>
      <c r="J488" s="23"/>
      <c r="K488" s="23"/>
      <c r="L488" s="375"/>
      <c r="M488" s="351" t="s">
        <v>7787</v>
      </c>
      <c r="N488" s="267">
        <f t="shared" si="66"/>
        <v>0</v>
      </c>
      <c r="O488" s="268">
        <f t="shared" si="67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61"/>
        <v>0</v>
      </c>
      <c r="AD488" s="196">
        <f t="shared" si="62"/>
        <v>0</v>
      </c>
      <c r="AE488" s="196">
        <f t="shared" si="63"/>
        <v>0</v>
      </c>
      <c r="AF488" s="2">
        <f t="shared" si="64"/>
        <v>0</v>
      </c>
      <c r="AG488" s="2">
        <f t="shared" si="65"/>
        <v>0</v>
      </c>
    </row>
    <row r="489" spans="1:33">
      <c r="A489" s="20" t="s">
        <v>1290</v>
      </c>
      <c r="B489" s="150"/>
      <c r="C489" s="21" t="s">
        <v>63</v>
      </c>
      <c r="D489" s="109" t="s">
        <v>13551</v>
      </c>
      <c r="E489" s="109"/>
      <c r="F489" s="391" t="s">
        <v>13831</v>
      </c>
      <c r="G489" s="23"/>
      <c r="H489" s="23"/>
      <c r="I489" s="23"/>
      <c r="J489" s="23"/>
      <c r="K489" s="23"/>
      <c r="L489" s="350"/>
      <c r="M489" s="351"/>
      <c r="N489" s="267">
        <f t="shared" si="66"/>
        <v>0</v>
      </c>
      <c r="O489" s="268">
        <f t="shared" si="67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61"/>
        <v>0</v>
      </c>
      <c r="AD489" s="196">
        <f t="shared" si="62"/>
        <v>0</v>
      </c>
      <c r="AE489" s="196">
        <f t="shared" si="63"/>
        <v>0</v>
      </c>
      <c r="AF489" s="2">
        <f t="shared" si="64"/>
        <v>0</v>
      </c>
      <c r="AG489" s="2">
        <f t="shared" si="65"/>
        <v>0</v>
      </c>
    </row>
    <row r="490" spans="1:33">
      <c r="A490" s="20" t="s">
        <v>1291</v>
      </c>
      <c r="B490" s="150"/>
      <c r="C490" s="21" t="s">
        <v>64</v>
      </c>
      <c r="D490" s="109" t="s">
        <v>13551</v>
      </c>
      <c r="E490" s="109"/>
      <c r="F490" s="391" t="s">
        <v>13832</v>
      </c>
      <c r="G490" s="23"/>
      <c r="H490" s="23"/>
      <c r="I490" s="23"/>
      <c r="J490" s="23"/>
      <c r="K490" s="23"/>
      <c r="L490" s="350"/>
      <c r="M490" s="351"/>
      <c r="N490" s="267">
        <f t="shared" si="66"/>
        <v>0</v>
      </c>
      <c r="O490" s="268">
        <f t="shared" si="67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61"/>
        <v>0</v>
      </c>
      <c r="AD490" s="196">
        <f t="shared" si="62"/>
        <v>0</v>
      </c>
      <c r="AE490" s="196">
        <f t="shared" si="63"/>
        <v>0</v>
      </c>
      <c r="AF490" s="2">
        <f t="shared" si="64"/>
        <v>0</v>
      </c>
      <c r="AG490" s="2">
        <f t="shared" si="65"/>
        <v>0</v>
      </c>
    </row>
    <row r="491" spans="1:33">
      <c r="A491" s="20" t="s">
        <v>1292</v>
      </c>
      <c r="B491" s="150"/>
      <c r="C491" s="21" t="s">
        <v>64</v>
      </c>
      <c r="D491" s="109" t="s">
        <v>13551</v>
      </c>
      <c r="E491" s="109"/>
      <c r="F491" s="391" t="s">
        <v>13833</v>
      </c>
      <c r="G491" s="23"/>
      <c r="H491" s="23"/>
      <c r="I491" s="23"/>
      <c r="J491" s="23"/>
      <c r="K491" s="23"/>
      <c r="L491" s="350"/>
      <c r="M491" s="351"/>
      <c r="N491" s="267">
        <f t="shared" si="66"/>
        <v>0</v>
      </c>
      <c r="O491" s="268">
        <f t="shared" si="67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61"/>
        <v>0</v>
      </c>
      <c r="AD491" s="196">
        <f t="shared" si="62"/>
        <v>0</v>
      </c>
      <c r="AE491" s="196">
        <f t="shared" si="63"/>
        <v>0</v>
      </c>
      <c r="AF491" s="2">
        <f t="shared" si="64"/>
        <v>0</v>
      </c>
      <c r="AG491" s="2">
        <f t="shared" si="65"/>
        <v>0</v>
      </c>
    </row>
    <row r="492" spans="1:33">
      <c r="A492" s="20" t="s">
        <v>1294</v>
      </c>
      <c r="B492" s="150"/>
      <c r="C492" s="21" t="s">
        <v>65</v>
      </c>
      <c r="D492" s="109" t="s">
        <v>13640</v>
      </c>
      <c r="E492" s="109" t="s">
        <v>13627</v>
      </c>
      <c r="F492" s="391" t="s">
        <v>13834</v>
      </c>
      <c r="G492" s="23"/>
      <c r="H492" s="23"/>
      <c r="I492" s="23"/>
      <c r="J492" s="23"/>
      <c r="K492" s="23"/>
      <c r="L492" s="350"/>
      <c r="M492" s="351"/>
      <c r="N492" s="267">
        <f t="shared" si="66"/>
        <v>0</v>
      </c>
      <c r="O492" s="268">
        <f t="shared" si="67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61"/>
        <v>0</v>
      </c>
      <c r="AD492" s="196">
        <f t="shared" si="62"/>
        <v>0</v>
      </c>
      <c r="AE492" s="196">
        <f t="shared" si="63"/>
        <v>0</v>
      </c>
      <c r="AF492" s="2">
        <f t="shared" si="64"/>
        <v>0</v>
      </c>
      <c r="AG492" s="2">
        <f t="shared" si="65"/>
        <v>0</v>
      </c>
    </row>
    <row r="493" spans="1:33">
      <c r="A493" s="20" t="s">
        <v>1293</v>
      </c>
      <c r="B493" s="150"/>
      <c r="C493" s="21" t="s">
        <v>65</v>
      </c>
      <c r="D493" s="109" t="s">
        <v>13655</v>
      </c>
      <c r="E493" s="109"/>
      <c r="F493" s="391" t="s">
        <v>13835</v>
      </c>
      <c r="G493" s="23"/>
      <c r="H493" s="23"/>
      <c r="I493" s="23"/>
      <c r="J493" s="23"/>
      <c r="K493" s="23"/>
      <c r="L493" s="350"/>
      <c r="M493" s="351"/>
      <c r="N493" s="267">
        <f t="shared" si="66"/>
        <v>0</v>
      </c>
      <c r="O493" s="268">
        <f t="shared" si="67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61"/>
        <v>0</v>
      </c>
      <c r="AD493" s="196">
        <f t="shared" si="62"/>
        <v>0</v>
      </c>
      <c r="AE493" s="196">
        <f t="shared" si="63"/>
        <v>0</v>
      </c>
      <c r="AF493" s="2">
        <f t="shared" si="64"/>
        <v>0</v>
      </c>
      <c r="AG493" s="2">
        <f t="shared" si="65"/>
        <v>0</v>
      </c>
    </row>
    <row r="494" spans="1:33">
      <c r="A494" s="20" t="s">
        <v>1295</v>
      </c>
      <c r="B494" s="150"/>
      <c r="C494" s="21" t="s">
        <v>731</v>
      </c>
      <c r="D494" s="109" t="s">
        <v>13836</v>
      </c>
      <c r="E494" s="109"/>
      <c r="F494" s="391" t="s">
        <v>13837</v>
      </c>
      <c r="G494" s="23"/>
      <c r="H494" s="23"/>
      <c r="I494" s="23"/>
      <c r="J494" s="23"/>
      <c r="K494" s="23"/>
      <c r="L494" s="350"/>
      <c r="M494" s="351"/>
      <c r="N494" s="267">
        <f t="shared" si="66"/>
        <v>0</v>
      </c>
      <c r="O494" s="268">
        <f t="shared" si="67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61"/>
        <v>0</v>
      </c>
      <c r="AD494" s="196">
        <f t="shared" si="62"/>
        <v>0</v>
      </c>
      <c r="AE494" s="196">
        <f t="shared" si="63"/>
        <v>0</v>
      </c>
      <c r="AF494" s="2">
        <f t="shared" si="64"/>
        <v>0</v>
      </c>
      <c r="AG494" s="2">
        <f t="shared" si="65"/>
        <v>0</v>
      </c>
    </row>
    <row r="495" spans="1:33">
      <c r="A495" s="20" t="s">
        <v>1296</v>
      </c>
      <c r="B495" s="150"/>
      <c r="C495" s="21" t="s">
        <v>66</v>
      </c>
      <c r="D495" s="109" t="s">
        <v>13438</v>
      </c>
      <c r="E495" s="109"/>
      <c r="F495" s="391" t="s">
        <v>13838</v>
      </c>
      <c r="G495" s="23"/>
      <c r="H495" s="23"/>
      <c r="I495" s="23"/>
      <c r="J495" s="23"/>
      <c r="K495" s="23"/>
      <c r="L495" s="350"/>
      <c r="M495" s="351"/>
      <c r="N495" s="267">
        <f t="shared" si="66"/>
        <v>0</v>
      </c>
      <c r="O495" s="268">
        <f t="shared" si="67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61"/>
        <v>0</v>
      </c>
      <c r="AD495" s="196">
        <f t="shared" si="62"/>
        <v>0</v>
      </c>
      <c r="AE495" s="196">
        <f t="shared" si="63"/>
        <v>0</v>
      </c>
      <c r="AF495" s="2">
        <f t="shared" si="64"/>
        <v>0</v>
      </c>
      <c r="AG495" s="2">
        <f t="shared" si="65"/>
        <v>0</v>
      </c>
    </row>
    <row r="496" spans="1:33">
      <c r="A496" s="20" t="s">
        <v>1297</v>
      </c>
      <c r="B496" s="150"/>
      <c r="C496" s="21" t="s">
        <v>67</v>
      </c>
      <c r="D496" s="109" t="s">
        <v>13551</v>
      </c>
      <c r="E496" s="109"/>
      <c r="F496" s="391" t="s">
        <v>13839</v>
      </c>
      <c r="G496" s="23" t="s">
        <v>13826</v>
      </c>
      <c r="H496" s="23"/>
      <c r="I496" s="23"/>
      <c r="J496" s="23"/>
      <c r="K496" s="23"/>
      <c r="L496" s="375" t="s">
        <v>7787</v>
      </c>
      <c r="M496" s="351" t="s">
        <v>7787</v>
      </c>
      <c r="N496" s="267">
        <f t="shared" si="66"/>
        <v>0</v>
      </c>
      <c r="O496" s="268">
        <f t="shared" si="67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61"/>
        <v>0</v>
      </c>
      <c r="AD496" s="196">
        <f t="shared" si="62"/>
        <v>0</v>
      </c>
      <c r="AE496" s="196">
        <f t="shared" si="63"/>
        <v>0</v>
      </c>
      <c r="AF496" s="2">
        <f t="shared" si="64"/>
        <v>0</v>
      </c>
      <c r="AG496" s="2">
        <f t="shared" si="65"/>
        <v>0</v>
      </c>
    </row>
    <row r="497" spans="1:33">
      <c r="A497" s="20" t="s">
        <v>1298</v>
      </c>
      <c r="B497" s="150"/>
      <c r="C497" s="21" t="s">
        <v>68</v>
      </c>
      <c r="D497" s="109" t="s">
        <v>13840</v>
      </c>
      <c r="E497" s="109"/>
      <c r="F497" s="391" t="s">
        <v>13841</v>
      </c>
      <c r="G497" s="23"/>
      <c r="H497" s="23"/>
      <c r="I497" s="23"/>
      <c r="J497" s="23"/>
      <c r="K497" s="23"/>
      <c r="L497" s="350"/>
      <c r="M497" s="351"/>
      <c r="N497" s="267">
        <f t="shared" si="66"/>
        <v>0</v>
      </c>
      <c r="O497" s="268">
        <f t="shared" si="67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61"/>
        <v>0</v>
      </c>
      <c r="AD497" s="196">
        <f t="shared" si="62"/>
        <v>0</v>
      </c>
      <c r="AE497" s="196">
        <f t="shared" si="63"/>
        <v>0</v>
      </c>
      <c r="AF497" s="2">
        <f t="shared" si="64"/>
        <v>0</v>
      </c>
      <c r="AG497" s="2">
        <f t="shared" si="65"/>
        <v>0</v>
      </c>
    </row>
    <row r="498" spans="1:33">
      <c r="A498" s="20" t="s">
        <v>1299</v>
      </c>
      <c r="B498" s="150"/>
      <c r="C498" s="21" t="s">
        <v>69</v>
      </c>
      <c r="D498" s="109" t="s">
        <v>13553</v>
      </c>
      <c r="E498" s="109"/>
      <c r="F498" s="391" t="s">
        <v>13842</v>
      </c>
      <c r="G498" s="23"/>
      <c r="H498" s="23"/>
      <c r="I498" s="23"/>
      <c r="J498" s="23"/>
      <c r="K498" s="23"/>
      <c r="L498" s="350"/>
      <c r="M498" s="351"/>
      <c r="N498" s="267">
        <f t="shared" si="66"/>
        <v>0</v>
      </c>
      <c r="O498" s="268">
        <f t="shared" si="67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61"/>
        <v>0</v>
      </c>
      <c r="AD498" s="196">
        <f t="shared" si="62"/>
        <v>0</v>
      </c>
      <c r="AE498" s="196">
        <f t="shared" si="63"/>
        <v>0</v>
      </c>
      <c r="AF498" s="2">
        <f t="shared" si="64"/>
        <v>0</v>
      </c>
      <c r="AG498" s="2">
        <f t="shared" si="65"/>
        <v>0</v>
      </c>
    </row>
    <row r="499" spans="1:33">
      <c r="A499" s="20" t="s">
        <v>1300</v>
      </c>
      <c r="B499" s="150"/>
      <c r="C499" s="21" t="s">
        <v>732</v>
      </c>
      <c r="D499" s="109" t="s">
        <v>13843</v>
      </c>
      <c r="E499" s="109"/>
      <c r="F499" s="391" t="s">
        <v>13844</v>
      </c>
      <c r="G499" s="23"/>
      <c r="H499" s="23"/>
      <c r="I499" s="23"/>
      <c r="J499" s="23"/>
      <c r="K499" s="23"/>
      <c r="L499" s="350"/>
      <c r="M499" s="351"/>
      <c r="N499" s="267">
        <f t="shared" si="66"/>
        <v>0</v>
      </c>
      <c r="O499" s="268">
        <f t="shared" si="67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61"/>
        <v>0</v>
      </c>
      <c r="AD499" s="196">
        <f t="shared" si="62"/>
        <v>0</v>
      </c>
      <c r="AE499" s="196">
        <f t="shared" si="63"/>
        <v>0</v>
      </c>
      <c r="AF499" s="2">
        <f t="shared" si="64"/>
        <v>0</v>
      </c>
      <c r="AG499" s="2">
        <f t="shared" si="65"/>
        <v>0</v>
      </c>
    </row>
    <row r="500" spans="1:33">
      <c r="A500" s="20" t="s">
        <v>1302</v>
      </c>
      <c r="B500" s="150"/>
      <c r="C500" s="21" t="s">
        <v>70</v>
      </c>
      <c r="D500" s="109" t="s">
        <v>13653</v>
      </c>
      <c r="E500" s="109" t="s">
        <v>13630</v>
      </c>
      <c r="F500" s="391" t="s">
        <v>13845</v>
      </c>
      <c r="G500" s="23"/>
      <c r="H500" s="23"/>
      <c r="I500" s="23"/>
      <c r="J500" s="23"/>
      <c r="K500" s="23"/>
      <c r="L500" s="350"/>
      <c r="M500" s="351"/>
      <c r="N500" s="267">
        <f t="shared" si="66"/>
        <v>0</v>
      </c>
      <c r="O500" s="268">
        <f t="shared" si="67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61"/>
        <v>0</v>
      </c>
      <c r="AD500" s="196">
        <f t="shared" si="62"/>
        <v>0</v>
      </c>
      <c r="AE500" s="196">
        <f t="shared" si="63"/>
        <v>0</v>
      </c>
      <c r="AF500" s="2">
        <f t="shared" si="64"/>
        <v>0</v>
      </c>
      <c r="AG500" s="2">
        <f t="shared" si="65"/>
        <v>0</v>
      </c>
    </row>
    <row r="501" spans="1:33">
      <c r="A501" s="20" t="s">
        <v>1301</v>
      </c>
      <c r="B501" s="150"/>
      <c r="C501" s="21" t="s">
        <v>70</v>
      </c>
      <c r="D501" s="109" t="s">
        <v>13551</v>
      </c>
      <c r="E501" s="109"/>
      <c r="F501" s="391" t="s">
        <v>13846</v>
      </c>
      <c r="G501" s="23"/>
      <c r="H501" s="23"/>
      <c r="I501" s="23"/>
      <c r="J501" s="23"/>
      <c r="K501" s="23"/>
      <c r="L501" s="350"/>
      <c r="M501" s="351"/>
      <c r="N501" s="267">
        <f t="shared" si="66"/>
        <v>0</v>
      </c>
      <c r="O501" s="268">
        <f t="shared" si="67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61"/>
        <v>0</v>
      </c>
      <c r="AD501" s="196">
        <f t="shared" si="62"/>
        <v>0</v>
      </c>
      <c r="AE501" s="196">
        <f t="shared" si="63"/>
        <v>0</v>
      </c>
      <c r="AF501" s="2">
        <f t="shared" si="64"/>
        <v>0</v>
      </c>
      <c r="AG501" s="2">
        <f t="shared" si="65"/>
        <v>0</v>
      </c>
    </row>
    <row r="502" spans="1:33">
      <c r="A502" s="20" t="s">
        <v>17289</v>
      </c>
      <c r="B502" s="150"/>
      <c r="C502" s="21" t="s">
        <v>70</v>
      </c>
      <c r="D502" s="109" t="s">
        <v>17397</v>
      </c>
      <c r="E502" s="109"/>
      <c r="F502" s="391" t="s">
        <v>4278</v>
      </c>
      <c r="G502" s="23" t="s">
        <v>17398</v>
      </c>
      <c r="H502" s="23" t="s">
        <v>22677</v>
      </c>
      <c r="I502" s="23"/>
      <c r="J502" s="23"/>
      <c r="K502" s="23"/>
      <c r="L502" s="375" t="s">
        <v>45</v>
      </c>
      <c r="M502" s="351" t="s">
        <v>7787</v>
      </c>
      <c r="N502" s="267">
        <f t="shared" si="66"/>
        <v>0</v>
      </c>
      <c r="O502" s="268">
        <f t="shared" si="67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61"/>
        <v>0</v>
      </c>
      <c r="AD502" s="196">
        <f t="shared" si="62"/>
        <v>0</v>
      </c>
      <c r="AE502" s="196">
        <f t="shared" si="63"/>
        <v>0</v>
      </c>
      <c r="AF502" s="2">
        <f t="shared" si="64"/>
        <v>0</v>
      </c>
      <c r="AG502" s="2">
        <f t="shared" si="65"/>
        <v>0</v>
      </c>
    </row>
    <row r="503" spans="1:33">
      <c r="A503" s="20" t="s">
        <v>1303</v>
      </c>
      <c r="B503" s="150"/>
      <c r="C503" s="21" t="s">
        <v>733</v>
      </c>
      <c r="D503" s="109" t="s">
        <v>13843</v>
      </c>
      <c r="E503" s="109"/>
      <c r="F503" s="391" t="s">
        <v>13847</v>
      </c>
      <c r="G503" s="23"/>
      <c r="H503" s="23"/>
      <c r="I503" s="23"/>
      <c r="J503" s="23"/>
      <c r="K503" s="23"/>
      <c r="L503" s="350"/>
      <c r="M503" s="351"/>
      <c r="N503" s="267">
        <f t="shared" si="66"/>
        <v>0</v>
      </c>
      <c r="O503" s="268">
        <f t="shared" si="67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61"/>
        <v>0</v>
      </c>
      <c r="AD503" s="196">
        <f t="shared" si="62"/>
        <v>0</v>
      </c>
      <c r="AE503" s="196">
        <f t="shared" si="63"/>
        <v>0</v>
      </c>
      <c r="AF503" s="2">
        <f t="shared" si="64"/>
        <v>0</v>
      </c>
      <c r="AG503" s="2">
        <f t="shared" si="65"/>
        <v>0</v>
      </c>
    </row>
    <row r="504" spans="1:33">
      <c r="A504" s="20" t="s">
        <v>1304</v>
      </c>
      <c r="B504" s="150"/>
      <c r="C504" s="21" t="s">
        <v>71</v>
      </c>
      <c r="D504" s="109" t="s">
        <v>13553</v>
      </c>
      <c r="E504" s="109"/>
      <c r="F504" s="391" t="s">
        <v>13848</v>
      </c>
      <c r="G504" s="23" t="s">
        <v>13711</v>
      </c>
      <c r="H504" s="23"/>
      <c r="I504" s="23"/>
      <c r="J504" s="23"/>
      <c r="K504" s="23"/>
      <c r="L504" s="361"/>
      <c r="M504" s="351"/>
      <c r="N504" s="267">
        <f t="shared" si="66"/>
        <v>0</v>
      </c>
      <c r="O504" s="268">
        <f t="shared" si="67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61"/>
        <v>0</v>
      </c>
      <c r="AD504" s="196">
        <f t="shared" si="62"/>
        <v>0</v>
      </c>
      <c r="AE504" s="196">
        <f t="shared" si="63"/>
        <v>0</v>
      </c>
      <c r="AF504" s="2">
        <f t="shared" si="64"/>
        <v>0</v>
      </c>
      <c r="AG504" s="2">
        <f t="shared" si="65"/>
        <v>0</v>
      </c>
    </row>
    <row r="505" spans="1:33">
      <c r="A505" s="20" t="s">
        <v>1305</v>
      </c>
      <c r="B505" s="150"/>
      <c r="C505" s="21" t="s">
        <v>72</v>
      </c>
      <c r="D505" s="109" t="s">
        <v>13551</v>
      </c>
      <c r="E505" s="109"/>
      <c r="F505" s="391" t="s">
        <v>13849</v>
      </c>
      <c r="G505" s="23"/>
      <c r="H505" s="23"/>
      <c r="I505" s="23"/>
      <c r="J505" s="23"/>
      <c r="K505" s="23"/>
      <c r="L505" s="350"/>
      <c r="M505" s="351"/>
      <c r="N505" s="267">
        <f t="shared" si="66"/>
        <v>0</v>
      </c>
      <c r="O505" s="268">
        <f t="shared" si="67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61"/>
        <v>0</v>
      </c>
      <c r="AD505" s="196">
        <f t="shared" si="62"/>
        <v>0</v>
      </c>
      <c r="AE505" s="196">
        <f t="shared" si="63"/>
        <v>0</v>
      </c>
      <c r="AF505" s="2">
        <f t="shared" si="64"/>
        <v>0</v>
      </c>
      <c r="AG505" s="2">
        <f t="shared" si="65"/>
        <v>0</v>
      </c>
    </row>
    <row r="506" spans="1:33">
      <c r="A506" s="20" t="s">
        <v>1306</v>
      </c>
      <c r="B506" s="150"/>
      <c r="C506" s="21" t="s">
        <v>73</v>
      </c>
      <c r="D506" s="109" t="s">
        <v>13551</v>
      </c>
      <c r="E506" s="109"/>
      <c r="F506" s="391" t="s">
        <v>13850</v>
      </c>
      <c r="G506" s="23"/>
      <c r="H506" s="23"/>
      <c r="I506" s="23"/>
      <c r="J506" s="23"/>
      <c r="K506" s="23"/>
      <c r="L506" s="350"/>
      <c r="M506" s="351"/>
      <c r="N506" s="267">
        <f t="shared" si="66"/>
        <v>0</v>
      </c>
      <c r="O506" s="268">
        <f t="shared" si="67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61"/>
        <v>0</v>
      </c>
      <c r="AD506" s="196">
        <f t="shared" si="62"/>
        <v>0</v>
      </c>
      <c r="AE506" s="196">
        <f t="shared" si="63"/>
        <v>0</v>
      </c>
      <c r="AF506" s="2">
        <f t="shared" si="64"/>
        <v>0</v>
      </c>
      <c r="AG506" s="2">
        <f t="shared" si="65"/>
        <v>0</v>
      </c>
    </row>
    <row r="507" spans="1:33">
      <c r="A507" s="20" t="s">
        <v>1313</v>
      </c>
      <c r="B507" s="150"/>
      <c r="C507" s="21" t="s">
        <v>734</v>
      </c>
      <c r="D507" s="109" t="s">
        <v>13843</v>
      </c>
      <c r="E507" s="109"/>
      <c r="F507" s="391" t="s">
        <v>13837</v>
      </c>
      <c r="G507" s="23"/>
      <c r="H507" s="23"/>
      <c r="I507" s="23"/>
      <c r="J507" s="23"/>
      <c r="K507" s="23"/>
      <c r="L507" s="350"/>
      <c r="M507" s="351"/>
      <c r="N507" s="267">
        <f t="shared" si="66"/>
        <v>0</v>
      </c>
      <c r="O507" s="268">
        <f t="shared" si="67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61"/>
        <v>0</v>
      </c>
      <c r="AD507" s="196">
        <f t="shared" si="62"/>
        <v>0</v>
      </c>
      <c r="AE507" s="196">
        <f t="shared" si="63"/>
        <v>0</v>
      </c>
      <c r="AF507" s="2">
        <f t="shared" si="64"/>
        <v>0</v>
      </c>
      <c r="AG507" s="2">
        <f t="shared" si="65"/>
        <v>0</v>
      </c>
    </row>
    <row r="508" spans="1:33">
      <c r="A508" s="20" t="s">
        <v>1309</v>
      </c>
      <c r="B508" s="150"/>
      <c r="C508" s="21" t="s">
        <v>74</v>
      </c>
      <c r="D508" s="109" t="s">
        <v>13653</v>
      </c>
      <c r="E508" s="109" t="s">
        <v>13630</v>
      </c>
      <c r="F508" s="391" t="s">
        <v>13851</v>
      </c>
      <c r="G508" s="23"/>
      <c r="H508" s="23"/>
      <c r="I508" s="23"/>
      <c r="J508" s="23"/>
      <c r="K508" s="23"/>
      <c r="L508" s="350"/>
      <c r="M508" s="351"/>
      <c r="N508" s="267">
        <f t="shared" si="66"/>
        <v>0</v>
      </c>
      <c r="O508" s="268">
        <f t="shared" si="67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61"/>
        <v>0</v>
      </c>
      <c r="AD508" s="196">
        <f t="shared" si="62"/>
        <v>0</v>
      </c>
      <c r="AE508" s="196">
        <f t="shared" si="63"/>
        <v>0</v>
      </c>
      <c r="AF508" s="2">
        <f t="shared" si="64"/>
        <v>0</v>
      </c>
      <c r="AG508" s="2">
        <f t="shared" si="65"/>
        <v>0</v>
      </c>
    </row>
    <row r="509" spans="1:33">
      <c r="A509" s="20" t="s">
        <v>1312</v>
      </c>
      <c r="B509" s="150"/>
      <c r="C509" s="21" t="s">
        <v>74</v>
      </c>
      <c r="D509" s="109" t="s">
        <v>13653</v>
      </c>
      <c r="E509" s="109" t="s">
        <v>13717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6"/>
        <v>0</v>
      </c>
      <c r="O509" s="268">
        <f t="shared" si="67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61"/>
        <v>0</v>
      </c>
      <c r="AD509" s="196">
        <f t="shared" si="62"/>
        <v>0</v>
      </c>
      <c r="AE509" s="196">
        <f t="shared" si="63"/>
        <v>0</v>
      </c>
      <c r="AF509" s="2">
        <f t="shared" si="64"/>
        <v>0</v>
      </c>
      <c r="AG509" s="2">
        <f t="shared" si="65"/>
        <v>0</v>
      </c>
    </row>
    <row r="510" spans="1:33">
      <c r="A510" s="20" t="s">
        <v>1311</v>
      </c>
      <c r="B510" s="150"/>
      <c r="C510" s="21" t="s">
        <v>74</v>
      </c>
      <c r="D510" s="109" t="s">
        <v>13653</v>
      </c>
      <c r="E510" s="109" t="s">
        <v>13781</v>
      </c>
      <c r="F510" s="391" t="s">
        <v>13852</v>
      </c>
      <c r="G510" s="23" t="s">
        <v>13853</v>
      </c>
      <c r="H510" s="23"/>
      <c r="I510" s="23"/>
      <c r="J510" s="23"/>
      <c r="K510" s="23"/>
      <c r="L510" s="350"/>
      <c r="M510" s="351"/>
      <c r="N510" s="267">
        <f t="shared" si="66"/>
        <v>0</v>
      </c>
      <c r="O510" s="268">
        <f t="shared" si="67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61"/>
        <v>0</v>
      </c>
      <c r="AD510" s="196">
        <f t="shared" si="62"/>
        <v>0</v>
      </c>
      <c r="AE510" s="196">
        <f t="shared" si="63"/>
        <v>0</v>
      </c>
      <c r="AF510" s="2">
        <f t="shared" si="64"/>
        <v>0</v>
      </c>
      <c r="AG510" s="2">
        <f t="shared" si="65"/>
        <v>0</v>
      </c>
    </row>
    <row r="511" spans="1:33">
      <c r="A511" s="20" t="s">
        <v>12239</v>
      </c>
      <c r="B511" s="150"/>
      <c r="C511" s="21" t="s">
        <v>74</v>
      </c>
      <c r="D511" s="109" t="s">
        <v>13653</v>
      </c>
      <c r="E511" s="109"/>
      <c r="F511" s="391" t="s">
        <v>13852</v>
      </c>
      <c r="G511" s="23" t="s">
        <v>13854</v>
      </c>
      <c r="H511" s="23" t="s">
        <v>13353</v>
      </c>
      <c r="I511" s="23"/>
      <c r="J511" s="23"/>
      <c r="K511" s="23"/>
      <c r="L511" s="375" t="s">
        <v>7787</v>
      </c>
      <c r="M511" s="351" t="s">
        <v>7787</v>
      </c>
      <c r="N511" s="267">
        <f t="shared" si="66"/>
        <v>0</v>
      </c>
      <c r="O511" s="268">
        <f t="shared" si="67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61"/>
        <v>0</v>
      </c>
      <c r="AD511" s="196">
        <f t="shared" si="62"/>
        <v>0</v>
      </c>
      <c r="AE511" s="196">
        <f t="shared" si="63"/>
        <v>0</v>
      </c>
      <c r="AF511" s="2">
        <f t="shared" si="64"/>
        <v>0</v>
      </c>
      <c r="AG511" s="2">
        <f t="shared" si="65"/>
        <v>0</v>
      </c>
    </row>
    <row r="512" spans="1:33">
      <c r="A512" s="20" t="s">
        <v>1308</v>
      </c>
      <c r="B512" s="150"/>
      <c r="C512" s="21" t="s">
        <v>74</v>
      </c>
      <c r="D512" s="109" t="s">
        <v>13640</v>
      </c>
      <c r="E512" s="109" t="s">
        <v>13627</v>
      </c>
      <c r="F512" s="391" t="s">
        <v>13851</v>
      </c>
      <c r="G512" s="23" t="s">
        <v>13853</v>
      </c>
      <c r="H512" s="23"/>
      <c r="I512" s="23"/>
      <c r="J512" s="23"/>
      <c r="K512" s="23"/>
      <c r="L512" s="350"/>
      <c r="M512" s="351"/>
      <c r="N512" s="267">
        <f t="shared" si="66"/>
        <v>0</v>
      </c>
      <c r="O512" s="268">
        <f t="shared" si="67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61"/>
        <v>0</v>
      </c>
      <c r="AD512" s="196">
        <f t="shared" si="62"/>
        <v>0</v>
      </c>
      <c r="AE512" s="196">
        <f t="shared" si="63"/>
        <v>0</v>
      </c>
      <c r="AF512" s="2">
        <f t="shared" si="64"/>
        <v>0</v>
      </c>
      <c r="AG512" s="2">
        <f t="shared" si="65"/>
        <v>0</v>
      </c>
    </row>
    <row r="513" spans="1:33">
      <c r="A513" s="20" t="s">
        <v>19221</v>
      </c>
      <c r="B513" s="150"/>
      <c r="C513" s="21" t="s">
        <v>74</v>
      </c>
      <c r="D513" s="109" t="s">
        <v>19695</v>
      </c>
      <c r="E513" s="109" t="s">
        <v>3117</v>
      </c>
      <c r="F513" s="391" t="s">
        <v>4285</v>
      </c>
      <c r="G513" s="23" t="s">
        <v>13353</v>
      </c>
      <c r="H513" s="23"/>
      <c r="I513" s="23"/>
      <c r="J513" s="23"/>
      <c r="K513" s="23"/>
      <c r="L513" s="375" t="s">
        <v>7787</v>
      </c>
      <c r="M513" s="351"/>
      <c r="N513" s="267">
        <f t="shared" si="66"/>
        <v>0</v>
      </c>
      <c r="O513" s="268">
        <f t="shared" si="67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61"/>
        <v>0</v>
      </c>
      <c r="AD513" s="196">
        <f t="shared" si="62"/>
        <v>0</v>
      </c>
      <c r="AE513" s="196">
        <f t="shared" si="63"/>
        <v>0</v>
      </c>
      <c r="AF513" s="2">
        <f t="shared" si="64"/>
        <v>0</v>
      </c>
      <c r="AG513" s="2">
        <f t="shared" si="65"/>
        <v>0</v>
      </c>
    </row>
    <row r="514" spans="1:33">
      <c r="A514" s="20" t="s">
        <v>1307</v>
      </c>
      <c r="B514" s="150"/>
      <c r="C514" s="21" t="s">
        <v>74</v>
      </c>
      <c r="D514" s="109" t="s">
        <v>13551</v>
      </c>
      <c r="E514" s="109"/>
      <c r="F514" s="391" t="s">
        <v>13855</v>
      </c>
      <c r="G514" s="23"/>
      <c r="H514" s="23"/>
      <c r="I514" s="23"/>
      <c r="J514" s="23"/>
      <c r="K514" s="23"/>
      <c r="L514" s="350"/>
      <c r="M514" s="351"/>
      <c r="N514" s="267">
        <f t="shared" si="66"/>
        <v>0</v>
      </c>
      <c r="O514" s="268">
        <f t="shared" si="67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61"/>
        <v>0</v>
      </c>
      <c r="AD514" s="196">
        <f t="shared" si="62"/>
        <v>0</v>
      </c>
      <c r="AE514" s="196">
        <f t="shared" si="63"/>
        <v>0</v>
      </c>
      <c r="AF514" s="2">
        <f t="shared" si="64"/>
        <v>0</v>
      </c>
      <c r="AG514" s="2">
        <f t="shared" si="65"/>
        <v>0</v>
      </c>
    </row>
    <row r="515" spans="1:33">
      <c r="A515" s="20" t="s">
        <v>1310</v>
      </c>
      <c r="B515" s="150"/>
      <c r="C515" s="21" t="s">
        <v>74</v>
      </c>
      <c r="D515" s="109" t="s">
        <v>13553</v>
      </c>
      <c r="E515" s="109"/>
      <c r="F515" s="391" t="s">
        <v>13852</v>
      </c>
      <c r="G515" s="23" t="s">
        <v>13856</v>
      </c>
      <c r="H515" s="23"/>
      <c r="I515" s="23"/>
      <c r="J515" s="23"/>
      <c r="K515" s="23"/>
      <c r="L515" s="375"/>
      <c r="M515" s="351" t="s">
        <v>7787</v>
      </c>
      <c r="N515" s="267">
        <f t="shared" si="66"/>
        <v>0</v>
      </c>
      <c r="O515" s="268">
        <f t="shared" si="67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61"/>
        <v>0</v>
      </c>
      <c r="AD515" s="196">
        <f t="shared" si="62"/>
        <v>0</v>
      </c>
      <c r="AE515" s="196">
        <f t="shared" si="63"/>
        <v>0</v>
      </c>
      <c r="AF515" s="2">
        <f t="shared" si="64"/>
        <v>0</v>
      </c>
      <c r="AG515" s="2">
        <f t="shared" si="65"/>
        <v>0</v>
      </c>
    </row>
    <row r="516" spans="1:33">
      <c r="A516" s="20" t="s">
        <v>1315</v>
      </c>
      <c r="B516" s="150"/>
      <c r="C516" s="21" t="s">
        <v>75</v>
      </c>
      <c r="D516" s="109" t="s">
        <v>13640</v>
      </c>
      <c r="E516" s="109" t="s">
        <v>13857</v>
      </c>
      <c r="F516" s="391" t="s">
        <v>13858</v>
      </c>
      <c r="G516" s="23"/>
      <c r="H516" s="23"/>
      <c r="I516" s="23"/>
      <c r="J516" s="23"/>
      <c r="K516" s="23"/>
      <c r="L516" s="375" t="s">
        <v>7787</v>
      </c>
      <c r="M516" s="351"/>
      <c r="N516" s="267">
        <f t="shared" si="66"/>
        <v>0</v>
      </c>
      <c r="O516" s="268">
        <f t="shared" si="67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61"/>
        <v>0</v>
      </c>
      <c r="AD516" s="196">
        <f t="shared" si="62"/>
        <v>0</v>
      </c>
      <c r="AE516" s="196">
        <f t="shared" si="63"/>
        <v>0</v>
      </c>
      <c r="AF516" s="2">
        <f t="shared" si="64"/>
        <v>0</v>
      </c>
      <c r="AG516" s="2">
        <f t="shared" si="65"/>
        <v>0</v>
      </c>
    </row>
    <row r="517" spans="1:33">
      <c r="A517" s="20" t="s">
        <v>1314</v>
      </c>
      <c r="B517" s="150"/>
      <c r="C517" s="21" t="s">
        <v>75</v>
      </c>
      <c r="D517" s="109" t="s">
        <v>13859</v>
      </c>
      <c r="E517" s="109" t="s">
        <v>13303</v>
      </c>
      <c r="F517" s="391" t="s">
        <v>13860</v>
      </c>
      <c r="G517" s="23" t="s">
        <v>13861</v>
      </c>
      <c r="H517" s="23"/>
      <c r="I517" s="23"/>
      <c r="J517" s="23"/>
      <c r="K517" s="23"/>
      <c r="L517" s="375" t="s">
        <v>7787</v>
      </c>
      <c r="M517" s="351"/>
      <c r="N517" s="267">
        <f t="shared" si="66"/>
        <v>0</v>
      </c>
      <c r="O517" s="268">
        <f t="shared" si="67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79"/>
      <c r="AB517" s="238"/>
      <c r="AC517" s="196">
        <f t="shared" si="61"/>
        <v>0</v>
      </c>
      <c r="AD517" s="196">
        <f t="shared" si="62"/>
        <v>0</v>
      </c>
      <c r="AE517" s="196">
        <f t="shared" si="63"/>
        <v>0</v>
      </c>
      <c r="AF517" s="2">
        <f t="shared" si="64"/>
        <v>0</v>
      </c>
      <c r="AG517" s="2">
        <f t="shared" si="65"/>
        <v>0</v>
      </c>
    </row>
    <row r="518" spans="1:33">
      <c r="A518" s="20" t="s">
        <v>1317</v>
      </c>
      <c r="B518" s="150"/>
      <c r="C518" s="21" t="s">
        <v>75</v>
      </c>
      <c r="D518" s="109" t="s">
        <v>13296</v>
      </c>
      <c r="E518" s="109"/>
      <c r="F518" s="391" t="s">
        <v>13862</v>
      </c>
      <c r="G518" s="23" t="s">
        <v>6133</v>
      </c>
      <c r="H518" s="23" t="s">
        <v>13864</v>
      </c>
      <c r="I518" s="23" t="s">
        <v>13865</v>
      </c>
      <c r="J518" s="23"/>
      <c r="K518" s="23"/>
      <c r="L518" s="375" t="s">
        <v>7787</v>
      </c>
      <c r="M518" s="351" t="s">
        <v>7787</v>
      </c>
      <c r="N518" s="267">
        <f t="shared" si="66"/>
        <v>0</v>
      </c>
      <c r="O518" s="268">
        <f t="shared" si="67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39"/>
      <c r="AB518" s="238"/>
      <c r="AC518" s="196">
        <f t="shared" si="61"/>
        <v>0</v>
      </c>
      <c r="AD518" s="196">
        <f t="shared" si="62"/>
        <v>0</v>
      </c>
      <c r="AE518" s="196">
        <f t="shared" si="63"/>
        <v>0</v>
      </c>
      <c r="AF518" s="2">
        <f t="shared" si="64"/>
        <v>0</v>
      </c>
      <c r="AG518" s="2">
        <f t="shared" si="65"/>
        <v>0</v>
      </c>
    </row>
    <row r="519" spans="1:33">
      <c r="A519" s="20" t="s">
        <v>1319</v>
      </c>
      <c r="B519" s="150"/>
      <c r="C519" s="21" t="s">
        <v>75</v>
      </c>
      <c r="D519" s="109" t="s">
        <v>13866</v>
      </c>
      <c r="E519" s="109" t="s">
        <v>13867</v>
      </c>
      <c r="F519" s="391" t="s">
        <v>13868</v>
      </c>
      <c r="G519" s="23" t="s">
        <v>13486</v>
      </c>
      <c r="H519" s="23"/>
      <c r="I519" s="23"/>
      <c r="J519" s="23"/>
      <c r="K519" s="23"/>
      <c r="L519" s="350"/>
      <c r="M519" s="351"/>
      <c r="N519" s="267">
        <f t="shared" si="66"/>
        <v>0</v>
      </c>
      <c r="O519" s="268">
        <f t="shared" si="67"/>
        <v>0</v>
      </c>
      <c r="P519" s="239"/>
      <c r="Q519" s="239"/>
      <c r="R519" s="239"/>
      <c r="S519" s="239"/>
      <c r="T519" s="239"/>
      <c r="U519" s="240"/>
      <c r="V519" s="240"/>
      <c r="W519" s="240"/>
      <c r="X519" s="278"/>
      <c r="Y519" s="237"/>
      <c r="Z519" s="237"/>
      <c r="AA519" s="279"/>
      <c r="AB519" s="238"/>
      <c r="AC519" s="196">
        <f t="shared" ref="AC519:AC583" si="68">SUM(P519:AA519)</f>
        <v>0</v>
      </c>
      <c r="AD519" s="196">
        <f t="shared" ref="AD519:AD583" si="69">SUM(P519:AB519)</f>
        <v>0</v>
      </c>
      <c r="AE519" s="196">
        <f t="shared" ref="AE519:AE583" si="70">SUM(AC519-AD519)</f>
        <v>0</v>
      </c>
      <c r="AF519" s="2">
        <f t="shared" ref="AF519:AF583" si="71">+AC519</f>
        <v>0</v>
      </c>
      <c r="AG519" s="2">
        <f t="shared" ref="AG519:AG583" si="72">+AC519-AF519</f>
        <v>0</v>
      </c>
    </row>
    <row r="520" spans="1:33">
      <c r="A520" s="20" t="s">
        <v>1318</v>
      </c>
      <c r="B520" s="151" t="s">
        <v>13869</v>
      </c>
      <c r="C520" s="21" t="s">
        <v>75</v>
      </c>
      <c r="D520" s="109" t="s">
        <v>13553</v>
      </c>
      <c r="E520" s="109" t="s">
        <v>25841</v>
      </c>
      <c r="F520" s="391" t="s">
        <v>13870</v>
      </c>
      <c r="G520" s="23" t="s">
        <v>13540</v>
      </c>
      <c r="H520" s="23" t="s">
        <v>13249</v>
      </c>
      <c r="I520" s="23" t="s">
        <v>23872</v>
      </c>
      <c r="J520" s="23" t="s">
        <v>14175</v>
      </c>
      <c r="K520" s="23"/>
      <c r="L520" s="375" t="s">
        <v>7787</v>
      </c>
      <c r="M520" s="351"/>
      <c r="N520" s="267">
        <f t="shared" si="66"/>
        <v>0</v>
      </c>
      <c r="O520" s="268">
        <f t="shared" si="67"/>
        <v>2000</v>
      </c>
      <c r="P520" s="239">
        <v>2000</v>
      </c>
      <c r="Q520" s="239"/>
      <c r="R520" s="239"/>
      <c r="S520" s="239"/>
      <c r="T520" s="239"/>
      <c r="U520" s="240"/>
      <c r="V520" s="240"/>
      <c r="W520" s="240"/>
      <c r="X520" s="278"/>
      <c r="Y520" s="239"/>
      <c r="Z520" s="237"/>
      <c r="AA520" s="279"/>
      <c r="AB520" s="238"/>
      <c r="AC520" s="196">
        <f t="shared" si="68"/>
        <v>2000</v>
      </c>
      <c r="AD520" s="196">
        <f t="shared" si="69"/>
        <v>2000</v>
      </c>
      <c r="AE520" s="196">
        <f t="shared" si="70"/>
        <v>0</v>
      </c>
      <c r="AF520" s="2">
        <f t="shared" si="71"/>
        <v>2000</v>
      </c>
      <c r="AG520" s="2">
        <f t="shared" si="72"/>
        <v>0</v>
      </c>
    </row>
    <row r="521" spans="1:33">
      <c r="A521" s="20" t="s">
        <v>1320</v>
      </c>
      <c r="B521" s="150"/>
      <c r="C521" s="21" t="s">
        <v>75</v>
      </c>
      <c r="D521" s="109" t="s">
        <v>13553</v>
      </c>
      <c r="E521" s="109"/>
      <c r="F521" s="391" t="s">
        <v>13871</v>
      </c>
      <c r="G521" s="23" t="s">
        <v>13872</v>
      </c>
      <c r="H521" s="23" t="s">
        <v>13673</v>
      </c>
      <c r="I521" s="23" t="s">
        <v>13493</v>
      </c>
      <c r="J521" s="23" t="s">
        <v>25069</v>
      </c>
      <c r="K521" s="23"/>
      <c r="L521" s="375" t="s">
        <v>7787</v>
      </c>
      <c r="M521" s="351" t="s">
        <v>7787</v>
      </c>
      <c r="N521" s="267">
        <f t="shared" si="66"/>
        <v>0</v>
      </c>
      <c r="O521" s="268">
        <f t="shared" si="67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79"/>
      <c r="AB521" s="238"/>
      <c r="AC521" s="196">
        <f t="shared" si="68"/>
        <v>0</v>
      </c>
      <c r="AD521" s="196">
        <f t="shared" si="69"/>
        <v>0</v>
      </c>
      <c r="AE521" s="196">
        <f t="shared" si="70"/>
        <v>0</v>
      </c>
      <c r="AF521" s="2">
        <f t="shared" si="71"/>
        <v>0</v>
      </c>
      <c r="AG521" s="2">
        <f t="shared" si="72"/>
        <v>0</v>
      </c>
    </row>
    <row r="522" spans="1:33">
      <c r="A522" s="20" t="s">
        <v>1324</v>
      </c>
      <c r="B522" s="150"/>
      <c r="C522" s="21" t="s">
        <v>75</v>
      </c>
      <c r="D522" s="109" t="s">
        <v>13655</v>
      </c>
      <c r="E522" s="109" t="s">
        <v>13630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6"/>
        <v>0</v>
      </c>
      <c r="O522" s="268">
        <f t="shared" si="67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85"/>
      <c r="AB522" s="238"/>
      <c r="AC522" s="196">
        <f t="shared" si="68"/>
        <v>0</v>
      </c>
      <c r="AD522" s="196">
        <f t="shared" si="69"/>
        <v>0</v>
      </c>
      <c r="AE522" s="196">
        <f t="shared" si="70"/>
        <v>0</v>
      </c>
      <c r="AF522" s="2">
        <f t="shared" si="71"/>
        <v>0</v>
      </c>
      <c r="AG522" s="2">
        <f t="shared" si="72"/>
        <v>0</v>
      </c>
    </row>
    <row r="523" spans="1:33">
      <c r="A523" s="20" t="s">
        <v>1323</v>
      </c>
      <c r="B523" s="150"/>
      <c r="C523" s="21" t="s">
        <v>75</v>
      </c>
      <c r="D523" s="109" t="s">
        <v>13655</v>
      </c>
      <c r="E523" s="109" t="s">
        <v>13717</v>
      </c>
      <c r="F523" s="391" t="s">
        <v>13858</v>
      </c>
      <c r="G523" s="23"/>
      <c r="H523" s="23"/>
      <c r="I523" s="23"/>
      <c r="J523" s="23"/>
      <c r="K523" s="23"/>
      <c r="L523" s="350"/>
      <c r="M523" s="351"/>
      <c r="N523" s="267">
        <f t="shared" si="66"/>
        <v>0</v>
      </c>
      <c r="O523" s="268">
        <f t="shared" si="67"/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8"/>
        <v>0</v>
      </c>
      <c r="AD523" s="196">
        <f t="shared" si="69"/>
        <v>0</v>
      </c>
      <c r="AE523" s="196">
        <f t="shared" si="70"/>
        <v>0</v>
      </c>
      <c r="AF523" s="2">
        <f t="shared" si="71"/>
        <v>0</v>
      </c>
      <c r="AG523" s="2">
        <f t="shared" si="72"/>
        <v>0</v>
      </c>
    </row>
    <row r="524" spans="1:33">
      <c r="A524" s="20" t="s">
        <v>20064</v>
      </c>
      <c r="B524" s="150"/>
      <c r="C524" s="21" t="s">
        <v>75</v>
      </c>
      <c r="D524" s="109" t="s">
        <v>3102</v>
      </c>
      <c r="E524" s="109" t="s">
        <v>20089</v>
      </c>
      <c r="F524" s="391" t="s">
        <v>4287</v>
      </c>
      <c r="G524" s="23" t="s">
        <v>20090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ref="N524:N590" si="73">SUM(L524:M524)</f>
        <v>0</v>
      </c>
      <c r="O524" s="268">
        <f t="shared" ref="O524:O590" si="74">SUM(P524:Z524)</f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8"/>
        <v>0</v>
      </c>
      <c r="AD524" s="196">
        <f t="shared" si="69"/>
        <v>0</v>
      </c>
      <c r="AE524" s="196">
        <f t="shared" si="70"/>
        <v>0</v>
      </c>
      <c r="AF524" s="2">
        <f t="shared" si="71"/>
        <v>0</v>
      </c>
      <c r="AG524" s="2">
        <f t="shared" si="72"/>
        <v>0</v>
      </c>
    </row>
    <row r="525" spans="1:33">
      <c r="A525" s="20" t="s">
        <v>1322</v>
      </c>
      <c r="B525" s="150"/>
      <c r="C525" s="21" t="s">
        <v>75</v>
      </c>
      <c r="D525" s="109" t="s">
        <v>13655</v>
      </c>
      <c r="E525" s="109" t="s">
        <v>13781</v>
      </c>
      <c r="F525" s="391" t="s">
        <v>13858</v>
      </c>
      <c r="G525" s="23" t="s">
        <v>13853</v>
      </c>
      <c r="H525" s="23"/>
      <c r="I525" s="23"/>
      <c r="J525" s="23"/>
      <c r="K525" s="23"/>
      <c r="L525" s="375" t="s">
        <v>7787</v>
      </c>
      <c r="M525" s="351" t="s">
        <v>7787</v>
      </c>
      <c r="N525" s="267">
        <f t="shared" si="73"/>
        <v>0</v>
      </c>
      <c r="O525" s="268">
        <f t="shared" si="74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8"/>
        <v>0</v>
      </c>
      <c r="AD525" s="196">
        <f t="shared" si="69"/>
        <v>0</v>
      </c>
      <c r="AE525" s="196">
        <f t="shared" si="70"/>
        <v>0</v>
      </c>
      <c r="AF525" s="2">
        <f t="shared" si="71"/>
        <v>0</v>
      </c>
      <c r="AG525" s="2">
        <f t="shared" si="72"/>
        <v>0</v>
      </c>
    </row>
    <row r="526" spans="1:33">
      <c r="A526" s="20" t="s">
        <v>1321</v>
      </c>
      <c r="B526" s="150"/>
      <c r="C526" s="21" t="s">
        <v>75</v>
      </c>
      <c r="D526" s="109" t="s">
        <v>13655</v>
      </c>
      <c r="E526" s="109"/>
      <c r="F526" s="391" t="s">
        <v>13873</v>
      </c>
      <c r="G526" s="23"/>
      <c r="H526" s="23"/>
      <c r="I526" s="23"/>
      <c r="J526" s="23"/>
      <c r="K526" s="23"/>
      <c r="L526" s="350"/>
      <c r="M526" s="351"/>
      <c r="N526" s="267">
        <f t="shared" si="73"/>
        <v>0</v>
      </c>
      <c r="O526" s="268">
        <f t="shared" si="74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79"/>
      <c r="AB526" s="238"/>
      <c r="AC526" s="196">
        <f t="shared" si="68"/>
        <v>0</v>
      </c>
      <c r="AD526" s="196">
        <f t="shared" si="69"/>
        <v>0</v>
      </c>
      <c r="AE526" s="196">
        <f t="shared" si="70"/>
        <v>0</v>
      </c>
      <c r="AF526" s="2">
        <f t="shared" si="71"/>
        <v>0</v>
      </c>
      <c r="AG526" s="2">
        <f t="shared" si="72"/>
        <v>0</v>
      </c>
    </row>
    <row r="527" spans="1:33">
      <c r="A527" s="20" t="s">
        <v>1316</v>
      </c>
      <c r="B527" s="150"/>
      <c r="C527" s="21" t="s">
        <v>75</v>
      </c>
      <c r="D527" s="109" t="s">
        <v>13677</v>
      </c>
      <c r="E527" s="109" t="s">
        <v>13627</v>
      </c>
      <c r="F527" s="391" t="s">
        <v>13874</v>
      </c>
      <c r="G527" s="23"/>
      <c r="H527" s="23"/>
      <c r="I527" s="23"/>
      <c r="J527" s="23"/>
      <c r="K527" s="23"/>
      <c r="L527" s="350"/>
      <c r="M527" s="351"/>
      <c r="N527" s="267">
        <f t="shared" si="73"/>
        <v>0</v>
      </c>
      <c r="O527" s="268">
        <f t="shared" si="74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8"/>
        <v>0</v>
      </c>
      <c r="AD527" s="196">
        <f t="shared" si="69"/>
        <v>0</v>
      </c>
      <c r="AE527" s="196">
        <f t="shared" si="70"/>
        <v>0</v>
      </c>
      <c r="AF527" s="2">
        <f t="shared" si="71"/>
        <v>0</v>
      </c>
      <c r="AG527" s="2">
        <f t="shared" si="72"/>
        <v>0</v>
      </c>
    </row>
    <row r="528" spans="1:33">
      <c r="A528" s="20" t="s">
        <v>1325</v>
      </c>
      <c r="B528" s="152" t="s">
        <v>13875</v>
      </c>
      <c r="C528" s="21" t="s">
        <v>76</v>
      </c>
      <c r="D528" s="109" t="s">
        <v>13319</v>
      </c>
      <c r="E528" s="109"/>
      <c r="F528" s="391" t="s">
        <v>13876</v>
      </c>
      <c r="G528" s="23" t="s">
        <v>13877</v>
      </c>
      <c r="H528" s="23" t="s">
        <v>13795</v>
      </c>
      <c r="I528" s="23" t="s">
        <v>13809</v>
      </c>
      <c r="J528" s="23"/>
      <c r="K528" s="23"/>
      <c r="L528" s="375" t="s">
        <v>7787</v>
      </c>
      <c r="M528" s="351" t="s">
        <v>7787</v>
      </c>
      <c r="N528" s="267">
        <f t="shared" si="73"/>
        <v>0</v>
      </c>
      <c r="O528" s="268">
        <f t="shared" si="74"/>
        <v>0</v>
      </c>
      <c r="P528" s="239"/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/>
      <c r="AC528" s="196">
        <f t="shared" si="68"/>
        <v>0</v>
      </c>
      <c r="AD528" s="196">
        <f t="shared" si="69"/>
        <v>0</v>
      </c>
      <c r="AE528" s="196">
        <f t="shared" si="70"/>
        <v>0</v>
      </c>
      <c r="AF528" s="2">
        <f t="shared" si="71"/>
        <v>0</v>
      </c>
      <c r="AG528" s="2">
        <f t="shared" si="72"/>
        <v>0</v>
      </c>
    </row>
    <row r="529" spans="1:33">
      <c r="A529" s="20" t="s">
        <v>1326</v>
      </c>
      <c r="B529" s="150"/>
      <c r="C529" s="21" t="s">
        <v>76</v>
      </c>
      <c r="D529" s="109" t="s">
        <v>13878</v>
      </c>
      <c r="E529" s="109" t="s">
        <v>26145</v>
      </c>
      <c r="F529" s="391" t="s">
        <v>13876</v>
      </c>
      <c r="G529" s="23" t="s">
        <v>13879</v>
      </c>
      <c r="H529" s="23" t="s">
        <v>13880</v>
      </c>
      <c r="I529" s="23" t="s">
        <v>24861</v>
      </c>
      <c r="J529" s="23"/>
      <c r="K529" s="23"/>
      <c r="L529" s="375" t="s">
        <v>7787</v>
      </c>
      <c r="M529" s="357" t="s">
        <v>7787</v>
      </c>
      <c r="N529" s="267">
        <f t="shared" si="73"/>
        <v>0</v>
      </c>
      <c r="O529" s="268">
        <f t="shared" si="74"/>
        <v>4650</v>
      </c>
      <c r="P529" s="239">
        <f>5000-3000+5000-6850+2000-2000+3000-1500+3000+3000-3500+5000-6500+2000</f>
        <v>4650</v>
      </c>
      <c r="Q529" s="239"/>
      <c r="R529" s="239"/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27427</v>
      </c>
      <c r="AC529" s="196">
        <f t="shared" si="68"/>
        <v>4650</v>
      </c>
      <c r="AD529" s="196">
        <f t="shared" si="69"/>
        <v>4650</v>
      </c>
      <c r="AE529" s="196">
        <f t="shared" si="70"/>
        <v>0</v>
      </c>
      <c r="AF529" s="2">
        <f t="shared" si="71"/>
        <v>4650</v>
      </c>
      <c r="AG529" s="2">
        <f t="shared" si="72"/>
        <v>0</v>
      </c>
    </row>
    <row r="530" spans="1:33">
      <c r="A530" s="20" t="s">
        <v>26879</v>
      </c>
      <c r="B530" s="150"/>
      <c r="C530" s="21" t="s">
        <v>76</v>
      </c>
      <c r="D530" s="109" t="s">
        <v>4059</v>
      </c>
      <c r="E530" s="109" t="s">
        <v>26318</v>
      </c>
      <c r="F530" s="391" t="s">
        <v>24859</v>
      </c>
      <c r="G530" s="23" t="s">
        <v>24860</v>
      </c>
      <c r="H530" s="23" t="s">
        <v>25081</v>
      </c>
      <c r="I530" s="23"/>
      <c r="J530" s="23"/>
      <c r="K530" s="23"/>
      <c r="L530" s="375" t="s">
        <v>7787</v>
      </c>
      <c r="M530" s="357" t="s">
        <v>7787</v>
      </c>
      <c r="N530" s="267">
        <f t="shared" ref="N530" si="75">SUM(L530:M530)</f>
        <v>0</v>
      </c>
      <c r="O530" s="268">
        <f t="shared" ref="O530" si="76">SUM(P530:Z530)</f>
        <v>800</v>
      </c>
      <c r="P530" s="239"/>
      <c r="Q530" s="239"/>
      <c r="R530" s="239">
        <f>3000-500-1000-500-100-100</f>
        <v>800</v>
      </c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 t="s">
        <v>25284</v>
      </c>
      <c r="AC530" s="196">
        <f t="shared" si="68"/>
        <v>800</v>
      </c>
      <c r="AD530" s="196">
        <f t="shared" si="69"/>
        <v>800</v>
      </c>
      <c r="AE530" s="196">
        <f t="shared" si="70"/>
        <v>0</v>
      </c>
      <c r="AF530" s="2">
        <f t="shared" si="71"/>
        <v>800</v>
      </c>
      <c r="AG530" s="2">
        <f t="shared" si="72"/>
        <v>0</v>
      </c>
    </row>
    <row r="531" spans="1:33">
      <c r="A531" s="20" t="s">
        <v>6785</v>
      </c>
      <c r="B531" s="150"/>
      <c r="C531" s="21" t="s">
        <v>76</v>
      </c>
      <c r="D531" s="109" t="s">
        <v>13878</v>
      </c>
      <c r="E531" s="109" t="s">
        <v>13477</v>
      </c>
      <c r="F531" s="391" t="s">
        <v>13876</v>
      </c>
      <c r="G531" s="23" t="s">
        <v>13485</v>
      </c>
      <c r="H531" s="23"/>
      <c r="I531" s="23"/>
      <c r="J531" s="23"/>
      <c r="K531" s="23"/>
      <c r="L531" s="375"/>
      <c r="M531" s="351"/>
      <c r="N531" s="267">
        <f t="shared" si="73"/>
        <v>0</v>
      </c>
      <c r="O531" s="268">
        <f t="shared" si="74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8"/>
        <v>0</v>
      </c>
      <c r="AD531" s="196">
        <f t="shared" si="69"/>
        <v>0</v>
      </c>
      <c r="AE531" s="196">
        <f t="shared" si="70"/>
        <v>0</v>
      </c>
      <c r="AF531" s="2">
        <f t="shared" si="71"/>
        <v>0</v>
      </c>
      <c r="AG531" s="2">
        <f t="shared" si="72"/>
        <v>0</v>
      </c>
    </row>
    <row r="532" spans="1:33">
      <c r="A532" s="20" t="s">
        <v>7775</v>
      </c>
      <c r="B532" s="150"/>
      <c r="C532" s="21" t="s">
        <v>76</v>
      </c>
      <c r="D532" s="109" t="s">
        <v>13878</v>
      </c>
      <c r="E532" s="109" t="s">
        <v>13312</v>
      </c>
      <c r="F532" s="391" t="s">
        <v>13876</v>
      </c>
      <c r="G532" s="23" t="s">
        <v>13485</v>
      </c>
      <c r="H532" s="23"/>
      <c r="I532" s="23"/>
      <c r="J532" s="23"/>
      <c r="K532" s="23"/>
      <c r="L532" s="375" t="s">
        <v>7787</v>
      </c>
      <c r="M532" s="351"/>
      <c r="N532" s="267">
        <f t="shared" si="73"/>
        <v>0</v>
      </c>
      <c r="O532" s="268">
        <f t="shared" si="74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8"/>
        <v>0</v>
      </c>
      <c r="AD532" s="196">
        <f t="shared" si="69"/>
        <v>0</v>
      </c>
      <c r="AE532" s="196">
        <f t="shared" si="70"/>
        <v>0</v>
      </c>
      <c r="AF532" s="2">
        <f t="shared" si="71"/>
        <v>0</v>
      </c>
      <c r="AG532" s="2">
        <f t="shared" si="72"/>
        <v>0</v>
      </c>
    </row>
    <row r="533" spans="1:33">
      <c r="A533" s="20" t="s">
        <v>1327</v>
      </c>
      <c r="B533" s="150"/>
      <c r="C533" s="21" t="s">
        <v>76</v>
      </c>
      <c r="D533" s="109" t="s">
        <v>13881</v>
      </c>
      <c r="E533" s="109"/>
      <c r="F533" s="391" t="s">
        <v>13876</v>
      </c>
      <c r="G533" s="23"/>
      <c r="H533" s="23"/>
      <c r="I533" s="23"/>
      <c r="J533" s="23"/>
      <c r="K533" s="23"/>
      <c r="L533" s="350"/>
      <c r="M533" s="351"/>
      <c r="N533" s="267">
        <f t="shared" si="73"/>
        <v>0</v>
      </c>
      <c r="O533" s="268">
        <f t="shared" si="74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8"/>
        <v>0</v>
      </c>
      <c r="AD533" s="196">
        <f t="shared" si="69"/>
        <v>0</v>
      </c>
      <c r="AE533" s="196">
        <f t="shared" si="70"/>
        <v>0</v>
      </c>
      <c r="AF533" s="2">
        <f t="shared" si="71"/>
        <v>0</v>
      </c>
      <c r="AG533" s="2">
        <f t="shared" si="72"/>
        <v>0</v>
      </c>
    </row>
    <row r="534" spans="1:33">
      <c r="A534" s="20" t="s">
        <v>12406</v>
      </c>
      <c r="B534" s="150"/>
      <c r="C534" s="21" t="s">
        <v>76</v>
      </c>
      <c r="D534" s="109" t="s">
        <v>13882</v>
      </c>
      <c r="E534" s="109" t="s">
        <v>13312</v>
      </c>
      <c r="F534" s="391" t="s">
        <v>13876</v>
      </c>
      <c r="G534" s="23" t="s">
        <v>13485</v>
      </c>
      <c r="H534" s="23"/>
      <c r="I534" s="23"/>
      <c r="J534" s="23"/>
      <c r="K534" s="23"/>
      <c r="L534" s="375" t="s">
        <v>7787</v>
      </c>
      <c r="M534" s="351"/>
      <c r="N534" s="267">
        <f t="shared" si="73"/>
        <v>0</v>
      </c>
      <c r="O534" s="268">
        <f t="shared" si="74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8"/>
        <v>0</v>
      </c>
      <c r="AD534" s="196">
        <f t="shared" si="69"/>
        <v>0</v>
      </c>
      <c r="AE534" s="196">
        <f t="shared" si="70"/>
        <v>0</v>
      </c>
      <c r="AF534" s="2">
        <f t="shared" si="71"/>
        <v>0</v>
      </c>
      <c r="AG534" s="2">
        <f t="shared" si="72"/>
        <v>0</v>
      </c>
    </row>
    <row r="535" spans="1:33">
      <c r="A535" s="20" t="s">
        <v>12833</v>
      </c>
      <c r="B535" s="150"/>
      <c r="C535" s="21" t="s">
        <v>76</v>
      </c>
      <c r="D535" s="109" t="s">
        <v>13883</v>
      </c>
      <c r="E535" s="109" t="s">
        <v>13312</v>
      </c>
      <c r="F535" s="391" t="s">
        <v>13876</v>
      </c>
      <c r="G535" s="23"/>
      <c r="H535" s="23"/>
      <c r="I535" s="23"/>
      <c r="J535" s="23"/>
      <c r="K535" s="23"/>
      <c r="L535" s="375" t="s">
        <v>7787</v>
      </c>
      <c r="M535" s="351" t="s">
        <v>7787</v>
      </c>
      <c r="N535" s="267">
        <f t="shared" si="73"/>
        <v>0</v>
      </c>
      <c r="O535" s="268">
        <f t="shared" si="74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85"/>
      <c r="AB535" s="238"/>
      <c r="AC535" s="196">
        <f t="shared" si="68"/>
        <v>0</v>
      </c>
      <c r="AD535" s="196">
        <f t="shared" si="69"/>
        <v>0</v>
      </c>
      <c r="AE535" s="196">
        <f t="shared" si="70"/>
        <v>0</v>
      </c>
      <c r="AF535" s="2">
        <f t="shared" si="71"/>
        <v>0</v>
      </c>
      <c r="AG535" s="2">
        <f t="shared" si="72"/>
        <v>0</v>
      </c>
    </row>
    <row r="536" spans="1:33">
      <c r="A536" s="20" t="s">
        <v>1328</v>
      </c>
      <c r="B536" s="151" t="s">
        <v>13884</v>
      </c>
      <c r="C536" s="21" t="s">
        <v>77</v>
      </c>
      <c r="D536" s="109" t="s">
        <v>13319</v>
      </c>
      <c r="E536" s="109"/>
      <c r="F536" s="391" t="s">
        <v>13885</v>
      </c>
      <c r="G536" s="23"/>
      <c r="H536" s="23"/>
      <c r="I536" s="23"/>
      <c r="J536" s="23"/>
      <c r="K536" s="23"/>
      <c r="L536" s="350"/>
      <c r="M536" s="351"/>
      <c r="N536" s="267">
        <f t="shared" si="73"/>
        <v>0</v>
      </c>
      <c r="O536" s="268">
        <f t="shared" si="74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8"/>
        <v>0</v>
      </c>
      <c r="AD536" s="196">
        <f t="shared" si="69"/>
        <v>0</v>
      </c>
      <c r="AE536" s="196">
        <f t="shared" si="70"/>
        <v>0</v>
      </c>
      <c r="AF536" s="2">
        <f t="shared" si="71"/>
        <v>0</v>
      </c>
      <c r="AG536" s="2">
        <f t="shared" si="72"/>
        <v>0</v>
      </c>
    </row>
    <row r="537" spans="1:33">
      <c r="A537" s="20" t="s">
        <v>6786</v>
      </c>
      <c r="B537" s="156"/>
      <c r="C537" s="21" t="s">
        <v>77</v>
      </c>
      <c r="D537" s="109" t="s">
        <v>13553</v>
      </c>
      <c r="E537" s="109"/>
      <c r="F537" s="391" t="s">
        <v>13886</v>
      </c>
      <c r="G537" s="23" t="s">
        <v>13749</v>
      </c>
      <c r="H537" s="23"/>
      <c r="I537" s="23"/>
      <c r="J537" s="23"/>
      <c r="K537" s="23"/>
      <c r="L537" s="350"/>
      <c r="M537" s="351"/>
      <c r="N537" s="267">
        <f t="shared" si="73"/>
        <v>0</v>
      </c>
      <c r="O537" s="268">
        <f t="shared" si="74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8"/>
        <v>0</v>
      </c>
      <c r="AD537" s="196">
        <f t="shared" si="69"/>
        <v>0</v>
      </c>
      <c r="AE537" s="196">
        <f t="shared" si="70"/>
        <v>0</v>
      </c>
      <c r="AF537" s="2">
        <f t="shared" si="71"/>
        <v>0</v>
      </c>
      <c r="AG537" s="2">
        <f t="shared" si="72"/>
        <v>0</v>
      </c>
    </row>
    <row r="538" spans="1:33">
      <c r="A538" s="20" t="s">
        <v>1329</v>
      </c>
      <c r="B538" s="150"/>
      <c r="C538" s="21" t="s">
        <v>77</v>
      </c>
      <c r="D538" s="109" t="s">
        <v>13655</v>
      </c>
      <c r="E538" s="109" t="s">
        <v>13630</v>
      </c>
      <c r="F538" s="391" t="s">
        <v>13886</v>
      </c>
      <c r="G538" s="23"/>
      <c r="H538" s="23"/>
      <c r="I538" s="23"/>
      <c r="J538" s="23"/>
      <c r="K538" s="23"/>
      <c r="L538" s="350"/>
      <c r="M538" s="351"/>
      <c r="N538" s="267">
        <f t="shared" si="73"/>
        <v>0</v>
      </c>
      <c r="O538" s="268">
        <f t="shared" si="74"/>
        <v>0</v>
      </c>
      <c r="P538" s="239"/>
      <c r="Q538" s="239"/>
      <c r="R538" s="239"/>
      <c r="S538" s="239"/>
      <c r="T538" s="239"/>
      <c r="U538" s="240"/>
      <c r="V538" s="240"/>
      <c r="W538" s="240"/>
      <c r="X538" s="278"/>
      <c r="Y538" s="237"/>
      <c r="Z538" s="237"/>
      <c r="AA538" s="279"/>
      <c r="AB538" s="238"/>
      <c r="AC538" s="196">
        <f t="shared" si="68"/>
        <v>0</v>
      </c>
      <c r="AD538" s="196">
        <f t="shared" si="69"/>
        <v>0</v>
      </c>
      <c r="AE538" s="196">
        <f t="shared" si="70"/>
        <v>0</v>
      </c>
      <c r="AF538" s="2">
        <f t="shared" si="71"/>
        <v>0</v>
      </c>
      <c r="AG538" s="2">
        <f t="shared" si="72"/>
        <v>0</v>
      </c>
    </row>
    <row r="539" spans="1:33">
      <c r="A539" s="20" t="s">
        <v>1330</v>
      </c>
      <c r="B539" s="150"/>
      <c r="C539" s="21" t="s">
        <v>78</v>
      </c>
      <c r="D539" s="109" t="s">
        <v>13551</v>
      </c>
      <c r="E539" s="109"/>
      <c r="F539" s="391" t="s">
        <v>13887</v>
      </c>
      <c r="G539" s="23" t="s">
        <v>13888</v>
      </c>
      <c r="H539" s="23" t="s">
        <v>13889</v>
      </c>
      <c r="I539" s="23" t="s">
        <v>13349</v>
      </c>
      <c r="J539" s="23" t="s">
        <v>25099</v>
      </c>
      <c r="K539" s="23" t="s">
        <v>25188</v>
      </c>
      <c r="L539" s="375" t="s">
        <v>45</v>
      </c>
      <c r="M539" s="351" t="s">
        <v>45</v>
      </c>
      <c r="N539" s="267">
        <f t="shared" si="73"/>
        <v>0</v>
      </c>
      <c r="O539" s="268">
        <f t="shared" si="74"/>
        <v>2050</v>
      </c>
      <c r="P539" s="241">
        <f>600-200+700+3350-300-50-200-1000-250-50-500-50</f>
        <v>2050</v>
      </c>
      <c r="Q539" s="239"/>
      <c r="R539" s="239"/>
      <c r="S539" s="239"/>
      <c r="T539" s="239"/>
      <c r="U539" s="240"/>
      <c r="V539" s="239"/>
      <c r="W539" s="240"/>
      <c r="X539" s="278"/>
      <c r="Y539" s="239"/>
      <c r="Z539" s="237"/>
      <c r="AA539" s="279"/>
      <c r="AB539" s="238" t="s">
        <v>25198</v>
      </c>
      <c r="AC539" s="196">
        <f t="shared" si="68"/>
        <v>2050</v>
      </c>
      <c r="AD539" s="196">
        <f t="shared" si="69"/>
        <v>2050</v>
      </c>
      <c r="AE539" s="196">
        <f t="shared" si="70"/>
        <v>0</v>
      </c>
      <c r="AF539" s="2">
        <f t="shared" si="71"/>
        <v>2050</v>
      </c>
      <c r="AG539" s="2">
        <f t="shared" si="72"/>
        <v>0</v>
      </c>
    </row>
    <row r="540" spans="1:33">
      <c r="A540" s="20" t="s">
        <v>1331</v>
      </c>
      <c r="B540" s="150"/>
      <c r="C540" s="21" t="s">
        <v>735</v>
      </c>
      <c r="D540" s="109" t="s">
        <v>13843</v>
      </c>
      <c r="E540" s="109"/>
      <c r="F540" s="391" t="s">
        <v>13890</v>
      </c>
      <c r="G540" s="23"/>
      <c r="H540" s="23"/>
      <c r="I540" s="23"/>
      <c r="J540" s="23"/>
      <c r="K540" s="23"/>
      <c r="L540" s="350"/>
      <c r="M540" s="351"/>
      <c r="N540" s="267">
        <f t="shared" si="73"/>
        <v>0</v>
      </c>
      <c r="O540" s="268">
        <f t="shared" si="74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8"/>
        <v>0</v>
      </c>
      <c r="AD540" s="196">
        <f t="shared" si="69"/>
        <v>0</v>
      </c>
      <c r="AE540" s="196">
        <f t="shared" si="70"/>
        <v>0</v>
      </c>
      <c r="AF540" s="2">
        <f t="shared" si="71"/>
        <v>0</v>
      </c>
      <c r="AG540" s="2">
        <f t="shared" si="72"/>
        <v>0</v>
      </c>
    </row>
    <row r="541" spans="1:33">
      <c r="A541" s="20" t="s">
        <v>1332</v>
      </c>
      <c r="B541" s="150"/>
      <c r="C541" s="21" t="s">
        <v>79</v>
      </c>
      <c r="D541" s="109" t="s">
        <v>13551</v>
      </c>
      <c r="E541" s="109"/>
      <c r="F541" s="391" t="s">
        <v>13891</v>
      </c>
      <c r="G541" s="23" t="s">
        <v>13892</v>
      </c>
      <c r="H541" s="23"/>
      <c r="I541" s="23"/>
      <c r="J541" s="23"/>
      <c r="K541" s="23"/>
      <c r="L541" s="375" t="s">
        <v>7787</v>
      </c>
      <c r="M541" s="351" t="s">
        <v>7787</v>
      </c>
      <c r="N541" s="267">
        <f t="shared" si="73"/>
        <v>0</v>
      </c>
      <c r="O541" s="268">
        <f t="shared" si="74"/>
        <v>0</v>
      </c>
      <c r="P541" s="239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8"/>
        <v>0</v>
      </c>
      <c r="AD541" s="196">
        <f t="shared" si="69"/>
        <v>0</v>
      </c>
      <c r="AE541" s="196">
        <f t="shared" si="70"/>
        <v>0</v>
      </c>
      <c r="AF541" s="2">
        <f t="shared" si="71"/>
        <v>0</v>
      </c>
      <c r="AG541" s="2">
        <f t="shared" si="72"/>
        <v>0</v>
      </c>
    </row>
    <row r="542" spans="1:33">
      <c r="A542" s="20" t="s">
        <v>1333</v>
      </c>
      <c r="B542" s="150"/>
      <c r="C542" s="21" t="s">
        <v>80</v>
      </c>
      <c r="D542" s="109" t="s">
        <v>13551</v>
      </c>
      <c r="E542" s="109"/>
      <c r="F542" s="391" t="s">
        <v>13893</v>
      </c>
      <c r="G542" s="23" t="s">
        <v>13892</v>
      </c>
      <c r="H542" s="23" t="s">
        <v>13894</v>
      </c>
      <c r="I542" s="23"/>
      <c r="J542" s="23"/>
      <c r="K542" s="23"/>
      <c r="L542" s="375" t="s">
        <v>7787</v>
      </c>
      <c r="M542" s="351" t="s">
        <v>7787</v>
      </c>
      <c r="N542" s="267">
        <f t="shared" si="73"/>
        <v>0</v>
      </c>
      <c r="O542" s="268">
        <f t="shared" si="74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8"/>
        <v>0</v>
      </c>
      <c r="AD542" s="196">
        <f t="shared" si="69"/>
        <v>0</v>
      </c>
      <c r="AE542" s="196">
        <f t="shared" si="70"/>
        <v>0</v>
      </c>
      <c r="AF542" s="2">
        <f t="shared" si="71"/>
        <v>0</v>
      </c>
      <c r="AG542" s="2">
        <f t="shared" si="72"/>
        <v>0</v>
      </c>
    </row>
    <row r="543" spans="1:33">
      <c r="A543" s="20" t="s">
        <v>12832</v>
      </c>
      <c r="B543" s="150"/>
      <c r="C543" s="21" t="s">
        <v>80</v>
      </c>
      <c r="D543" s="109" t="s">
        <v>13895</v>
      </c>
      <c r="E543" s="109"/>
      <c r="F543" s="391" t="s">
        <v>13893</v>
      </c>
      <c r="G543" s="23" t="s">
        <v>13894</v>
      </c>
      <c r="H543" s="23"/>
      <c r="I543" s="23"/>
      <c r="J543" s="23"/>
      <c r="K543" s="23"/>
      <c r="L543" s="375" t="s">
        <v>7787</v>
      </c>
      <c r="M543" s="351"/>
      <c r="N543" s="267">
        <f t="shared" si="73"/>
        <v>0</v>
      </c>
      <c r="O543" s="268">
        <f t="shared" si="74"/>
        <v>0</v>
      </c>
      <c r="P543" s="248"/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/>
      <c r="AC543" s="196">
        <f t="shared" si="68"/>
        <v>0</v>
      </c>
      <c r="AD543" s="196">
        <f t="shared" si="69"/>
        <v>0</v>
      </c>
      <c r="AE543" s="196">
        <f t="shared" si="70"/>
        <v>0</v>
      </c>
      <c r="AF543" s="2">
        <f t="shared" si="71"/>
        <v>0</v>
      </c>
      <c r="AG543" s="2">
        <f t="shared" si="72"/>
        <v>0</v>
      </c>
    </row>
    <row r="544" spans="1:33">
      <c r="A544" s="20" t="s">
        <v>1335</v>
      </c>
      <c r="B544" s="152" t="s">
        <v>13896</v>
      </c>
      <c r="C544" s="21" t="s">
        <v>13897</v>
      </c>
      <c r="D544" s="109" t="s">
        <v>13553</v>
      </c>
      <c r="E544" s="109"/>
      <c r="F544" s="391" t="s">
        <v>13898</v>
      </c>
      <c r="G544" s="23" t="s">
        <v>13711</v>
      </c>
      <c r="H544" s="23" t="s">
        <v>13785</v>
      </c>
      <c r="I544" s="23" t="s">
        <v>13692</v>
      </c>
      <c r="J544" s="23" t="s">
        <v>13899</v>
      </c>
      <c r="K544" s="23" t="s">
        <v>24319</v>
      </c>
      <c r="L544" s="375" t="s">
        <v>27912</v>
      </c>
      <c r="M544" s="351" t="s">
        <v>7787</v>
      </c>
      <c r="N544" s="267">
        <f t="shared" si="73"/>
        <v>0</v>
      </c>
      <c r="O544" s="268">
        <f t="shared" si="74"/>
        <v>50</v>
      </c>
      <c r="P544" s="239">
        <f>400+1400-1750</f>
        <v>50</v>
      </c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 t="s">
        <v>27902</v>
      </c>
      <c r="AC544" s="196">
        <f t="shared" si="68"/>
        <v>50</v>
      </c>
      <c r="AD544" s="196">
        <f t="shared" si="69"/>
        <v>50</v>
      </c>
      <c r="AE544" s="196">
        <f t="shared" si="70"/>
        <v>0</v>
      </c>
      <c r="AF544" s="2">
        <f t="shared" si="71"/>
        <v>50</v>
      </c>
      <c r="AG544" s="2">
        <f t="shared" si="72"/>
        <v>0</v>
      </c>
    </row>
    <row r="545" spans="1:33">
      <c r="A545" s="20"/>
      <c r="B545" s="152" t="s">
        <v>27199</v>
      </c>
      <c r="C545" s="21" t="s">
        <v>27200</v>
      </c>
      <c r="D545" s="109" t="s">
        <v>4059</v>
      </c>
      <c r="E545" s="109" t="s">
        <v>27204</v>
      </c>
      <c r="F545" s="391" t="s">
        <v>27201</v>
      </c>
      <c r="G545" s="23" t="s">
        <v>5334</v>
      </c>
      <c r="H545" s="23" t="s">
        <v>27202</v>
      </c>
      <c r="I545" s="23" t="s">
        <v>5416</v>
      </c>
      <c r="J545" s="23" t="s">
        <v>25415</v>
      </c>
      <c r="K545" s="23" t="s">
        <v>27203</v>
      </c>
      <c r="L545" s="375" t="s">
        <v>7787</v>
      </c>
      <c r="M545" s="351" t="s">
        <v>7787</v>
      </c>
      <c r="N545" s="267">
        <f t="shared" ref="N545" si="77">SUM(L545:M545)</f>
        <v>0</v>
      </c>
      <c r="O545" s="268">
        <f t="shared" ref="O545" si="78">SUM(P545:Z545)</f>
        <v>0</v>
      </c>
      <c r="P545" s="239"/>
      <c r="Q545" s="239"/>
      <c r="R545" s="239"/>
      <c r="S545" s="239"/>
      <c r="T545" s="239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ref="AC545" si="79">SUM(P545:AA545)</f>
        <v>0</v>
      </c>
      <c r="AD545" s="196">
        <f t="shared" ref="AD545" si="80">SUM(P545:AB545)</f>
        <v>0</v>
      </c>
      <c r="AE545" s="196">
        <f t="shared" ref="AE545" si="81">SUM(AC545-AD545)</f>
        <v>0</v>
      </c>
      <c r="AF545" s="2">
        <f t="shared" ref="AF545" si="82">+AC545</f>
        <v>0</v>
      </c>
      <c r="AG545" s="2">
        <f t="shared" ref="AG545" si="83">+AC545-AF545</f>
        <v>0</v>
      </c>
    </row>
    <row r="546" spans="1:33">
      <c r="A546" s="20" t="s">
        <v>1334</v>
      </c>
      <c r="B546" s="152" t="s">
        <v>5817</v>
      </c>
      <c r="C546" s="21" t="s">
        <v>13900</v>
      </c>
      <c r="D546" s="109" t="s">
        <v>13631</v>
      </c>
      <c r="E546" s="109"/>
      <c r="F546" s="391" t="s">
        <v>13901</v>
      </c>
      <c r="G546" s="23" t="s">
        <v>13902</v>
      </c>
      <c r="H546" s="23" t="s">
        <v>13903</v>
      </c>
      <c r="I546" s="23" t="s">
        <v>13904</v>
      </c>
      <c r="J546" s="23" t="s">
        <v>13905</v>
      </c>
      <c r="K546" s="23" t="s">
        <v>13758</v>
      </c>
      <c r="L546" s="375" t="s">
        <v>45</v>
      </c>
      <c r="M546" s="356" t="s">
        <v>7787</v>
      </c>
      <c r="N546" s="267">
        <f t="shared" si="73"/>
        <v>0</v>
      </c>
      <c r="O546" s="268">
        <f t="shared" si="74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8"/>
        <v>0</v>
      </c>
      <c r="AD546" s="196">
        <f t="shared" si="69"/>
        <v>0</v>
      </c>
      <c r="AE546" s="196">
        <f t="shared" si="70"/>
        <v>0</v>
      </c>
      <c r="AF546" s="2">
        <f t="shared" si="71"/>
        <v>0</v>
      </c>
      <c r="AG546" s="2">
        <f t="shared" si="72"/>
        <v>0</v>
      </c>
    </row>
    <row r="547" spans="1:33">
      <c r="A547" s="20" t="s">
        <v>7102</v>
      </c>
      <c r="B547" s="162" t="s">
        <v>7148</v>
      </c>
      <c r="C547" s="21" t="s">
        <v>13900</v>
      </c>
      <c r="D547" s="109" t="s">
        <v>13895</v>
      </c>
      <c r="E547" s="109"/>
      <c r="F547" s="391" t="s">
        <v>13901</v>
      </c>
      <c r="G547" s="23" t="s">
        <v>13540</v>
      </c>
      <c r="H547" s="23"/>
      <c r="I547" s="23"/>
      <c r="J547" s="23"/>
      <c r="K547" s="23"/>
      <c r="L547" s="350"/>
      <c r="M547" s="351"/>
      <c r="N547" s="267">
        <f t="shared" si="73"/>
        <v>0</v>
      </c>
      <c r="O547" s="268">
        <f t="shared" si="74"/>
        <v>0</v>
      </c>
      <c r="P547" s="241"/>
      <c r="Q547" s="241"/>
      <c r="R547" s="241"/>
      <c r="S547" s="241"/>
      <c r="T547" s="241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8"/>
        <v>0</v>
      </c>
      <c r="AD547" s="196">
        <f t="shared" si="69"/>
        <v>0</v>
      </c>
      <c r="AE547" s="196">
        <f t="shared" si="70"/>
        <v>0</v>
      </c>
      <c r="AF547" s="2">
        <f t="shared" si="71"/>
        <v>0</v>
      </c>
      <c r="AG547" s="2">
        <f t="shared" si="72"/>
        <v>0</v>
      </c>
    </row>
    <row r="548" spans="1:33">
      <c r="A548" s="20" t="s">
        <v>1336</v>
      </c>
      <c r="B548" s="150"/>
      <c r="C548" s="21" t="s">
        <v>13906</v>
      </c>
      <c r="D548" s="109" t="s">
        <v>13551</v>
      </c>
      <c r="E548" s="109"/>
      <c r="F548" s="391" t="s">
        <v>13907</v>
      </c>
      <c r="G548" s="23" t="s">
        <v>13826</v>
      </c>
      <c r="H548" s="23"/>
      <c r="I548" s="23"/>
      <c r="J548" s="23"/>
      <c r="K548" s="23"/>
      <c r="L548" s="375" t="s">
        <v>7787</v>
      </c>
      <c r="M548" s="351" t="s">
        <v>7787</v>
      </c>
      <c r="N548" s="267">
        <f t="shared" si="73"/>
        <v>0</v>
      </c>
      <c r="O548" s="268">
        <f t="shared" si="74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8"/>
        <v>0</v>
      </c>
      <c r="AD548" s="196">
        <f t="shared" si="69"/>
        <v>0</v>
      </c>
      <c r="AE548" s="196">
        <f t="shared" si="70"/>
        <v>0</v>
      </c>
      <c r="AF548" s="2">
        <f t="shared" si="71"/>
        <v>0</v>
      </c>
      <c r="AG548" s="2">
        <f t="shared" si="72"/>
        <v>0</v>
      </c>
    </row>
    <row r="549" spans="1:33">
      <c r="A549" s="20" t="s">
        <v>1338</v>
      </c>
      <c r="B549" s="161"/>
      <c r="C549" s="21" t="s">
        <v>82</v>
      </c>
      <c r="D549" s="109" t="s">
        <v>13908</v>
      </c>
      <c r="E549" s="109" t="s">
        <v>13627</v>
      </c>
      <c r="F549" s="391" t="s">
        <v>13909</v>
      </c>
      <c r="G549" s="23"/>
      <c r="H549" s="23"/>
      <c r="I549" s="23"/>
      <c r="J549" s="23"/>
      <c r="K549" s="23"/>
      <c r="L549" s="350"/>
      <c r="M549" s="351"/>
      <c r="N549" s="267">
        <f t="shared" si="73"/>
        <v>0</v>
      </c>
      <c r="O549" s="268">
        <f t="shared" si="74"/>
        <v>0</v>
      </c>
      <c r="P549" s="239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8"/>
        <v>0</v>
      </c>
      <c r="AD549" s="196">
        <f t="shared" si="69"/>
        <v>0</v>
      </c>
      <c r="AE549" s="196">
        <f t="shared" si="70"/>
        <v>0</v>
      </c>
      <c r="AF549" s="2">
        <f t="shared" si="71"/>
        <v>0</v>
      </c>
      <c r="AG549" s="2">
        <f t="shared" si="72"/>
        <v>0</v>
      </c>
    </row>
    <row r="550" spans="1:33">
      <c r="A550" s="20" t="s">
        <v>1337</v>
      </c>
      <c r="B550" s="156" t="s">
        <v>13910</v>
      </c>
      <c r="C550" s="21" t="s">
        <v>82</v>
      </c>
      <c r="D550" s="109" t="s">
        <v>13553</v>
      </c>
      <c r="E550" s="109"/>
      <c r="F550" s="391" t="s">
        <v>13911</v>
      </c>
      <c r="G550" s="23" t="s">
        <v>13899</v>
      </c>
      <c r="H550" s="23" t="s">
        <v>13912</v>
      </c>
      <c r="I550" s="23"/>
      <c r="J550" s="23"/>
      <c r="K550" s="23"/>
      <c r="L550" s="375"/>
      <c r="M550" s="351" t="s">
        <v>7787</v>
      </c>
      <c r="N550" s="267">
        <f t="shared" si="73"/>
        <v>0</v>
      </c>
      <c r="O550" s="268">
        <f t="shared" si="74"/>
        <v>0</v>
      </c>
      <c r="P550" s="248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8"/>
        <v>0</v>
      </c>
      <c r="AD550" s="196">
        <f t="shared" si="69"/>
        <v>0</v>
      </c>
      <c r="AE550" s="196">
        <f t="shared" si="70"/>
        <v>0</v>
      </c>
      <c r="AF550" s="2">
        <f t="shared" si="71"/>
        <v>0</v>
      </c>
      <c r="AG550" s="2">
        <f t="shared" si="72"/>
        <v>0</v>
      </c>
    </row>
    <row r="551" spans="1:33">
      <c r="A551" s="20" t="s">
        <v>1339</v>
      </c>
      <c r="B551" s="150"/>
      <c r="C551" s="21" t="s">
        <v>83</v>
      </c>
      <c r="D551" s="109" t="s">
        <v>13551</v>
      </c>
      <c r="E551" s="109"/>
      <c r="F551" s="391" t="s">
        <v>13913</v>
      </c>
      <c r="G551" s="23"/>
      <c r="H551" s="23"/>
      <c r="I551" s="23"/>
      <c r="J551" s="23"/>
      <c r="K551" s="23"/>
      <c r="L551" s="350"/>
      <c r="M551" s="351"/>
      <c r="N551" s="267">
        <f t="shared" si="73"/>
        <v>0</v>
      </c>
      <c r="O551" s="268">
        <f t="shared" si="74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8"/>
        <v>0</v>
      </c>
      <c r="AD551" s="196">
        <f t="shared" si="69"/>
        <v>0</v>
      </c>
      <c r="AE551" s="196">
        <f t="shared" si="70"/>
        <v>0</v>
      </c>
      <c r="AF551" s="2">
        <f t="shared" si="71"/>
        <v>0</v>
      </c>
      <c r="AG551" s="2">
        <f t="shared" si="72"/>
        <v>0</v>
      </c>
    </row>
    <row r="552" spans="1:33">
      <c r="A552" s="20" t="s">
        <v>1341</v>
      </c>
      <c r="B552" s="150"/>
      <c r="C552" s="21" t="s">
        <v>84</v>
      </c>
      <c r="D552" s="109" t="s">
        <v>13551</v>
      </c>
      <c r="E552" s="109"/>
      <c r="F552" s="391" t="s">
        <v>13914</v>
      </c>
      <c r="G552" s="23"/>
      <c r="H552" s="23"/>
      <c r="I552" s="23"/>
      <c r="J552" s="23"/>
      <c r="K552" s="23"/>
      <c r="L552" s="350"/>
      <c r="M552" s="351"/>
      <c r="N552" s="267">
        <f t="shared" si="73"/>
        <v>0</v>
      </c>
      <c r="O552" s="268">
        <f t="shared" si="74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8"/>
        <v>0</v>
      </c>
      <c r="AD552" s="196">
        <f t="shared" si="69"/>
        <v>0</v>
      </c>
      <c r="AE552" s="196">
        <f t="shared" si="70"/>
        <v>0</v>
      </c>
      <c r="AF552" s="2">
        <f t="shared" si="71"/>
        <v>0</v>
      </c>
      <c r="AG552" s="2">
        <f t="shared" si="72"/>
        <v>0</v>
      </c>
    </row>
    <row r="553" spans="1:33">
      <c r="A553" s="20" t="s">
        <v>1342</v>
      </c>
      <c r="B553" s="150"/>
      <c r="C553" s="21" t="s">
        <v>84</v>
      </c>
      <c r="D553" s="109" t="s">
        <v>13553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3"/>
        <v>0</v>
      </c>
      <c r="O553" s="268">
        <f t="shared" si="74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8"/>
        <v>0</v>
      </c>
      <c r="AD553" s="196">
        <f t="shared" si="69"/>
        <v>0</v>
      </c>
      <c r="AE553" s="196">
        <f t="shared" si="70"/>
        <v>0</v>
      </c>
      <c r="AF553" s="2">
        <f t="shared" si="71"/>
        <v>0</v>
      </c>
      <c r="AG553" s="2">
        <f t="shared" si="72"/>
        <v>0</v>
      </c>
    </row>
    <row r="554" spans="1:33">
      <c r="A554" s="20" t="s">
        <v>1343</v>
      </c>
      <c r="B554" s="150"/>
      <c r="C554" s="21" t="s">
        <v>84</v>
      </c>
      <c r="D554" s="109" t="s">
        <v>13655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3"/>
        <v>0</v>
      </c>
      <c r="O554" s="268">
        <f t="shared" si="74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8"/>
        <v>0</v>
      </c>
      <c r="AD554" s="196">
        <f t="shared" si="69"/>
        <v>0</v>
      </c>
      <c r="AE554" s="196">
        <f t="shared" si="70"/>
        <v>0</v>
      </c>
      <c r="AF554" s="2">
        <f t="shared" si="71"/>
        <v>0</v>
      </c>
      <c r="AG554" s="2">
        <f t="shared" si="72"/>
        <v>0</v>
      </c>
    </row>
    <row r="555" spans="1:33">
      <c r="A555" s="20" t="s">
        <v>1340</v>
      </c>
      <c r="B555" s="150"/>
      <c r="C555" s="21" t="s">
        <v>84</v>
      </c>
      <c r="D555" s="109" t="s">
        <v>13916</v>
      </c>
      <c r="E555" s="109"/>
      <c r="F555" s="391" t="s">
        <v>13915</v>
      </c>
      <c r="G555" s="23"/>
      <c r="H555" s="23"/>
      <c r="I555" s="23"/>
      <c r="J555" s="23"/>
      <c r="K555" s="23"/>
      <c r="L555" s="350"/>
      <c r="M555" s="351"/>
      <c r="N555" s="267">
        <f t="shared" si="73"/>
        <v>0</v>
      </c>
      <c r="O555" s="268">
        <f t="shared" si="74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8"/>
        <v>0</v>
      </c>
      <c r="AD555" s="196">
        <f t="shared" si="69"/>
        <v>0</v>
      </c>
      <c r="AE555" s="196">
        <f t="shared" si="70"/>
        <v>0</v>
      </c>
      <c r="AF555" s="2">
        <f t="shared" si="71"/>
        <v>0</v>
      </c>
      <c r="AG555" s="2">
        <f t="shared" si="72"/>
        <v>0</v>
      </c>
    </row>
    <row r="556" spans="1:33">
      <c r="A556" s="20" t="s">
        <v>1345</v>
      </c>
      <c r="B556" s="150"/>
      <c r="C556" s="21" t="s">
        <v>85</v>
      </c>
      <c r="D556" s="109" t="s">
        <v>13655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3"/>
        <v>0</v>
      </c>
      <c r="O556" s="268">
        <f t="shared" si="74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8"/>
        <v>0</v>
      </c>
      <c r="AD556" s="196">
        <f t="shared" si="69"/>
        <v>0</v>
      </c>
      <c r="AE556" s="196">
        <f t="shared" si="70"/>
        <v>0</v>
      </c>
      <c r="AF556" s="2">
        <f t="shared" si="71"/>
        <v>0</v>
      </c>
      <c r="AG556" s="2">
        <f t="shared" si="72"/>
        <v>0</v>
      </c>
    </row>
    <row r="557" spans="1:33">
      <c r="A557" s="20" t="s">
        <v>1344</v>
      </c>
      <c r="B557" s="150"/>
      <c r="C557" s="21" t="s">
        <v>85</v>
      </c>
      <c r="D557" s="109" t="s">
        <v>13916</v>
      </c>
      <c r="E557" s="109"/>
      <c r="F557" s="391" t="s">
        <v>13917</v>
      </c>
      <c r="G557" s="23"/>
      <c r="H557" s="23"/>
      <c r="I557" s="23"/>
      <c r="J557" s="23"/>
      <c r="K557" s="23"/>
      <c r="L557" s="350"/>
      <c r="M557" s="351"/>
      <c r="N557" s="267">
        <f t="shared" si="73"/>
        <v>0</v>
      </c>
      <c r="O557" s="268">
        <f t="shared" si="74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8"/>
        <v>0</v>
      </c>
      <c r="AD557" s="196">
        <f t="shared" si="69"/>
        <v>0</v>
      </c>
      <c r="AE557" s="196">
        <f t="shared" si="70"/>
        <v>0</v>
      </c>
      <c r="AF557" s="2">
        <f t="shared" si="71"/>
        <v>0</v>
      </c>
      <c r="AG557" s="2">
        <f t="shared" si="72"/>
        <v>0</v>
      </c>
    </row>
    <row r="558" spans="1:33">
      <c r="A558" s="20" t="s">
        <v>1346</v>
      </c>
      <c r="B558" s="150"/>
      <c r="C558" s="21" t="s">
        <v>86</v>
      </c>
      <c r="D558" s="109" t="s">
        <v>13551</v>
      </c>
      <c r="E558" s="109"/>
      <c r="F558" s="391" t="s">
        <v>13918</v>
      </c>
      <c r="G558" s="23"/>
      <c r="H558" s="23"/>
      <c r="I558" s="23"/>
      <c r="J558" s="23"/>
      <c r="K558" s="23"/>
      <c r="L558" s="350"/>
      <c r="M558" s="351"/>
      <c r="N558" s="267">
        <f t="shared" si="73"/>
        <v>0</v>
      </c>
      <c r="O558" s="268">
        <f t="shared" si="74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79"/>
      <c r="AB558" s="238"/>
      <c r="AC558" s="196">
        <f t="shared" si="68"/>
        <v>0</v>
      </c>
      <c r="AD558" s="196">
        <f t="shared" si="69"/>
        <v>0</v>
      </c>
      <c r="AE558" s="196">
        <f t="shared" si="70"/>
        <v>0</v>
      </c>
      <c r="AF558" s="2">
        <f t="shared" si="71"/>
        <v>0</v>
      </c>
      <c r="AG558" s="2">
        <f t="shared" si="72"/>
        <v>0</v>
      </c>
    </row>
    <row r="559" spans="1:33">
      <c r="A559" s="20" t="s">
        <v>1347</v>
      </c>
      <c r="B559" s="150"/>
      <c r="C559" s="21" t="s">
        <v>87</v>
      </c>
      <c r="D559" s="109" t="s">
        <v>13640</v>
      </c>
      <c r="E559" s="109" t="s">
        <v>13627</v>
      </c>
      <c r="F559" s="391" t="s">
        <v>13919</v>
      </c>
      <c r="G559" s="23"/>
      <c r="H559" s="23"/>
      <c r="I559" s="23"/>
      <c r="J559" s="23"/>
      <c r="K559" s="23"/>
      <c r="L559" s="350"/>
      <c r="M559" s="351"/>
      <c r="N559" s="267">
        <f t="shared" si="73"/>
        <v>0</v>
      </c>
      <c r="O559" s="268">
        <f t="shared" si="74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85"/>
      <c r="AB559" s="238"/>
      <c r="AC559" s="196">
        <f t="shared" si="68"/>
        <v>0</v>
      </c>
      <c r="AD559" s="196">
        <f t="shared" si="69"/>
        <v>0</v>
      </c>
      <c r="AE559" s="196">
        <f t="shared" si="70"/>
        <v>0</v>
      </c>
      <c r="AF559" s="2">
        <f t="shared" si="71"/>
        <v>0</v>
      </c>
      <c r="AG559" s="2">
        <f t="shared" si="72"/>
        <v>0</v>
      </c>
    </row>
    <row r="560" spans="1:33">
      <c r="A560" s="20" t="s">
        <v>1348</v>
      </c>
      <c r="B560" s="150"/>
      <c r="C560" s="21" t="s">
        <v>87</v>
      </c>
      <c r="D560" s="109" t="s">
        <v>13551</v>
      </c>
      <c r="E560" s="109"/>
      <c r="F560" s="391" t="s">
        <v>13920</v>
      </c>
      <c r="G560" s="23" t="s">
        <v>13711</v>
      </c>
      <c r="H560" s="23" t="s">
        <v>15379</v>
      </c>
      <c r="I560" s="23"/>
      <c r="J560" s="23"/>
      <c r="K560" s="23"/>
      <c r="L560" s="375" t="s">
        <v>7787</v>
      </c>
      <c r="M560" s="351"/>
      <c r="N560" s="267">
        <f t="shared" si="73"/>
        <v>0</v>
      </c>
      <c r="O560" s="268">
        <f t="shared" si="74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8"/>
        <v>0</v>
      </c>
      <c r="AD560" s="196">
        <f t="shared" si="69"/>
        <v>0</v>
      </c>
      <c r="AE560" s="196">
        <f t="shared" si="70"/>
        <v>0</v>
      </c>
      <c r="AF560" s="2">
        <f t="shared" si="71"/>
        <v>0</v>
      </c>
      <c r="AG560" s="2">
        <f t="shared" si="72"/>
        <v>0</v>
      </c>
    </row>
    <row r="561" spans="1:33">
      <c r="A561" s="20" t="s">
        <v>1349</v>
      </c>
      <c r="B561" s="150"/>
      <c r="C561" s="21" t="s">
        <v>88</v>
      </c>
      <c r="D561" s="109" t="s">
        <v>13551</v>
      </c>
      <c r="E561" s="109"/>
      <c r="F561" s="391" t="s">
        <v>13921</v>
      </c>
      <c r="G561" s="23" t="s">
        <v>13757</v>
      </c>
      <c r="H561" s="23"/>
      <c r="I561" s="23"/>
      <c r="J561" s="23"/>
      <c r="K561" s="23"/>
      <c r="L561" s="375"/>
      <c r="M561" s="351"/>
      <c r="N561" s="267">
        <f t="shared" si="73"/>
        <v>0</v>
      </c>
      <c r="O561" s="268">
        <f t="shared" si="74"/>
        <v>0</v>
      </c>
      <c r="P561" s="239"/>
      <c r="Q561" s="239"/>
      <c r="R561" s="239"/>
      <c r="S561" s="239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8"/>
        <v>0</v>
      </c>
      <c r="AD561" s="196">
        <f t="shared" si="69"/>
        <v>0</v>
      </c>
      <c r="AE561" s="196">
        <f t="shared" si="70"/>
        <v>0</v>
      </c>
      <c r="AF561" s="2">
        <f t="shared" si="71"/>
        <v>0</v>
      </c>
      <c r="AG561" s="2">
        <f t="shared" si="72"/>
        <v>0</v>
      </c>
    </row>
    <row r="562" spans="1:33">
      <c r="A562" s="20" t="s">
        <v>1350</v>
      </c>
      <c r="B562" s="151" t="s">
        <v>13922</v>
      </c>
      <c r="C562" s="21" t="s">
        <v>88</v>
      </c>
      <c r="D562" s="109" t="s">
        <v>13553</v>
      </c>
      <c r="E562" s="109"/>
      <c r="F562" s="391" t="s">
        <v>13923</v>
      </c>
      <c r="G562" s="23" t="s">
        <v>13673</v>
      </c>
      <c r="H562" s="23" t="s">
        <v>13854</v>
      </c>
      <c r="I562" s="23" t="s">
        <v>13924</v>
      </c>
      <c r="J562" s="23" t="s">
        <v>13495</v>
      </c>
      <c r="K562" s="23"/>
      <c r="L562" s="375" t="s">
        <v>7787</v>
      </c>
      <c r="M562" s="351" t="s">
        <v>7787</v>
      </c>
      <c r="N562" s="267">
        <f t="shared" si="73"/>
        <v>0</v>
      </c>
      <c r="O562" s="268">
        <f t="shared" si="74"/>
        <v>0</v>
      </c>
      <c r="P562" s="248"/>
      <c r="Q562" s="239"/>
      <c r="R562" s="239"/>
      <c r="S562" s="248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8"/>
        <v>0</v>
      </c>
      <c r="AD562" s="196">
        <f t="shared" si="69"/>
        <v>0</v>
      </c>
      <c r="AE562" s="196">
        <f t="shared" si="70"/>
        <v>0</v>
      </c>
      <c r="AF562" s="2">
        <f t="shared" si="71"/>
        <v>0</v>
      </c>
      <c r="AG562" s="2">
        <f t="shared" si="72"/>
        <v>0</v>
      </c>
    </row>
    <row r="563" spans="1:33">
      <c r="A563" s="20" t="s">
        <v>1351</v>
      </c>
      <c r="B563" s="150"/>
      <c r="C563" s="21" t="s">
        <v>89</v>
      </c>
      <c r="D563" s="109" t="s">
        <v>13908</v>
      </c>
      <c r="E563" s="109" t="s">
        <v>13925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3"/>
        <v>0</v>
      </c>
      <c r="O563" s="268">
        <f t="shared" si="74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8"/>
        <v>0</v>
      </c>
      <c r="AD563" s="196">
        <f t="shared" si="69"/>
        <v>0</v>
      </c>
      <c r="AE563" s="196">
        <f t="shared" si="70"/>
        <v>0</v>
      </c>
      <c r="AF563" s="2">
        <f t="shared" si="71"/>
        <v>0</v>
      </c>
      <c r="AG563" s="2">
        <f t="shared" si="72"/>
        <v>0</v>
      </c>
    </row>
    <row r="564" spans="1:33">
      <c r="A564" s="20" t="s">
        <v>1353</v>
      </c>
      <c r="B564" s="150"/>
      <c r="C564" s="21" t="s">
        <v>89</v>
      </c>
      <c r="D564" s="109" t="s">
        <v>13908</v>
      </c>
      <c r="E564" s="109" t="s">
        <v>13633</v>
      </c>
      <c r="F564" s="391" t="s">
        <v>13926</v>
      </c>
      <c r="G564" s="23"/>
      <c r="H564" s="23"/>
      <c r="I564" s="23"/>
      <c r="J564" s="23"/>
      <c r="K564" s="23"/>
      <c r="L564" s="350"/>
      <c r="M564" s="351"/>
      <c r="N564" s="267">
        <f t="shared" si="73"/>
        <v>0</v>
      </c>
      <c r="O564" s="268">
        <f t="shared" si="74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8"/>
        <v>0</v>
      </c>
      <c r="AD564" s="196">
        <f t="shared" si="69"/>
        <v>0</v>
      </c>
      <c r="AE564" s="196">
        <f t="shared" si="70"/>
        <v>0</v>
      </c>
      <c r="AF564" s="2">
        <f t="shared" si="71"/>
        <v>0</v>
      </c>
      <c r="AG564" s="2">
        <f t="shared" si="72"/>
        <v>0</v>
      </c>
    </row>
    <row r="565" spans="1:33">
      <c r="A565" s="20" t="s">
        <v>1352</v>
      </c>
      <c r="B565" s="150"/>
      <c r="C565" s="21" t="s">
        <v>89</v>
      </c>
      <c r="D565" s="109" t="s">
        <v>13908</v>
      </c>
      <c r="E565" s="109" t="s">
        <v>13627</v>
      </c>
      <c r="F565" s="391" t="s">
        <v>13926</v>
      </c>
      <c r="G565" s="23" t="s">
        <v>22665</v>
      </c>
      <c r="H565" s="23"/>
      <c r="I565" s="23"/>
      <c r="J565" s="23"/>
      <c r="K565" s="23"/>
      <c r="L565" s="350"/>
      <c r="M565" s="351"/>
      <c r="N565" s="267">
        <f t="shared" si="73"/>
        <v>0</v>
      </c>
      <c r="O565" s="268">
        <f t="shared" si="74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8"/>
        <v>0</v>
      </c>
      <c r="AD565" s="196">
        <f t="shared" si="69"/>
        <v>0</v>
      </c>
      <c r="AE565" s="196">
        <f t="shared" si="70"/>
        <v>0</v>
      </c>
      <c r="AF565" s="2">
        <f t="shared" si="71"/>
        <v>0</v>
      </c>
      <c r="AG565" s="2">
        <f t="shared" si="72"/>
        <v>0</v>
      </c>
    </row>
    <row r="566" spans="1:33">
      <c r="A566" s="20" t="s">
        <v>1354</v>
      </c>
      <c r="B566" s="150"/>
      <c r="C566" s="21" t="s">
        <v>89</v>
      </c>
      <c r="D566" s="109" t="s">
        <v>13551</v>
      </c>
      <c r="E566" s="109"/>
      <c r="F566" s="391" t="s">
        <v>13926</v>
      </c>
      <c r="G566" s="23"/>
      <c r="H566" s="23"/>
      <c r="I566" s="23"/>
      <c r="J566" s="23"/>
      <c r="K566" s="23"/>
      <c r="L566" s="350"/>
      <c r="M566" s="351"/>
      <c r="N566" s="267">
        <f t="shared" si="73"/>
        <v>0</v>
      </c>
      <c r="O566" s="268">
        <f t="shared" si="74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8"/>
        <v>0</v>
      </c>
      <c r="AD566" s="196">
        <f t="shared" si="69"/>
        <v>0</v>
      </c>
      <c r="AE566" s="196">
        <f t="shared" si="70"/>
        <v>0</v>
      </c>
      <c r="AF566" s="2">
        <f t="shared" si="71"/>
        <v>0</v>
      </c>
      <c r="AG566" s="2">
        <f t="shared" si="72"/>
        <v>0</v>
      </c>
    </row>
    <row r="567" spans="1:33">
      <c r="A567" s="20" t="s">
        <v>1355</v>
      </c>
      <c r="B567" s="151" t="s">
        <v>13927</v>
      </c>
      <c r="C567" s="21" t="s">
        <v>89</v>
      </c>
      <c r="D567" s="109" t="s">
        <v>13553</v>
      </c>
      <c r="E567" s="109"/>
      <c r="F567" s="391" t="s">
        <v>13926</v>
      </c>
      <c r="G567" s="23" t="s">
        <v>13928</v>
      </c>
      <c r="H567" s="23" t="s">
        <v>13662</v>
      </c>
      <c r="I567" s="23" t="s">
        <v>13749</v>
      </c>
      <c r="J567" s="23"/>
      <c r="K567" s="23"/>
      <c r="L567" s="375" t="s">
        <v>7787</v>
      </c>
      <c r="M567" s="351" t="s">
        <v>7787</v>
      </c>
      <c r="N567" s="267">
        <f t="shared" si="73"/>
        <v>0</v>
      </c>
      <c r="O567" s="268">
        <f t="shared" si="74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8"/>
        <v>0</v>
      </c>
      <c r="AD567" s="196">
        <f t="shared" si="69"/>
        <v>0</v>
      </c>
      <c r="AE567" s="196">
        <f t="shared" si="70"/>
        <v>0</v>
      </c>
      <c r="AF567" s="2">
        <f t="shared" si="71"/>
        <v>0</v>
      </c>
      <c r="AG567" s="2">
        <f t="shared" si="72"/>
        <v>0</v>
      </c>
    </row>
    <row r="568" spans="1:33">
      <c r="A568" s="20" t="s">
        <v>1356</v>
      </c>
      <c r="B568" s="150"/>
      <c r="C568" s="21" t="s">
        <v>90</v>
      </c>
      <c r="D568" s="109" t="s">
        <v>13908</v>
      </c>
      <c r="E568" s="109" t="s">
        <v>13627</v>
      </c>
      <c r="F568" s="391" t="s">
        <v>13929</v>
      </c>
      <c r="G568" s="23"/>
      <c r="H568" s="23"/>
      <c r="I568" s="23"/>
      <c r="J568" s="23"/>
      <c r="K568" s="23"/>
      <c r="L568" s="350"/>
      <c r="M568" s="351"/>
      <c r="N568" s="267">
        <f t="shared" si="73"/>
        <v>0</v>
      </c>
      <c r="O568" s="268">
        <f t="shared" si="74"/>
        <v>0</v>
      </c>
      <c r="P568" s="239"/>
      <c r="Q568" s="239"/>
      <c r="R568" s="239"/>
      <c r="S568" s="239"/>
      <c r="T568" s="239"/>
      <c r="U568" s="240"/>
      <c r="V568" s="240"/>
      <c r="W568" s="240"/>
      <c r="X568" s="278"/>
      <c r="Y568" s="237"/>
      <c r="Z568" s="237"/>
      <c r="AA568" s="279"/>
      <c r="AB568" s="238"/>
      <c r="AC568" s="196">
        <f t="shared" si="68"/>
        <v>0</v>
      </c>
      <c r="AD568" s="196">
        <f t="shared" si="69"/>
        <v>0</v>
      </c>
      <c r="AE568" s="196">
        <f t="shared" si="70"/>
        <v>0</v>
      </c>
      <c r="AF568" s="2">
        <f t="shared" si="71"/>
        <v>0</v>
      </c>
      <c r="AG568" s="2">
        <f t="shared" si="72"/>
        <v>0</v>
      </c>
    </row>
    <row r="569" spans="1:33">
      <c r="A569" s="20" t="s">
        <v>1357</v>
      </c>
      <c r="B569" s="150"/>
      <c r="C569" s="21" t="s">
        <v>90</v>
      </c>
      <c r="D569" s="109" t="s">
        <v>13553</v>
      </c>
      <c r="E569" s="109"/>
      <c r="F569" s="391" t="s">
        <v>13929</v>
      </c>
      <c r="G569" s="23" t="s">
        <v>13928</v>
      </c>
      <c r="H569" s="23" t="s">
        <v>26960</v>
      </c>
      <c r="I569" s="23"/>
      <c r="J569" s="23"/>
      <c r="K569" s="23"/>
      <c r="L569" s="375"/>
      <c r="M569" s="351" t="s">
        <v>7787</v>
      </c>
      <c r="N569" s="267">
        <f t="shared" si="73"/>
        <v>0</v>
      </c>
      <c r="O569" s="268">
        <f t="shared" si="74"/>
        <v>200</v>
      </c>
      <c r="P569" s="239"/>
      <c r="Q569" s="239"/>
      <c r="R569" s="239"/>
      <c r="S569" s="239"/>
      <c r="T569" s="239"/>
      <c r="U569" s="240">
        <f>1000-800</f>
        <v>200</v>
      </c>
      <c r="V569" s="240"/>
      <c r="W569" s="240"/>
      <c r="X569" s="278"/>
      <c r="Y569" s="237"/>
      <c r="Z569" s="237"/>
      <c r="AA569" s="279"/>
      <c r="AB569" s="238" t="s">
        <v>27838</v>
      </c>
      <c r="AC569" s="196">
        <f t="shared" si="68"/>
        <v>200</v>
      </c>
      <c r="AD569" s="196">
        <f t="shared" si="69"/>
        <v>200</v>
      </c>
      <c r="AE569" s="196">
        <f t="shared" si="70"/>
        <v>0</v>
      </c>
      <c r="AF569" s="2">
        <f t="shared" si="71"/>
        <v>200</v>
      </c>
      <c r="AG569" s="2">
        <f t="shared" si="72"/>
        <v>0</v>
      </c>
    </row>
    <row r="570" spans="1:33">
      <c r="A570" s="20" t="s">
        <v>1358</v>
      </c>
      <c r="B570" s="150"/>
      <c r="C570" s="21" t="s">
        <v>91</v>
      </c>
      <c r="D570" s="109" t="s">
        <v>13551</v>
      </c>
      <c r="E570" s="109"/>
      <c r="F570" s="391" t="s">
        <v>13930</v>
      </c>
      <c r="G570" s="23"/>
      <c r="H570" s="23"/>
      <c r="I570" s="23"/>
      <c r="J570" s="23"/>
      <c r="K570" s="23"/>
      <c r="L570" s="350"/>
      <c r="M570" s="351"/>
      <c r="N570" s="267">
        <f t="shared" si="73"/>
        <v>0</v>
      </c>
      <c r="O570" s="268">
        <f t="shared" si="74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8"/>
        <v>0</v>
      </c>
      <c r="AD570" s="196">
        <f t="shared" si="69"/>
        <v>0</v>
      </c>
      <c r="AE570" s="196">
        <f t="shared" si="70"/>
        <v>0</v>
      </c>
      <c r="AF570" s="2">
        <f t="shared" si="71"/>
        <v>0</v>
      </c>
      <c r="AG570" s="2">
        <f t="shared" si="72"/>
        <v>0</v>
      </c>
    </row>
    <row r="571" spans="1:33">
      <c r="A571" s="20" t="s">
        <v>1360</v>
      </c>
      <c r="B571" s="150"/>
      <c r="C571" s="21" t="s">
        <v>92</v>
      </c>
      <c r="D571" s="109" t="s">
        <v>13653</v>
      </c>
      <c r="E571" s="109" t="s">
        <v>13717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3"/>
        <v>0</v>
      </c>
      <c r="O571" s="268">
        <f t="shared" si="74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8"/>
        <v>0</v>
      </c>
      <c r="AD571" s="196">
        <f t="shared" si="69"/>
        <v>0</v>
      </c>
      <c r="AE571" s="196">
        <f t="shared" si="70"/>
        <v>0</v>
      </c>
      <c r="AF571" s="2">
        <f t="shared" si="71"/>
        <v>0</v>
      </c>
      <c r="AG571" s="2">
        <f t="shared" si="72"/>
        <v>0</v>
      </c>
    </row>
    <row r="572" spans="1:33">
      <c r="A572" s="20" t="s">
        <v>1359</v>
      </c>
      <c r="B572" s="150"/>
      <c r="C572" s="21" t="s">
        <v>92</v>
      </c>
      <c r="D572" s="109" t="s">
        <v>13640</v>
      </c>
      <c r="E572" s="109" t="s">
        <v>13627</v>
      </c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3"/>
        <v>0</v>
      </c>
      <c r="O572" s="268">
        <f t="shared" si="74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8"/>
        <v>0</v>
      </c>
      <c r="AD572" s="196">
        <f t="shared" si="69"/>
        <v>0</v>
      </c>
      <c r="AE572" s="196">
        <f t="shared" si="70"/>
        <v>0</v>
      </c>
      <c r="AF572" s="2">
        <f t="shared" si="71"/>
        <v>0</v>
      </c>
      <c r="AG572" s="2">
        <f t="shared" si="72"/>
        <v>0</v>
      </c>
    </row>
    <row r="573" spans="1:33">
      <c r="A573" s="20" t="s">
        <v>1362</v>
      </c>
      <c r="B573" s="150"/>
      <c r="C573" s="21" t="s">
        <v>92</v>
      </c>
      <c r="D573" s="109" t="s">
        <v>13551</v>
      </c>
      <c r="E573" s="109"/>
      <c r="F573" s="391" t="s">
        <v>13931</v>
      </c>
      <c r="G573" s="23"/>
      <c r="H573" s="23"/>
      <c r="I573" s="23"/>
      <c r="J573" s="23"/>
      <c r="K573" s="23"/>
      <c r="L573" s="350"/>
      <c r="M573" s="351"/>
      <c r="N573" s="267">
        <f t="shared" si="73"/>
        <v>0</v>
      </c>
      <c r="O573" s="268">
        <f t="shared" si="74"/>
        <v>0</v>
      </c>
      <c r="P573" s="239"/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/>
      <c r="AC573" s="196">
        <f t="shared" si="68"/>
        <v>0</v>
      </c>
      <c r="AD573" s="196">
        <f t="shared" si="69"/>
        <v>0</v>
      </c>
      <c r="AE573" s="196">
        <f t="shared" si="70"/>
        <v>0</v>
      </c>
      <c r="AF573" s="2">
        <f t="shared" si="71"/>
        <v>0</v>
      </c>
      <c r="AG573" s="2">
        <f t="shared" si="72"/>
        <v>0</v>
      </c>
    </row>
    <row r="574" spans="1:33">
      <c r="A574" s="20" t="s">
        <v>1361</v>
      </c>
      <c r="B574" s="150"/>
      <c r="C574" s="21" t="s">
        <v>92</v>
      </c>
      <c r="D574" s="109" t="s">
        <v>13553</v>
      </c>
      <c r="E574" s="109"/>
      <c r="F574" s="391" t="s">
        <v>13931</v>
      </c>
      <c r="G574" s="23" t="s">
        <v>13872</v>
      </c>
      <c r="H574" s="23" t="s">
        <v>13932</v>
      </c>
      <c r="I574" s="23" t="s">
        <v>25233</v>
      </c>
      <c r="J574" s="23"/>
      <c r="K574" s="23"/>
      <c r="L574" s="375" t="s">
        <v>45</v>
      </c>
      <c r="M574" s="351" t="s">
        <v>7787</v>
      </c>
      <c r="N574" s="267">
        <f t="shared" si="73"/>
        <v>0</v>
      </c>
      <c r="O574" s="268">
        <f t="shared" si="74"/>
        <v>200</v>
      </c>
      <c r="P574" s="239">
        <f>500-300</f>
        <v>200</v>
      </c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 t="s">
        <v>26364</v>
      </c>
      <c r="AC574" s="196">
        <f t="shared" si="68"/>
        <v>200</v>
      </c>
      <c r="AD574" s="196">
        <f t="shared" si="69"/>
        <v>200</v>
      </c>
      <c r="AE574" s="196">
        <f t="shared" si="70"/>
        <v>0</v>
      </c>
      <c r="AF574" s="2">
        <f t="shared" si="71"/>
        <v>200</v>
      </c>
      <c r="AG574" s="2">
        <f t="shared" si="72"/>
        <v>0</v>
      </c>
    </row>
    <row r="575" spans="1:33">
      <c r="A575" s="20" t="s">
        <v>1367</v>
      </c>
      <c r="B575" s="150"/>
      <c r="C575" s="21" t="s">
        <v>93</v>
      </c>
      <c r="D575" s="109" t="s">
        <v>13653</v>
      </c>
      <c r="E575" s="109" t="s">
        <v>13630</v>
      </c>
      <c r="F575" s="391" t="s">
        <v>13933</v>
      </c>
      <c r="G575" s="23"/>
      <c r="H575" s="23"/>
      <c r="I575" s="23"/>
      <c r="J575" s="23"/>
      <c r="K575" s="23"/>
      <c r="L575" s="350"/>
      <c r="M575" s="351"/>
      <c r="N575" s="267">
        <f t="shared" si="73"/>
        <v>0</v>
      </c>
      <c r="O575" s="268">
        <f t="shared" si="74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8"/>
        <v>0</v>
      </c>
      <c r="AD575" s="196">
        <f t="shared" si="69"/>
        <v>0</v>
      </c>
      <c r="AE575" s="196">
        <f t="shared" si="70"/>
        <v>0</v>
      </c>
      <c r="AF575" s="2">
        <f t="shared" si="71"/>
        <v>0</v>
      </c>
      <c r="AG575" s="2">
        <f t="shared" si="72"/>
        <v>0</v>
      </c>
    </row>
    <row r="576" spans="1:33">
      <c r="A576" s="20" t="s">
        <v>1371</v>
      </c>
      <c r="B576" s="150"/>
      <c r="C576" s="21" t="s">
        <v>93</v>
      </c>
      <c r="D576" s="109" t="s">
        <v>13653</v>
      </c>
      <c r="E576" s="109" t="s">
        <v>13717</v>
      </c>
      <c r="F576" s="391" t="s">
        <v>13933</v>
      </c>
      <c r="G576" s="23" t="s">
        <v>13353</v>
      </c>
      <c r="H576" s="23"/>
      <c r="I576" s="23"/>
      <c r="J576" s="23"/>
      <c r="K576" s="23"/>
      <c r="L576" s="375" t="s">
        <v>7787</v>
      </c>
      <c r="M576" s="351" t="s">
        <v>7787</v>
      </c>
      <c r="N576" s="267">
        <f t="shared" si="73"/>
        <v>0</v>
      </c>
      <c r="O576" s="268">
        <f t="shared" si="74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8"/>
        <v>0</v>
      </c>
      <c r="AD576" s="196">
        <f t="shared" si="69"/>
        <v>0</v>
      </c>
      <c r="AE576" s="196">
        <f t="shared" si="70"/>
        <v>0</v>
      </c>
      <c r="AF576" s="2">
        <f t="shared" si="71"/>
        <v>0</v>
      </c>
      <c r="AG576" s="2">
        <f t="shared" si="72"/>
        <v>0</v>
      </c>
    </row>
    <row r="577" spans="1:33">
      <c r="A577" s="20" t="s">
        <v>1365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13709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3"/>
        <v>0</v>
      </c>
      <c r="O577" s="268">
        <f t="shared" si="74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8"/>
        <v>0</v>
      </c>
      <c r="AD577" s="196">
        <f t="shared" si="69"/>
        <v>0</v>
      </c>
      <c r="AE577" s="196">
        <f t="shared" si="70"/>
        <v>0</v>
      </c>
      <c r="AF577" s="2">
        <f t="shared" si="71"/>
        <v>0</v>
      </c>
      <c r="AG577" s="2">
        <f t="shared" si="72"/>
        <v>0</v>
      </c>
    </row>
    <row r="578" spans="1:33">
      <c r="A578" s="20" t="s">
        <v>1366</v>
      </c>
      <c r="B578" s="150"/>
      <c r="C578" s="21" t="s">
        <v>93</v>
      </c>
      <c r="D578" s="109" t="s">
        <v>13640</v>
      </c>
      <c r="E578" s="109" t="s">
        <v>13627</v>
      </c>
      <c r="F578" s="391" t="s">
        <v>13933</v>
      </c>
      <c r="G578" s="23" t="s">
        <v>13853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3"/>
        <v>0</v>
      </c>
      <c r="O578" s="268">
        <f t="shared" si="74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8"/>
        <v>0</v>
      </c>
      <c r="AD578" s="196">
        <f t="shared" si="69"/>
        <v>0</v>
      </c>
      <c r="AE578" s="196">
        <f t="shared" si="70"/>
        <v>0</v>
      </c>
      <c r="AF578" s="2">
        <f t="shared" si="71"/>
        <v>0</v>
      </c>
      <c r="AG578" s="2">
        <f t="shared" si="72"/>
        <v>0</v>
      </c>
    </row>
    <row r="579" spans="1:33">
      <c r="A579" s="20" t="s">
        <v>20199</v>
      </c>
      <c r="B579" s="150"/>
      <c r="C579" s="21" t="s">
        <v>93</v>
      </c>
      <c r="D579" s="109" t="s">
        <v>20317</v>
      </c>
      <c r="E579" s="109" t="s">
        <v>3117</v>
      </c>
      <c r="F579" s="391" t="s">
        <v>4319</v>
      </c>
      <c r="G579" s="23" t="s">
        <v>13353</v>
      </c>
      <c r="H579" s="23"/>
      <c r="I579" s="23"/>
      <c r="J579" s="23"/>
      <c r="K579" s="23"/>
      <c r="L579" s="375" t="s">
        <v>7787</v>
      </c>
      <c r="M579" s="358" t="s">
        <v>7787</v>
      </c>
      <c r="N579" s="267">
        <f t="shared" si="73"/>
        <v>0</v>
      </c>
      <c r="O579" s="268">
        <f t="shared" si="74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79"/>
      <c r="AB579" s="238"/>
      <c r="AC579" s="196">
        <f t="shared" si="68"/>
        <v>0</v>
      </c>
      <c r="AD579" s="196">
        <f t="shared" si="69"/>
        <v>0</v>
      </c>
      <c r="AE579" s="196">
        <f t="shared" si="70"/>
        <v>0</v>
      </c>
      <c r="AF579" s="2">
        <f t="shared" si="71"/>
        <v>0</v>
      </c>
      <c r="AG579" s="2">
        <f t="shared" si="72"/>
        <v>0</v>
      </c>
    </row>
    <row r="580" spans="1:33">
      <c r="A580" s="20" t="s">
        <v>1370</v>
      </c>
      <c r="B580" s="162" t="s">
        <v>5818</v>
      </c>
      <c r="C580" s="21" t="s">
        <v>93</v>
      </c>
      <c r="D580" s="109" t="s">
        <v>13551</v>
      </c>
      <c r="E580" s="109" t="s">
        <v>13658</v>
      </c>
      <c r="F580" s="391" t="s">
        <v>13933</v>
      </c>
      <c r="G580" s="23" t="s">
        <v>13934</v>
      </c>
      <c r="H580" s="23" t="s">
        <v>13543</v>
      </c>
      <c r="I580" s="23" t="s">
        <v>13935</v>
      </c>
      <c r="J580" s="23" t="s">
        <v>13936</v>
      </c>
      <c r="K580" s="23"/>
      <c r="L580" s="375" t="s">
        <v>7787</v>
      </c>
      <c r="M580" s="351" t="s">
        <v>7787</v>
      </c>
      <c r="N580" s="267">
        <f t="shared" si="73"/>
        <v>0</v>
      </c>
      <c r="O580" s="268">
        <f t="shared" si="74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85"/>
      <c r="AB580" s="238"/>
      <c r="AC580" s="196">
        <f t="shared" si="68"/>
        <v>0</v>
      </c>
      <c r="AD580" s="196">
        <f t="shared" si="69"/>
        <v>0</v>
      </c>
      <c r="AE580" s="196">
        <f t="shared" si="70"/>
        <v>0</v>
      </c>
      <c r="AF580" s="2">
        <f t="shared" si="71"/>
        <v>0</v>
      </c>
      <c r="AG580" s="2">
        <f t="shared" si="72"/>
        <v>0</v>
      </c>
    </row>
    <row r="581" spans="1:33">
      <c r="A581" s="20" t="s">
        <v>1368</v>
      </c>
      <c r="B581" s="150"/>
      <c r="C581" s="21" t="s">
        <v>93</v>
      </c>
      <c r="D581" s="109" t="s">
        <v>13553</v>
      </c>
      <c r="E581" s="109" t="s">
        <v>13658</v>
      </c>
      <c r="F581" s="391" t="s">
        <v>13933</v>
      </c>
      <c r="G581" s="23" t="s">
        <v>13709</v>
      </c>
      <c r="H581" s="23" t="s">
        <v>13664</v>
      </c>
      <c r="I581" s="23" t="s">
        <v>13937</v>
      </c>
      <c r="J581" s="23"/>
      <c r="K581" s="23"/>
      <c r="L581" s="375" t="s">
        <v>7787</v>
      </c>
      <c r="M581" s="351" t="s">
        <v>7787</v>
      </c>
      <c r="N581" s="267">
        <f t="shared" si="73"/>
        <v>0</v>
      </c>
      <c r="O581" s="268">
        <f t="shared" si="74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8"/>
        <v>0</v>
      </c>
      <c r="AD581" s="196">
        <f t="shared" si="69"/>
        <v>0</v>
      </c>
      <c r="AE581" s="196">
        <f t="shared" si="70"/>
        <v>0</v>
      </c>
      <c r="AF581" s="2">
        <f t="shared" si="71"/>
        <v>0</v>
      </c>
      <c r="AG581" s="2">
        <f t="shared" si="72"/>
        <v>0</v>
      </c>
    </row>
    <row r="582" spans="1:33">
      <c r="A582" s="20" t="s">
        <v>1369</v>
      </c>
      <c r="B582" s="151" t="s">
        <v>13938</v>
      </c>
      <c r="C582" s="21" t="s">
        <v>93</v>
      </c>
      <c r="D582" s="109" t="s">
        <v>4059</v>
      </c>
      <c r="E582" s="109" t="s">
        <v>13658</v>
      </c>
      <c r="F582" s="391" t="s">
        <v>13939</v>
      </c>
      <c r="G582" s="23" t="s">
        <v>13673</v>
      </c>
      <c r="H582" s="23" t="s">
        <v>13664</v>
      </c>
      <c r="I582" s="23" t="s">
        <v>13937</v>
      </c>
      <c r="J582" s="23" t="s">
        <v>13940</v>
      </c>
      <c r="K582" s="23" t="s">
        <v>13941</v>
      </c>
      <c r="L582" s="375" t="s">
        <v>7787</v>
      </c>
      <c r="M582" s="351" t="s">
        <v>7787</v>
      </c>
      <c r="N582" s="267">
        <f t="shared" si="73"/>
        <v>0</v>
      </c>
      <c r="O582" s="268">
        <f t="shared" si="74"/>
        <v>0</v>
      </c>
      <c r="P582" s="239"/>
      <c r="Q582" s="239"/>
      <c r="R582" s="239"/>
      <c r="S582" s="239"/>
      <c r="T582" s="239"/>
      <c r="U582" s="240"/>
      <c r="V582" s="240"/>
      <c r="W582" s="240"/>
      <c r="X582" s="278"/>
      <c r="Y582" s="237"/>
      <c r="Z582" s="237"/>
      <c r="AA582" s="279"/>
      <c r="AB582" s="238"/>
      <c r="AC582" s="196">
        <f t="shared" si="68"/>
        <v>0</v>
      </c>
      <c r="AD582" s="196">
        <f t="shared" si="69"/>
        <v>0</v>
      </c>
      <c r="AE582" s="196">
        <f t="shared" si="70"/>
        <v>0</v>
      </c>
      <c r="AF582" s="2">
        <f t="shared" si="71"/>
        <v>0</v>
      </c>
      <c r="AG582" s="2">
        <f t="shared" si="72"/>
        <v>0</v>
      </c>
    </row>
    <row r="583" spans="1:33">
      <c r="A583" s="20" t="s">
        <v>10214</v>
      </c>
      <c r="B583" s="151"/>
      <c r="C583" s="21" t="s">
        <v>93</v>
      </c>
      <c r="D583" s="109" t="s">
        <v>13631</v>
      </c>
      <c r="E583" s="109"/>
      <c r="F583" s="391" t="s">
        <v>13939</v>
      </c>
      <c r="G583" s="23" t="s">
        <v>13709</v>
      </c>
      <c r="H583" s="23" t="s">
        <v>13942</v>
      </c>
      <c r="I583" s="23" t="s">
        <v>13905</v>
      </c>
      <c r="J583" s="23" t="s">
        <v>13673</v>
      </c>
      <c r="K583" s="23" t="s">
        <v>13924</v>
      </c>
      <c r="L583" s="375" t="s">
        <v>7787</v>
      </c>
      <c r="M583" s="351" t="s">
        <v>7787</v>
      </c>
      <c r="N583" s="267">
        <f t="shared" si="73"/>
        <v>0</v>
      </c>
      <c r="O583" s="268">
        <f t="shared" si="74"/>
        <v>0</v>
      </c>
      <c r="P583" s="237"/>
      <c r="Q583" s="239"/>
      <c r="R583" s="237"/>
      <c r="S583" s="237"/>
      <c r="T583" s="239"/>
      <c r="U583" s="240"/>
      <c r="V583" s="240"/>
      <c r="W583" s="240"/>
      <c r="X583" s="278"/>
      <c r="Y583" s="239"/>
      <c r="Z583" s="237"/>
      <c r="AA583" s="279"/>
      <c r="AB583" s="238"/>
      <c r="AC583" s="196">
        <f t="shared" si="68"/>
        <v>0</v>
      </c>
      <c r="AD583" s="196">
        <f t="shared" si="69"/>
        <v>0</v>
      </c>
      <c r="AE583" s="196">
        <f t="shared" si="70"/>
        <v>0</v>
      </c>
      <c r="AF583" s="2">
        <f t="shared" si="71"/>
        <v>0</v>
      </c>
      <c r="AG583" s="2">
        <f t="shared" si="72"/>
        <v>0</v>
      </c>
    </row>
    <row r="584" spans="1:33">
      <c r="A584" s="20" t="s">
        <v>27126</v>
      </c>
      <c r="B584" s="151"/>
      <c r="C584" s="21" t="s">
        <v>93</v>
      </c>
      <c r="D584" s="109" t="s">
        <v>4070</v>
      </c>
      <c r="E584" s="109" t="s">
        <v>27236</v>
      </c>
      <c r="F584" s="391" t="s">
        <v>27235</v>
      </c>
      <c r="G584" s="23" t="s">
        <v>27237</v>
      </c>
      <c r="H584" s="23"/>
      <c r="I584" s="23"/>
      <c r="J584" s="23"/>
      <c r="K584" s="23"/>
      <c r="L584" s="375" t="s">
        <v>7787</v>
      </c>
      <c r="M584" s="351" t="s">
        <v>7787</v>
      </c>
      <c r="N584" s="267">
        <f t="shared" ref="N584" si="84">SUM(L584:M584)</f>
        <v>0</v>
      </c>
      <c r="O584" s="268">
        <f t="shared" ref="O584" si="85">SUM(P584:Z584)</f>
        <v>100</v>
      </c>
      <c r="P584" s="243"/>
      <c r="Q584" s="239"/>
      <c r="R584" s="243"/>
      <c r="S584" s="243"/>
      <c r="T584" s="239"/>
      <c r="U584" s="240">
        <f>200-100</f>
        <v>100</v>
      </c>
      <c r="V584" s="240"/>
      <c r="W584" s="240"/>
      <c r="X584" s="278"/>
      <c r="Y584" s="239"/>
      <c r="Z584" s="237"/>
      <c r="AA584" s="279"/>
      <c r="AB584" s="238" t="s">
        <v>27238</v>
      </c>
      <c r="AC584" s="196">
        <f t="shared" ref="AC584" si="86">SUM(P584:AA584)</f>
        <v>100</v>
      </c>
      <c r="AD584" s="196">
        <f t="shared" ref="AD584" si="87">SUM(P584:AB584)</f>
        <v>100</v>
      </c>
      <c r="AE584" s="196">
        <f t="shared" ref="AE584" si="88">SUM(AC584-AD584)</f>
        <v>0</v>
      </c>
      <c r="AF584" s="2">
        <f t="shared" ref="AF584" si="89">+AC584</f>
        <v>100</v>
      </c>
      <c r="AG584" s="2">
        <f t="shared" ref="AG584" si="90">+AC584-AF584</f>
        <v>0</v>
      </c>
    </row>
    <row r="585" spans="1:33">
      <c r="A585" s="20" t="s">
        <v>1364</v>
      </c>
      <c r="B585" s="161"/>
      <c r="C585" s="21" t="s">
        <v>93</v>
      </c>
      <c r="D585" s="109" t="s">
        <v>13655</v>
      </c>
      <c r="E585" s="109"/>
      <c r="F585" s="391" t="s">
        <v>13933</v>
      </c>
      <c r="G585" s="23" t="s">
        <v>13853</v>
      </c>
      <c r="H585" s="23" t="s">
        <v>13543</v>
      </c>
      <c r="I585" s="23"/>
      <c r="J585" s="23"/>
      <c r="K585" s="23"/>
      <c r="L585" s="375" t="s">
        <v>7787</v>
      </c>
      <c r="M585" s="351" t="s">
        <v>7787</v>
      </c>
      <c r="N585" s="267">
        <f t="shared" si="73"/>
        <v>0</v>
      </c>
      <c r="O585" s="268">
        <f t="shared" si="74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ref="AC585:AC648" si="91">SUM(P585:AA585)</f>
        <v>0</v>
      </c>
      <c r="AD585" s="196">
        <f t="shared" ref="AD585:AD648" si="92">SUM(P585:AB585)</f>
        <v>0</v>
      </c>
      <c r="AE585" s="196">
        <f t="shared" ref="AE585:AE648" si="93">SUM(AC585-AD585)</f>
        <v>0</v>
      </c>
      <c r="AF585" s="2">
        <f t="shared" ref="AF585:AF648" si="94">+AC585</f>
        <v>0</v>
      </c>
      <c r="AG585" s="2">
        <f t="shared" ref="AG585:AG648" si="95">+AC585-AF585</f>
        <v>0</v>
      </c>
    </row>
    <row r="586" spans="1:33">
      <c r="A586" s="20" t="s">
        <v>1363</v>
      </c>
      <c r="B586" s="150"/>
      <c r="C586" s="21" t="s">
        <v>93</v>
      </c>
      <c r="D586" s="109" t="s">
        <v>13655</v>
      </c>
      <c r="E586" s="109"/>
      <c r="F586" s="391" t="s">
        <v>13943</v>
      </c>
      <c r="G586" s="23" t="s">
        <v>13944</v>
      </c>
      <c r="H586" s="23" t="s">
        <v>13601</v>
      </c>
      <c r="I586" s="23"/>
      <c r="J586" s="23"/>
      <c r="K586" s="23"/>
      <c r="L586" s="375" t="s">
        <v>7787</v>
      </c>
      <c r="M586" s="351"/>
      <c r="N586" s="267">
        <f t="shared" si="73"/>
        <v>0</v>
      </c>
      <c r="O586" s="268">
        <f t="shared" si="74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91"/>
        <v>0</v>
      </c>
      <c r="AD586" s="196">
        <f t="shared" si="92"/>
        <v>0</v>
      </c>
      <c r="AE586" s="196">
        <f t="shared" si="93"/>
        <v>0</v>
      </c>
      <c r="AF586" s="2">
        <f t="shared" si="94"/>
        <v>0</v>
      </c>
      <c r="AG586" s="2">
        <f t="shared" si="95"/>
        <v>0</v>
      </c>
    </row>
    <row r="587" spans="1:33">
      <c r="A587" s="20" t="s">
        <v>1373</v>
      </c>
      <c r="B587" s="150"/>
      <c r="C587" s="21" t="s">
        <v>94</v>
      </c>
      <c r="D587" s="109" t="s">
        <v>13945</v>
      </c>
      <c r="E587" s="109" t="s">
        <v>13608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3"/>
        <v>0</v>
      </c>
      <c r="O587" s="268">
        <f t="shared" si="74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79"/>
      <c r="AB587" s="238"/>
      <c r="AC587" s="196">
        <f t="shared" si="91"/>
        <v>0</v>
      </c>
      <c r="AD587" s="196">
        <f t="shared" si="92"/>
        <v>0</v>
      </c>
      <c r="AE587" s="196">
        <f t="shared" si="93"/>
        <v>0</v>
      </c>
      <c r="AF587" s="2">
        <f t="shared" si="94"/>
        <v>0</v>
      </c>
      <c r="AG587" s="2">
        <f t="shared" si="95"/>
        <v>0</v>
      </c>
    </row>
    <row r="588" spans="1:33">
      <c r="A588" s="20" t="s">
        <v>1376</v>
      </c>
      <c r="B588" s="150"/>
      <c r="C588" s="21" t="s">
        <v>94</v>
      </c>
      <c r="D588" s="109" t="s">
        <v>13945</v>
      </c>
      <c r="E588" s="109" t="s">
        <v>13947</v>
      </c>
      <c r="F588" s="391" t="s">
        <v>13946</v>
      </c>
      <c r="G588" s="23"/>
      <c r="H588" s="23"/>
      <c r="I588" s="23"/>
      <c r="J588" s="23"/>
      <c r="K588" s="23"/>
      <c r="L588" s="350"/>
      <c r="M588" s="351"/>
      <c r="N588" s="267">
        <f t="shared" si="73"/>
        <v>0</v>
      </c>
      <c r="O588" s="268">
        <f t="shared" si="74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85"/>
      <c r="AB588" s="238"/>
      <c r="AC588" s="196">
        <f t="shared" si="91"/>
        <v>0</v>
      </c>
      <c r="AD588" s="196">
        <f t="shared" si="92"/>
        <v>0</v>
      </c>
      <c r="AE588" s="196">
        <f t="shared" si="93"/>
        <v>0</v>
      </c>
      <c r="AF588" s="2">
        <f t="shared" si="94"/>
        <v>0</v>
      </c>
      <c r="AG588" s="2">
        <f t="shared" si="95"/>
        <v>0</v>
      </c>
    </row>
    <row r="589" spans="1:33">
      <c r="A589" s="20" t="s">
        <v>1372</v>
      </c>
      <c r="B589" s="161"/>
      <c r="C589" s="21" t="s">
        <v>94</v>
      </c>
      <c r="D589" s="109" t="s">
        <v>13612</v>
      </c>
      <c r="E589" s="109" t="s">
        <v>13611</v>
      </c>
      <c r="F589" s="391" t="s">
        <v>13946</v>
      </c>
      <c r="G589" s="23" t="s">
        <v>13944</v>
      </c>
      <c r="H589" s="23"/>
      <c r="I589" s="23"/>
      <c r="J589" s="23"/>
      <c r="K589" s="23"/>
      <c r="L589" s="375" t="s">
        <v>7787</v>
      </c>
      <c r="M589" s="351" t="s">
        <v>7787</v>
      </c>
      <c r="N589" s="267">
        <f t="shared" si="73"/>
        <v>0</v>
      </c>
      <c r="O589" s="268">
        <f t="shared" si="74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91"/>
        <v>0</v>
      </c>
      <c r="AD589" s="196">
        <f t="shared" si="92"/>
        <v>0</v>
      </c>
      <c r="AE589" s="196">
        <f t="shared" si="93"/>
        <v>0</v>
      </c>
      <c r="AF589" s="2">
        <f t="shared" si="94"/>
        <v>0</v>
      </c>
      <c r="AG589" s="2">
        <f t="shared" si="95"/>
        <v>0</v>
      </c>
    </row>
    <row r="590" spans="1:33">
      <c r="A590" s="20" t="s">
        <v>19877</v>
      </c>
      <c r="B590" s="150"/>
      <c r="C590" s="21" t="s">
        <v>19706</v>
      </c>
      <c r="D590" s="109" t="s">
        <v>19702</v>
      </c>
      <c r="E590" s="109" t="s">
        <v>19703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si="73"/>
        <v>0</v>
      </c>
      <c r="O590" s="268">
        <f t="shared" si="74"/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91"/>
        <v>0</v>
      </c>
      <c r="AD590" s="196">
        <f t="shared" si="92"/>
        <v>0</v>
      </c>
      <c r="AE590" s="196">
        <f t="shared" si="93"/>
        <v>0</v>
      </c>
      <c r="AF590" s="2">
        <f t="shared" si="94"/>
        <v>0</v>
      </c>
      <c r="AG590" s="2">
        <f t="shared" si="95"/>
        <v>0</v>
      </c>
    </row>
    <row r="591" spans="1:33">
      <c r="A591" s="20" t="s">
        <v>19878</v>
      </c>
      <c r="B591" s="150"/>
      <c r="C591" s="21" t="s">
        <v>19706</v>
      </c>
      <c r="D591" s="109" t="s">
        <v>7846</v>
      </c>
      <c r="E591" s="109" t="s">
        <v>19827</v>
      </c>
      <c r="F591" s="391" t="s">
        <v>4320</v>
      </c>
      <c r="G591" s="23" t="s">
        <v>13353</v>
      </c>
      <c r="H591" s="23"/>
      <c r="I591" s="23"/>
      <c r="J591" s="23"/>
      <c r="K591" s="23"/>
      <c r="L591" s="375" t="s">
        <v>7787</v>
      </c>
      <c r="M591" s="351"/>
      <c r="N591" s="267">
        <f t="shared" ref="N591:N655" si="96">SUM(L591:M591)</f>
        <v>0</v>
      </c>
      <c r="O591" s="268">
        <f t="shared" ref="O591:O655" si="97">SUM(P591:Z591)</f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91"/>
        <v>0</v>
      </c>
      <c r="AD591" s="196">
        <f t="shared" si="92"/>
        <v>0</v>
      </c>
      <c r="AE591" s="196">
        <f t="shared" si="93"/>
        <v>0</v>
      </c>
      <c r="AF591" s="2">
        <f t="shared" si="94"/>
        <v>0</v>
      </c>
      <c r="AG591" s="2">
        <f t="shared" si="95"/>
        <v>0</v>
      </c>
    </row>
    <row r="592" spans="1:33">
      <c r="A592" s="20" t="s">
        <v>20065</v>
      </c>
      <c r="B592" s="150"/>
      <c r="C592" s="21" t="s">
        <v>19706</v>
      </c>
      <c r="D592" s="109" t="s">
        <v>7846</v>
      </c>
      <c r="E592" s="109" t="s">
        <v>20084</v>
      </c>
      <c r="F592" s="391" t="s">
        <v>4320</v>
      </c>
      <c r="G592" s="23" t="s">
        <v>20145</v>
      </c>
      <c r="H592" s="23"/>
      <c r="I592" s="23"/>
      <c r="J592" s="23"/>
      <c r="K592" s="23"/>
      <c r="L592" s="375" t="s">
        <v>7787</v>
      </c>
      <c r="M592" s="351"/>
      <c r="N592" s="267">
        <f t="shared" si="96"/>
        <v>0</v>
      </c>
      <c r="O592" s="268">
        <f t="shared" si="97"/>
        <v>0</v>
      </c>
      <c r="P592" s="239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79"/>
      <c r="AB592" s="238"/>
      <c r="AC592" s="196">
        <f t="shared" si="91"/>
        <v>0</v>
      </c>
      <c r="AD592" s="196">
        <f t="shared" si="92"/>
        <v>0</v>
      </c>
      <c r="AE592" s="196">
        <f t="shared" si="93"/>
        <v>0</v>
      </c>
      <c r="AF592" s="2">
        <f t="shared" si="94"/>
        <v>0</v>
      </c>
      <c r="AG592" s="2">
        <f t="shared" si="95"/>
        <v>0</v>
      </c>
    </row>
    <row r="593" spans="1:33">
      <c r="A593" s="20" t="s">
        <v>1374</v>
      </c>
      <c r="B593" s="162" t="s">
        <v>13948</v>
      </c>
      <c r="C593" s="21" t="s">
        <v>94</v>
      </c>
      <c r="D593" s="109" t="s">
        <v>13949</v>
      </c>
      <c r="E593" s="109"/>
      <c r="F593" s="391" t="s">
        <v>13946</v>
      </c>
      <c r="G593" s="23" t="s">
        <v>13950</v>
      </c>
      <c r="H593" s="23" t="s">
        <v>13951</v>
      </c>
      <c r="I593" s="23" t="s">
        <v>13952</v>
      </c>
      <c r="J593" s="23" t="s">
        <v>13953</v>
      </c>
      <c r="K593" s="23"/>
      <c r="L593" s="375"/>
      <c r="M593" s="351" t="s">
        <v>7787</v>
      </c>
      <c r="N593" s="267">
        <f t="shared" si="96"/>
        <v>0</v>
      </c>
      <c r="O593" s="268">
        <f t="shared" si="97"/>
        <v>0</v>
      </c>
      <c r="P593" s="248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91"/>
        <v>0</v>
      </c>
      <c r="AD593" s="196">
        <f t="shared" si="92"/>
        <v>0</v>
      </c>
      <c r="AE593" s="196">
        <f t="shared" si="93"/>
        <v>0</v>
      </c>
      <c r="AF593" s="2">
        <f t="shared" si="94"/>
        <v>0</v>
      </c>
      <c r="AG593" s="2">
        <f t="shared" si="95"/>
        <v>0</v>
      </c>
    </row>
    <row r="594" spans="1:33">
      <c r="A594" s="20" t="s">
        <v>7516</v>
      </c>
      <c r="B594" s="162"/>
      <c r="C594" s="21" t="s">
        <v>94</v>
      </c>
      <c r="D594" s="109" t="s">
        <v>3096</v>
      </c>
      <c r="E594" s="109"/>
      <c r="F594" s="391" t="s">
        <v>13946</v>
      </c>
      <c r="G594" s="23" t="s">
        <v>20244</v>
      </c>
      <c r="H594" s="23" t="s">
        <v>13618</v>
      </c>
      <c r="I594" s="23" t="s">
        <v>13951</v>
      </c>
      <c r="J594" s="23" t="s">
        <v>13970</v>
      </c>
      <c r="K594" s="23" t="s">
        <v>14474</v>
      </c>
      <c r="L594" s="375" t="s">
        <v>7787</v>
      </c>
      <c r="M594" s="351" t="s">
        <v>7787</v>
      </c>
      <c r="N594" s="267">
        <f t="shared" si="96"/>
        <v>0</v>
      </c>
      <c r="O594" s="268">
        <f t="shared" si="97"/>
        <v>0</v>
      </c>
      <c r="P594" s="239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91"/>
        <v>0</v>
      </c>
      <c r="AD594" s="196">
        <f t="shared" si="92"/>
        <v>0</v>
      </c>
      <c r="AE594" s="196">
        <f t="shared" si="93"/>
        <v>0</v>
      </c>
      <c r="AF594" s="2">
        <f t="shared" si="94"/>
        <v>0</v>
      </c>
      <c r="AG594" s="2">
        <f t="shared" si="95"/>
        <v>0</v>
      </c>
    </row>
    <row r="595" spans="1:33">
      <c r="A595" s="20" t="s">
        <v>1375</v>
      </c>
      <c r="B595" s="150"/>
      <c r="C595" s="21" t="s">
        <v>94</v>
      </c>
      <c r="D595" s="109" t="s">
        <v>13955</v>
      </c>
      <c r="E595" s="109"/>
      <c r="F595" s="391" t="s">
        <v>13946</v>
      </c>
      <c r="G595" s="23" t="s">
        <v>13944</v>
      </c>
      <c r="H595" s="23" t="s">
        <v>13601</v>
      </c>
      <c r="I595" s="23" t="s">
        <v>13486</v>
      </c>
      <c r="J595" s="23"/>
      <c r="K595" s="23"/>
      <c r="L595" s="375" t="s">
        <v>7787</v>
      </c>
      <c r="M595" s="351" t="s">
        <v>7787</v>
      </c>
      <c r="N595" s="267">
        <f t="shared" si="96"/>
        <v>0</v>
      </c>
      <c r="O595" s="268">
        <f t="shared" si="97"/>
        <v>0</v>
      </c>
      <c r="P595" s="248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85"/>
      <c r="AB595" s="238"/>
      <c r="AC595" s="196">
        <f t="shared" si="91"/>
        <v>0</v>
      </c>
      <c r="AD595" s="196">
        <f t="shared" si="92"/>
        <v>0</v>
      </c>
      <c r="AE595" s="196">
        <f t="shared" si="93"/>
        <v>0</v>
      </c>
      <c r="AF595" s="2">
        <f t="shared" si="94"/>
        <v>0</v>
      </c>
      <c r="AG595" s="2">
        <f t="shared" si="95"/>
        <v>0</v>
      </c>
    </row>
    <row r="596" spans="1:33">
      <c r="A596" s="20" t="s">
        <v>1377</v>
      </c>
      <c r="B596" s="150"/>
      <c r="C596" s="21" t="s">
        <v>95</v>
      </c>
      <c r="D596" s="109" t="s">
        <v>13949</v>
      </c>
      <c r="E596" s="109"/>
      <c r="F596" s="391" t="s">
        <v>13956</v>
      </c>
      <c r="G596" s="23" t="s">
        <v>13957</v>
      </c>
      <c r="H596" s="23" t="s">
        <v>13958</v>
      </c>
      <c r="I596" s="23" t="s">
        <v>13339</v>
      </c>
      <c r="J596" s="23" t="s">
        <v>14766</v>
      </c>
      <c r="K596" s="23"/>
      <c r="L596" s="375" t="s">
        <v>7787</v>
      </c>
      <c r="M596" s="351" t="s">
        <v>7787</v>
      </c>
      <c r="N596" s="267">
        <f t="shared" si="96"/>
        <v>0</v>
      </c>
      <c r="O596" s="268">
        <f t="shared" si="97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91"/>
        <v>0</v>
      </c>
      <c r="AD596" s="196">
        <f t="shared" si="92"/>
        <v>0</v>
      </c>
      <c r="AE596" s="196">
        <f t="shared" si="93"/>
        <v>0</v>
      </c>
      <c r="AF596" s="2">
        <f t="shared" si="94"/>
        <v>0</v>
      </c>
      <c r="AG596" s="2">
        <f t="shared" si="95"/>
        <v>0</v>
      </c>
    </row>
    <row r="597" spans="1:33">
      <c r="A597" s="20" t="s">
        <v>22781</v>
      </c>
      <c r="B597" s="150"/>
      <c r="C597" s="21" t="s">
        <v>95</v>
      </c>
      <c r="D597" s="109" t="s">
        <v>3096</v>
      </c>
      <c r="E597" s="109" t="s">
        <v>26799</v>
      </c>
      <c r="F597" s="391" t="s">
        <v>4321</v>
      </c>
      <c r="G597" s="23" t="s">
        <v>25903</v>
      </c>
      <c r="H597" s="23" t="s">
        <v>25902</v>
      </c>
      <c r="I597" s="23"/>
      <c r="J597" s="23"/>
      <c r="K597" s="23"/>
      <c r="L597" s="375" t="s">
        <v>45</v>
      </c>
      <c r="M597" s="351" t="s">
        <v>7787</v>
      </c>
      <c r="N597" s="267">
        <f t="shared" si="96"/>
        <v>0</v>
      </c>
      <c r="O597" s="268">
        <f t="shared" si="97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91"/>
        <v>0</v>
      </c>
      <c r="AD597" s="196">
        <f t="shared" si="92"/>
        <v>0</v>
      </c>
      <c r="AE597" s="196">
        <f t="shared" si="93"/>
        <v>0</v>
      </c>
      <c r="AF597" s="2">
        <f t="shared" si="94"/>
        <v>0</v>
      </c>
      <c r="AG597" s="2">
        <f t="shared" si="95"/>
        <v>0</v>
      </c>
    </row>
    <row r="598" spans="1:33">
      <c r="A598" s="20" t="s">
        <v>24011</v>
      </c>
      <c r="B598" s="150"/>
      <c r="C598" s="21" t="s">
        <v>95</v>
      </c>
      <c r="D598" s="109" t="s">
        <v>3096</v>
      </c>
      <c r="E598" s="109" t="s">
        <v>3117</v>
      </c>
      <c r="F598" s="391" t="s">
        <v>4321</v>
      </c>
      <c r="G598" s="23" t="s">
        <v>13493</v>
      </c>
      <c r="H598" s="23"/>
      <c r="I598" s="23"/>
      <c r="J598" s="23"/>
      <c r="K598" s="23"/>
      <c r="L598" s="375" t="s">
        <v>7787</v>
      </c>
      <c r="M598" s="351"/>
      <c r="N598" s="267">
        <f t="shared" si="96"/>
        <v>0</v>
      </c>
      <c r="O598" s="268">
        <f t="shared" si="97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91"/>
        <v>0</v>
      </c>
      <c r="AD598" s="196">
        <f t="shared" si="92"/>
        <v>0</v>
      </c>
      <c r="AE598" s="196">
        <f t="shared" si="93"/>
        <v>0</v>
      </c>
      <c r="AF598" s="2">
        <f t="shared" si="94"/>
        <v>0</v>
      </c>
      <c r="AG598" s="2">
        <f t="shared" si="95"/>
        <v>0</v>
      </c>
    </row>
    <row r="599" spans="1:33">
      <c r="A599" s="20" t="s">
        <v>1751</v>
      </c>
      <c r="B599" s="150"/>
      <c r="C599" s="21" t="s">
        <v>736</v>
      </c>
      <c r="D599" s="109" t="s">
        <v>13949</v>
      </c>
      <c r="E599" s="109"/>
      <c r="F599" s="391" t="s">
        <v>13959</v>
      </c>
      <c r="G599" s="23"/>
      <c r="H599" s="23"/>
      <c r="I599" s="23"/>
      <c r="J599" s="23"/>
      <c r="K599" s="23"/>
      <c r="L599" s="362"/>
      <c r="M599" s="351"/>
      <c r="N599" s="267">
        <f t="shared" si="96"/>
        <v>0</v>
      </c>
      <c r="O599" s="268">
        <f t="shared" si="97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91"/>
        <v>0</v>
      </c>
      <c r="AD599" s="196">
        <f t="shared" si="92"/>
        <v>0</v>
      </c>
      <c r="AE599" s="196">
        <f t="shared" si="93"/>
        <v>0</v>
      </c>
      <c r="AF599" s="2">
        <f t="shared" si="94"/>
        <v>0</v>
      </c>
      <c r="AG599" s="2">
        <f t="shared" si="95"/>
        <v>0</v>
      </c>
    </row>
    <row r="600" spans="1:33">
      <c r="A600" s="20" t="s">
        <v>1378</v>
      </c>
      <c r="B600" s="150"/>
      <c r="C600" s="21" t="s">
        <v>96</v>
      </c>
      <c r="D600" s="109" t="s">
        <v>13908</v>
      </c>
      <c r="E600" s="109" t="s">
        <v>13925</v>
      </c>
      <c r="F600" s="391" t="s">
        <v>13960</v>
      </c>
      <c r="G600" s="23"/>
      <c r="H600" s="23"/>
      <c r="I600" s="23"/>
      <c r="J600" s="23"/>
      <c r="K600" s="23"/>
      <c r="L600" s="350"/>
      <c r="M600" s="351"/>
      <c r="N600" s="267">
        <f t="shared" si="96"/>
        <v>0</v>
      </c>
      <c r="O600" s="268">
        <f t="shared" si="97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91"/>
        <v>0</v>
      </c>
      <c r="AD600" s="196">
        <f t="shared" si="92"/>
        <v>0</v>
      </c>
      <c r="AE600" s="196">
        <f t="shared" si="93"/>
        <v>0</v>
      </c>
      <c r="AF600" s="2">
        <f t="shared" si="94"/>
        <v>0</v>
      </c>
      <c r="AG600" s="2">
        <f t="shared" si="95"/>
        <v>0</v>
      </c>
    </row>
    <row r="601" spans="1:33">
      <c r="A601" s="20" t="s">
        <v>1379</v>
      </c>
      <c r="B601" s="150"/>
      <c r="C601" s="21" t="s">
        <v>96</v>
      </c>
      <c r="D601" s="109" t="s">
        <v>13908</v>
      </c>
      <c r="E601" s="109" t="s">
        <v>13633</v>
      </c>
      <c r="F601" s="391" t="s">
        <v>13960</v>
      </c>
      <c r="G601" s="23"/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6"/>
        <v>0</v>
      </c>
      <c r="O601" s="268">
        <f t="shared" si="97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91"/>
        <v>0</v>
      </c>
      <c r="AD601" s="196">
        <f t="shared" si="92"/>
        <v>0</v>
      </c>
      <c r="AE601" s="196">
        <f t="shared" si="93"/>
        <v>0</v>
      </c>
      <c r="AF601" s="2">
        <f t="shared" si="94"/>
        <v>0</v>
      </c>
      <c r="AG601" s="2">
        <f t="shared" si="95"/>
        <v>0</v>
      </c>
    </row>
    <row r="602" spans="1:33">
      <c r="A602" s="20" t="s">
        <v>18900</v>
      </c>
      <c r="B602" s="150"/>
      <c r="C602" s="21" t="s">
        <v>96</v>
      </c>
      <c r="D602" s="109" t="s">
        <v>3088</v>
      </c>
      <c r="E602" s="109" t="s">
        <v>19031</v>
      </c>
      <c r="F602" s="391" t="s">
        <v>4322</v>
      </c>
      <c r="G602" s="23" t="s">
        <v>13928</v>
      </c>
      <c r="H602" s="23"/>
      <c r="I602" s="23"/>
      <c r="J602" s="23"/>
      <c r="K602" s="23"/>
      <c r="L602" s="375" t="s">
        <v>7787</v>
      </c>
      <c r="M602" s="351" t="s">
        <v>7787</v>
      </c>
      <c r="N602" s="267">
        <f t="shared" si="96"/>
        <v>0</v>
      </c>
      <c r="O602" s="268">
        <f t="shared" si="97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91"/>
        <v>0</v>
      </c>
      <c r="AD602" s="196">
        <f t="shared" si="92"/>
        <v>0</v>
      </c>
      <c r="AE602" s="196">
        <f t="shared" si="93"/>
        <v>0</v>
      </c>
      <c r="AF602" s="2">
        <f t="shared" si="94"/>
        <v>0</v>
      </c>
      <c r="AG602" s="2">
        <f t="shared" si="95"/>
        <v>0</v>
      </c>
    </row>
    <row r="603" spans="1:33">
      <c r="A603" s="20" t="s">
        <v>1380</v>
      </c>
      <c r="B603" s="150"/>
      <c r="C603" s="21" t="s">
        <v>96</v>
      </c>
      <c r="D603" s="109" t="s">
        <v>13551</v>
      </c>
      <c r="E603" s="109"/>
      <c r="F603" s="391" t="s">
        <v>13960</v>
      </c>
      <c r="G603" s="23" t="s">
        <v>13662</v>
      </c>
      <c r="H603" s="23"/>
      <c r="I603" s="23"/>
      <c r="J603" s="23"/>
      <c r="K603" s="23"/>
      <c r="L603" s="350"/>
      <c r="M603" s="351" t="s">
        <v>7787</v>
      </c>
      <c r="N603" s="267">
        <f t="shared" si="96"/>
        <v>0</v>
      </c>
      <c r="O603" s="268">
        <f t="shared" si="97"/>
        <v>0</v>
      </c>
      <c r="P603" s="239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79"/>
      <c r="AB603" s="238"/>
      <c r="AC603" s="196">
        <f t="shared" si="91"/>
        <v>0</v>
      </c>
      <c r="AD603" s="196">
        <f t="shared" si="92"/>
        <v>0</v>
      </c>
      <c r="AE603" s="196">
        <f t="shared" si="93"/>
        <v>0</v>
      </c>
      <c r="AF603" s="2">
        <f t="shared" si="94"/>
        <v>0</v>
      </c>
      <c r="AG603" s="2">
        <f t="shared" si="95"/>
        <v>0</v>
      </c>
    </row>
    <row r="604" spans="1:33">
      <c r="A604" s="20" t="s">
        <v>1381</v>
      </c>
      <c r="B604" s="150"/>
      <c r="C604" s="21" t="s">
        <v>96</v>
      </c>
      <c r="D604" s="109" t="s">
        <v>13553</v>
      </c>
      <c r="E604" s="109" t="s">
        <v>25418</v>
      </c>
      <c r="F604" s="391" t="s">
        <v>13960</v>
      </c>
      <c r="G604" s="23" t="s">
        <v>13961</v>
      </c>
      <c r="H604" s="23" t="s">
        <v>16982</v>
      </c>
      <c r="I604" s="23" t="s">
        <v>13962</v>
      </c>
      <c r="J604" s="23" t="s">
        <v>13963</v>
      </c>
      <c r="K604" s="23" t="s">
        <v>13964</v>
      </c>
      <c r="L604" s="375"/>
      <c r="M604" s="351"/>
      <c r="N604" s="267">
        <f t="shared" si="96"/>
        <v>0</v>
      </c>
      <c r="O604" s="268">
        <f t="shared" si="97"/>
        <v>0</v>
      </c>
      <c r="P604" s="240"/>
      <c r="Q604" s="239"/>
      <c r="R604" s="239"/>
      <c r="S604" s="239"/>
      <c r="T604" s="239"/>
      <c r="U604" s="240"/>
      <c r="V604" s="240"/>
      <c r="W604" s="240"/>
      <c r="X604" s="278"/>
      <c r="Y604" s="237"/>
      <c r="Z604" s="237"/>
      <c r="AA604" s="285"/>
      <c r="AB604" s="238"/>
      <c r="AC604" s="196">
        <f t="shared" si="91"/>
        <v>0</v>
      </c>
      <c r="AD604" s="196">
        <f t="shared" si="92"/>
        <v>0</v>
      </c>
      <c r="AE604" s="196">
        <f t="shared" si="93"/>
        <v>0</v>
      </c>
      <c r="AF604" s="2">
        <f t="shared" si="94"/>
        <v>0</v>
      </c>
      <c r="AG604" s="2">
        <f t="shared" si="95"/>
        <v>0</v>
      </c>
    </row>
    <row r="605" spans="1:33">
      <c r="A605" s="20" t="s">
        <v>24139</v>
      </c>
      <c r="B605" s="150"/>
      <c r="C605" s="21" t="s">
        <v>96</v>
      </c>
      <c r="D605" s="109" t="s">
        <v>3096</v>
      </c>
      <c r="E605" s="109" t="s">
        <v>3128</v>
      </c>
      <c r="F605" s="391" t="s">
        <v>4322</v>
      </c>
      <c r="G605" s="23" t="s">
        <v>21185</v>
      </c>
      <c r="H605" s="23" t="s">
        <v>25661</v>
      </c>
      <c r="I605" s="23" t="s">
        <v>13962</v>
      </c>
      <c r="J605" s="23"/>
      <c r="K605" s="23"/>
      <c r="L605" s="375"/>
      <c r="M605" s="351" t="s">
        <v>45</v>
      </c>
      <c r="N605" s="267">
        <f t="shared" ref="N605" si="98">SUM(L605:M605)</f>
        <v>0</v>
      </c>
      <c r="O605" s="268">
        <f t="shared" ref="O605" si="99">SUM(P605:Z605)</f>
        <v>400</v>
      </c>
      <c r="P605" s="248"/>
      <c r="Q605" s="239"/>
      <c r="R605" s="239"/>
      <c r="S605" s="239"/>
      <c r="T605" s="239"/>
      <c r="U605" s="240">
        <f>2350-2300+2900+450-3000</f>
        <v>400</v>
      </c>
      <c r="V605" s="240"/>
      <c r="W605" s="240"/>
      <c r="X605" s="278"/>
      <c r="Y605" s="237"/>
      <c r="Z605" s="237"/>
      <c r="AA605" s="285"/>
      <c r="AB605" s="238" t="s">
        <v>27872</v>
      </c>
      <c r="AC605" s="196">
        <f t="shared" si="91"/>
        <v>400</v>
      </c>
      <c r="AD605" s="196">
        <f t="shared" si="92"/>
        <v>400</v>
      </c>
      <c r="AE605" s="196">
        <f t="shared" si="93"/>
        <v>0</v>
      </c>
      <c r="AF605" s="2">
        <f t="shared" si="94"/>
        <v>400</v>
      </c>
      <c r="AG605" s="2">
        <f t="shared" si="95"/>
        <v>0</v>
      </c>
    </row>
    <row r="606" spans="1:33">
      <c r="A606" s="20" t="s">
        <v>1382</v>
      </c>
      <c r="B606" s="150"/>
      <c r="C606" s="21" t="s">
        <v>97</v>
      </c>
      <c r="D606" s="109" t="s">
        <v>13228</v>
      </c>
      <c r="E606" s="109"/>
      <c r="F606" s="391" t="s">
        <v>13965</v>
      </c>
      <c r="G606" s="23" t="s">
        <v>13966</v>
      </c>
      <c r="H606" s="23"/>
      <c r="I606" s="23"/>
      <c r="J606" s="23"/>
      <c r="K606" s="23"/>
      <c r="L606" s="375" t="s">
        <v>7787</v>
      </c>
      <c r="M606" s="351"/>
      <c r="N606" s="267">
        <f t="shared" si="96"/>
        <v>0</v>
      </c>
      <c r="O606" s="268">
        <f t="shared" si="97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91"/>
        <v>0</v>
      </c>
      <c r="AD606" s="196">
        <f t="shared" si="92"/>
        <v>0</v>
      </c>
      <c r="AE606" s="196">
        <f t="shared" si="93"/>
        <v>0</v>
      </c>
      <c r="AF606" s="2">
        <f t="shared" si="94"/>
        <v>0</v>
      </c>
      <c r="AG606" s="2">
        <f t="shared" si="95"/>
        <v>0</v>
      </c>
    </row>
    <row r="607" spans="1:33">
      <c r="A607" s="20" t="s">
        <v>1383</v>
      </c>
      <c r="B607" s="150"/>
      <c r="C607" s="21" t="s">
        <v>98</v>
      </c>
      <c r="D607" s="109" t="s">
        <v>13228</v>
      </c>
      <c r="E607" s="109"/>
      <c r="F607" s="391" t="s">
        <v>13967</v>
      </c>
      <c r="G607" s="23" t="s">
        <v>13968</v>
      </c>
      <c r="H607" s="23"/>
      <c r="I607" s="23"/>
      <c r="J607" s="23"/>
      <c r="K607" s="23"/>
      <c r="L607" s="350"/>
      <c r="M607" s="351"/>
      <c r="N607" s="267">
        <f t="shared" si="96"/>
        <v>0</v>
      </c>
      <c r="O607" s="268">
        <f t="shared" si="97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91"/>
        <v>0</v>
      </c>
      <c r="AD607" s="196">
        <f t="shared" si="92"/>
        <v>0</v>
      </c>
      <c r="AE607" s="196">
        <f t="shared" si="93"/>
        <v>0</v>
      </c>
      <c r="AF607" s="2">
        <f t="shared" si="94"/>
        <v>0</v>
      </c>
      <c r="AG607" s="2">
        <f t="shared" si="95"/>
        <v>0</v>
      </c>
    </row>
    <row r="608" spans="1:33">
      <c r="A608" s="20" t="s">
        <v>1384</v>
      </c>
      <c r="B608" s="150"/>
      <c r="C608" s="21" t="s">
        <v>98</v>
      </c>
      <c r="D608" s="109" t="s">
        <v>13207</v>
      </c>
      <c r="E608" s="109" t="s">
        <v>13969</v>
      </c>
      <c r="F608" s="391" t="s">
        <v>13967</v>
      </c>
      <c r="G608" s="23" t="s">
        <v>13970</v>
      </c>
      <c r="H608" s="23"/>
      <c r="I608" s="23"/>
      <c r="J608" s="23"/>
      <c r="K608" s="23"/>
      <c r="L608" s="350"/>
      <c r="M608" s="351"/>
      <c r="N608" s="267">
        <f t="shared" si="96"/>
        <v>0</v>
      </c>
      <c r="O608" s="268">
        <f t="shared" si="97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91"/>
        <v>0</v>
      </c>
      <c r="AD608" s="196">
        <f t="shared" si="92"/>
        <v>0</v>
      </c>
      <c r="AE608" s="196">
        <f t="shared" si="93"/>
        <v>0</v>
      </c>
      <c r="AF608" s="2">
        <f t="shared" si="94"/>
        <v>0</v>
      </c>
      <c r="AG608" s="2">
        <f t="shared" si="95"/>
        <v>0</v>
      </c>
    </row>
    <row r="609" spans="1:33">
      <c r="A609" s="20" t="s">
        <v>1385</v>
      </c>
      <c r="B609" s="150"/>
      <c r="C609" s="21" t="s">
        <v>98</v>
      </c>
      <c r="D609" s="109" t="s">
        <v>13207</v>
      </c>
      <c r="E609" s="109" t="s">
        <v>13971</v>
      </c>
      <c r="F609" s="391" t="s">
        <v>13967</v>
      </c>
      <c r="G609" s="23" t="s">
        <v>13972</v>
      </c>
      <c r="H609" s="23" t="s">
        <v>13970</v>
      </c>
      <c r="I609" s="23"/>
      <c r="J609" s="23"/>
      <c r="K609" s="23"/>
      <c r="L609" s="350"/>
      <c r="M609" s="351"/>
      <c r="N609" s="267">
        <f t="shared" si="96"/>
        <v>0</v>
      </c>
      <c r="O609" s="268">
        <f t="shared" si="97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91"/>
        <v>0</v>
      </c>
      <c r="AD609" s="196">
        <f t="shared" si="92"/>
        <v>0</v>
      </c>
      <c r="AE609" s="196">
        <f t="shared" si="93"/>
        <v>0</v>
      </c>
      <c r="AF609" s="2">
        <f t="shared" si="94"/>
        <v>0</v>
      </c>
      <c r="AG609" s="2">
        <f t="shared" si="95"/>
        <v>0</v>
      </c>
    </row>
    <row r="610" spans="1:33">
      <c r="A610" s="20" t="s">
        <v>1388</v>
      </c>
      <c r="B610" s="150"/>
      <c r="C610" s="21" t="s">
        <v>99</v>
      </c>
      <c r="D610" s="109" t="s">
        <v>13973</v>
      </c>
      <c r="E610" s="109" t="s">
        <v>13210</v>
      </c>
      <c r="F610" s="391" t="s">
        <v>13974</v>
      </c>
      <c r="G610" s="23"/>
      <c r="H610" s="23"/>
      <c r="I610" s="23"/>
      <c r="J610" s="23"/>
      <c r="K610" s="23"/>
      <c r="L610" s="350"/>
      <c r="M610" s="351"/>
      <c r="N610" s="267">
        <f t="shared" si="96"/>
        <v>0</v>
      </c>
      <c r="O610" s="268">
        <f t="shared" si="97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91"/>
        <v>0</v>
      </c>
      <c r="AD610" s="196">
        <f t="shared" si="92"/>
        <v>0</v>
      </c>
      <c r="AE610" s="196">
        <f t="shared" si="93"/>
        <v>0</v>
      </c>
      <c r="AF610" s="2">
        <f t="shared" si="94"/>
        <v>0</v>
      </c>
      <c r="AG610" s="2">
        <f t="shared" si="95"/>
        <v>0</v>
      </c>
    </row>
    <row r="611" spans="1:33">
      <c r="A611" s="20" t="s">
        <v>1386</v>
      </c>
      <c r="B611" s="150"/>
      <c r="C611" s="21" t="s">
        <v>99</v>
      </c>
      <c r="D611" s="109" t="s">
        <v>13228</v>
      </c>
      <c r="E611" s="109"/>
      <c r="F611" s="391" t="s">
        <v>13974</v>
      </c>
      <c r="G611" s="23" t="s">
        <v>13975</v>
      </c>
      <c r="H611" s="23" t="s">
        <v>13976</v>
      </c>
      <c r="I611" s="23" t="s">
        <v>13977</v>
      </c>
      <c r="J611" s="23" t="s">
        <v>18093</v>
      </c>
      <c r="K611" s="23"/>
      <c r="L611" s="375"/>
      <c r="M611" s="351" t="s">
        <v>7787</v>
      </c>
      <c r="N611" s="267">
        <f t="shared" si="96"/>
        <v>0</v>
      </c>
      <c r="O611" s="268">
        <f t="shared" si="97"/>
        <v>0</v>
      </c>
      <c r="P611" s="239"/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/>
      <c r="AC611" s="196">
        <f t="shared" si="91"/>
        <v>0</v>
      </c>
      <c r="AD611" s="196">
        <f t="shared" si="92"/>
        <v>0</v>
      </c>
      <c r="AE611" s="196">
        <f t="shared" si="93"/>
        <v>0</v>
      </c>
      <c r="AF611" s="2">
        <f t="shared" si="94"/>
        <v>0</v>
      </c>
      <c r="AG611" s="2">
        <f t="shared" si="95"/>
        <v>0</v>
      </c>
    </row>
    <row r="612" spans="1:33">
      <c r="A612" s="20" t="s">
        <v>1387</v>
      </c>
      <c r="B612" s="150"/>
      <c r="C612" s="21" t="s">
        <v>99</v>
      </c>
      <c r="D612" s="109" t="s">
        <v>13207</v>
      </c>
      <c r="E612" s="109"/>
      <c r="F612" s="391" t="s">
        <v>13974</v>
      </c>
      <c r="G612" s="23" t="s">
        <v>13978</v>
      </c>
      <c r="H612" s="23"/>
      <c r="I612" s="23"/>
      <c r="J612" s="23"/>
      <c r="K612" s="23"/>
      <c r="L612" s="375" t="s">
        <v>45</v>
      </c>
      <c r="M612" s="351" t="s">
        <v>7787</v>
      </c>
      <c r="N612" s="267">
        <f t="shared" si="96"/>
        <v>0</v>
      </c>
      <c r="O612" s="268">
        <f t="shared" si="97"/>
        <v>100</v>
      </c>
      <c r="P612" s="239">
        <f>600-500</f>
        <v>100</v>
      </c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 t="s">
        <v>26620</v>
      </c>
      <c r="AC612" s="196">
        <f t="shared" si="91"/>
        <v>100</v>
      </c>
      <c r="AD612" s="196">
        <f t="shared" si="92"/>
        <v>100</v>
      </c>
      <c r="AE612" s="196">
        <f t="shared" si="93"/>
        <v>0</v>
      </c>
      <c r="AF612" s="2">
        <f t="shared" si="94"/>
        <v>100</v>
      </c>
      <c r="AG612" s="2">
        <f t="shared" si="95"/>
        <v>0</v>
      </c>
    </row>
    <row r="613" spans="1:33">
      <c r="A613" s="20" t="s">
        <v>1389</v>
      </c>
      <c r="B613" s="150"/>
      <c r="C613" s="21" t="s">
        <v>100</v>
      </c>
      <c r="D613" s="109" t="s">
        <v>13228</v>
      </c>
      <c r="E613" s="109"/>
      <c r="F613" s="391" t="s">
        <v>19329</v>
      </c>
      <c r="G613" s="23" t="s">
        <v>13979</v>
      </c>
      <c r="H613" s="23" t="s">
        <v>13980</v>
      </c>
      <c r="I613" s="23"/>
      <c r="J613" s="23"/>
      <c r="K613" s="23"/>
      <c r="L613" s="375" t="s">
        <v>7787</v>
      </c>
      <c r="M613" s="351" t="s">
        <v>7787</v>
      </c>
      <c r="N613" s="267">
        <f t="shared" si="96"/>
        <v>0</v>
      </c>
      <c r="O613" s="268">
        <f t="shared" si="97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91"/>
        <v>0</v>
      </c>
      <c r="AD613" s="196">
        <f t="shared" si="92"/>
        <v>0</v>
      </c>
      <c r="AE613" s="196">
        <f t="shared" si="93"/>
        <v>0</v>
      </c>
      <c r="AF613" s="2">
        <f t="shared" si="94"/>
        <v>0</v>
      </c>
      <c r="AG613" s="2">
        <f t="shared" si="95"/>
        <v>0</v>
      </c>
    </row>
    <row r="614" spans="1:33">
      <c r="A614" s="20" t="s">
        <v>1390</v>
      </c>
      <c r="B614" s="150"/>
      <c r="C614" s="21" t="s">
        <v>101</v>
      </c>
      <c r="D614" s="109" t="s">
        <v>13207</v>
      </c>
      <c r="E614" s="109"/>
      <c r="F614" s="391" t="s">
        <v>13981</v>
      </c>
      <c r="G614" s="23" t="s">
        <v>13982</v>
      </c>
      <c r="H614" s="23"/>
      <c r="I614" s="23"/>
      <c r="J614" s="23"/>
      <c r="K614" s="23"/>
      <c r="L614" s="375" t="s">
        <v>7787</v>
      </c>
      <c r="M614" s="351" t="s">
        <v>7787</v>
      </c>
      <c r="N614" s="267">
        <f t="shared" si="96"/>
        <v>0</v>
      </c>
      <c r="O614" s="268">
        <f t="shared" si="97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91"/>
        <v>0</v>
      </c>
      <c r="AD614" s="196">
        <f t="shared" si="92"/>
        <v>0</v>
      </c>
      <c r="AE614" s="196">
        <f t="shared" si="93"/>
        <v>0</v>
      </c>
      <c r="AF614" s="2">
        <f t="shared" si="94"/>
        <v>0</v>
      </c>
      <c r="AG614" s="2">
        <f t="shared" si="95"/>
        <v>0</v>
      </c>
    </row>
    <row r="615" spans="1:33">
      <c r="A615" s="20" t="s">
        <v>1391</v>
      </c>
      <c r="B615" s="150"/>
      <c r="C615" s="21" t="s">
        <v>102</v>
      </c>
      <c r="D615" s="109" t="s">
        <v>13228</v>
      </c>
      <c r="E615" s="109"/>
      <c r="F615" s="391" t="s">
        <v>13983</v>
      </c>
      <c r="G615" s="23"/>
      <c r="H615" s="23"/>
      <c r="I615" s="23"/>
      <c r="J615" s="23"/>
      <c r="K615" s="23"/>
      <c r="L615" s="350"/>
      <c r="M615" s="351"/>
      <c r="N615" s="267">
        <f t="shared" si="96"/>
        <v>0</v>
      </c>
      <c r="O615" s="268">
        <f t="shared" si="97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91"/>
        <v>0</v>
      </c>
      <c r="AD615" s="196">
        <f t="shared" si="92"/>
        <v>0</v>
      </c>
      <c r="AE615" s="196">
        <f t="shared" si="93"/>
        <v>0</v>
      </c>
      <c r="AF615" s="2">
        <f t="shared" si="94"/>
        <v>0</v>
      </c>
      <c r="AG615" s="2">
        <f t="shared" si="95"/>
        <v>0</v>
      </c>
    </row>
    <row r="616" spans="1:33">
      <c r="A616" s="20" t="s">
        <v>1392</v>
      </c>
      <c r="B616" s="150"/>
      <c r="C616" s="21" t="s">
        <v>103</v>
      </c>
      <c r="D616" s="109" t="s">
        <v>13228</v>
      </c>
      <c r="E616" s="109"/>
      <c r="F616" s="391" t="s">
        <v>13984</v>
      </c>
      <c r="G616" s="23"/>
      <c r="H616" s="23"/>
      <c r="I616" s="23"/>
      <c r="J616" s="23"/>
      <c r="K616" s="23"/>
      <c r="L616" s="350"/>
      <c r="M616" s="351"/>
      <c r="N616" s="267">
        <f t="shared" si="96"/>
        <v>0</v>
      </c>
      <c r="O616" s="268">
        <f t="shared" si="97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91"/>
        <v>0</v>
      </c>
      <c r="AD616" s="196">
        <f t="shared" si="92"/>
        <v>0</v>
      </c>
      <c r="AE616" s="196">
        <f t="shared" si="93"/>
        <v>0</v>
      </c>
      <c r="AF616" s="2">
        <f t="shared" si="94"/>
        <v>0</v>
      </c>
      <c r="AG616" s="2">
        <f t="shared" si="95"/>
        <v>0</v>
      </c>
    </row>
    <row r="617" spans="1:33">
      <c r="A617" s="20" t="s">
        <v>18748</v>
      </c>
      <c r="B617" s="150"/>
      <c r="C617" s="21" t="s">
        <v>18815</v>
      </c>
      <c r="D617" s="109" t="s">
        <v>4064</v>
      </c>
      <c r="E617" s="109"/>
      <c r="F617" s="391" t="s">
        <v>18817</v>
      </c>
      <c r="G617" s="412" t="s">
        <v>18816</v>
      </c>
      <c r="H617" s="23"/>
      <c r="I617" s="23"/>
      <c r="J617" s="23"/>
      <c r="K617" s="23"/>
      <c r="L617" s="375" t="s">
        <v>7787</v>
      </c>
      <c r="M617" s="351" t="s">
        <v>7787</v>
      </c>
      <c r="N617" s="267">
        <f t="shared" si="96"/>
        <v>0</v>
      </c>
      <c r="O617" s="268">
        <f t="shared" si="97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91"/>
        <v>0</v>
      </c>
      <c r="AD617" s="196">
        <f t="shared" si="92"/>
        <v>0</v>
      </c>
      <c r="AE617" s="196">
        <f t="shared" si="93"/>
        <v>0</v>
      </c>
      <c r="AF617" s="2">
        <f t="shared" si="94"/>
        <v>0</v>
      </c>
      <c r="AG617" s="2">
        <f t="shared" si="95"/>
        <v>0</v>
      </c>
    </row>
    <row r="618" spans="1:33">
      <c r="A618" s="20" t="s">
        <v>1393</v>
      </c>
      <c r="B618" s="150"/>
      <c r="C618" s="21" t="s">
        <v>104</v>
      </c>
      <c r="D618" s="109" t="s">
        <v>13228</v>
      </c>
      <c r="E618" s="109"/>
      <c r="F618" s="391" t="s">
        <v>13985</v>
      </c>
      <c r="G618" s="23" t="s">
        <v>13986</v>
      </c>
      <c r="H618" s="23" t="s">
        <v>19028</v>
      </c>
      <c r="I618" s="23"/>
      <c r="J618" s="23"/>
      <c r="K618" s="23"/>
      <c r="L618" s="375" t="s">
        <v>7787</v>
      </c>
      <c r="M618" s="351"/>
      <c r="N618" s="267">
        <f t="shared" si="96"/>
        <v>0</v>
      </c>
      <c r="O618" s="268">
        <f t="shared" si="97"/>
        <v>0</v>
      </c>
      <c r="P618" s="239"/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/>
      <c r="AC618" s="196">
        <f t="shared" si="91"/>
        <v>0</v>
      </c>
      <c r="AD618" s="196">
        <f t="shared" si="92"/>
        <v>0</v>
      </c>
      <c r="AE618" s="196">
        <f t="shared" si="93"/>
        <v>0</v>
      </c>
      <c r="AF618" s="2">
        <f t="shared" si="94"/>
        <v>0</v>
      </c>
      <c r="AG618" s="2">
        <f t="shared" si="95"/>
        <v>0</v>
      </c>
    </row>
    <row r="619" spans="1:33">
      <c r="A619" s="20" t="s">
        <v>1395</v>
      </c>
      <c r="B619" s="150"/>
      <c r="C619" s="21" t="s">
        <v>105</v>
      </c>
      <c r="D619" s="109" t="s">
        <v>13228</v>
      </c>
      <c r="E619" s="109"/>
      <c r="F619" s="391" t="s">
        <v>13987</v>
      </c>
      <c r="G619" s="23" t="s">
        <v>13988</v>
      </c>
      <c r="H619" s="23" t="s">
        <v>13989</v>
      </c>
      <c r="I619" s="23" t="s">
        <v>13249</v>
      </c>
      <c r="J619" s="23" t="s">
        <v>27017</v>
      </c>
      <c r="K619" s="23"/>
      <c r="L619" s="375" t="s">
        <v>45</v>
      </c>
      <c r="M619" s="351" t="s">
        <v>7787</v>
      </c>
      <c r="N619" s="267">
        <f t="shared" si="96"/>
        <v>0</v>
      </c>
      <c r="O619" s="268">
        <f t="shared" si="97"/>
        <v>100</v>
      </c>
      <c r="P619" s="239">
        <f>600-500</f>
        <v>100</v>
      </c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 t="s">
        <v>27013</v>
      </c>
      <c r="AC619" s="196">
        <f t="shared" si="91"/>
        <v>100</v>
      </c>
      <c r="AD619" s="196">
        <f t="shared" si="92"/>
        <v>100</v>
      </c>
      <c r="AE619" s="196">
        <f t="shared" si="93"/>
        <v>0</v>
      </c>
      <c r="AF619" s="2">
        <f t="shared" si="94"/>
        <v>100</v>
      </c>
      <c r="AG619" s="2">
        <f t="shared" si="95"/>
        <v>0</v>
      </c>
    </row>
    <row r="620" spans="1:33">
      <c r="A620" s="20" t="s">
        <v>1394</v>
      </c>
      <c r="B620" s="150"/>
      <c r="C620" s="21" t="s">
        <v>105</v>
      </c>
      <c r="D620" s="109" t="s">
        <v>13207</v>
      </c>
      <c r="E620" s="109"/>
      <c r="F620" s="391" t="s">
        <v>13987</v>
      </c>
      <c r="G620" s="23"/>
      <c r="H620" s="23"/>
      <c r="I620" s="23"/>
      <c r="J620" s="23"/>
      <c r="K620" s="23"/>
      <c r="L620" s="375" t="s">
        <v>7787</v>
      </c>
      <c r="M620" s="351" t="s">
        <v>7787</v>
      </c>
      <c r="N620" s="267">
        <f t="shared" si="96"/>
        <v>0</v>
      </c>
      <c r="O620" s="268">
        <f t="shared" si="97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79"/>
      <c r="AB620" s="238"/>
      <c r="AC620" s="196">
        <f t="shared" si="91"/>
        <v>0</v>
      </c>
      <c r="AD620" s="196">
        <f t="shared" si="92"/>
        <v>0</v>
      </c>
      <c r="AE620" s="196">
        <f t="shared" si="93"/>
        <v>0</v>
      </c>
      <c r="AF620" s="2">
        <f t="shared" si="94"/>
        <v>0</v>
      </c>
      <c r="AG620" s="2">
        <f t="shared" si="95"/>
        <v>0</v>
      </c>
    </row>
    <row r="621" spans="1:33">
      <c r="A621" s="20" t="s">
        <v>1396</v>
      </c>
      <c r="B621" s="150"/>
      <c r="C621" s="21" t="s">
        <v>106</v>
      </c>
      <c r="D621" s="109" t="s">
        <v>13228</v>
      </c>
      <c r="E621" s="109"/>
      <c r="F621" s="391" t="s">
        <v>13990</v>
      </c>
      <c r="G621" s="23" t="s">
        <v>13495</v>
      </c>
      <c r="H621" s="23"/>
      <c r="I621" s="23"/>
      <c r="J621" s="23"/>
      <c r="K621" s="23"/>
      <c r="L621" s="375" t="s">
        <v>7787</v>
      </c>
      <c r="M621" s="351"/>
      <c r="N621" s="267">
        <f t="shared" si="96"/>
        <v>0</v>
      </c>
      <c r="O621" s="268">
        <f t="shared" si="97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85"/>
      <c r="AB621" s="238"/>
      <c r="AC621" s="196">
        <f t="shared" si="91"/>
        <v>0</v>
      </c>
      <c r="AD621" s="196">
        <f t="shared" si="92"/>
        <v>0</v>
      </c>
      <c r="AE621" s="196">
        <f t="shared" si="93"/>
        <v>0</v>
      </c>
      <c r="AF621" s="2">
        <f t="shared" si="94"/>
        <v>0</v>
      </c>
      <c r="AG621" s="2">
        <f t="shared" si="95"/>
        <v>0</v>
      </c>
    </row>
    <row r="622" spans="1:33">
      <c r="A622" s="20" t="s">
        <v>1398</v>
      </c>
      <c r="B622" s="150"/>
      <c r="C622" s="21" t="s">
        <v>107</v>
      </c>
      <c r="D622" s="109" t="s">
        <v>13991</v>
      </c>
      <c r="E622" s="109" t="s">
        <v>13992</v>
      </c>
      <c r="F622" s="391" t="s">
        <v>13993</v>
      </c>
      <c r="G622" s="23"/>
      <c r="H622" s="23"/>
      <c r="I622" s="23"/>
      <c r="J622" s="23"/>
      <c r="K622" s="23"/>
      <c r="L622" s="350"/>
      <c r="M622" s="351"/>
      <c r="N622" s="267">
        <f t="shared" si="96"/>
        <v>0</v>
      </c>
      <c r="O622" s="268">
        <f t="shared" si="97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91"/>
        <v>0</v>
      </c>
      <c r="AD622" s="196">
        <f t="shared" si="92"/>
        <v>0</v>
      </c>
      <c r="AE622" s="196">
        <f t="shared" si="93"/>
        <v>0</v>
      </c>
      <c r="AF622" s="2">
        <f t="shared" si="94"/>
        <v>0</v>
      </c>
      <c r="AG622" s="2">
        <f t="shared" si="95"/>
        <v>0</v>
      </c>
    </row>
    <row r="623" spans="1:33">
      <c r="A623" s="20" t="s">
        <v>1397</v>
      </c>
      <c r="B623" s="161"/>
      <c r="C623" s="21" t="s">
        <v>107</v>
      </c>
      <c r="D623" s="109" t="s">
        <v>13991</v>
      </c>
      <c r="E623" s="109" t="s">
        <v>13994</v>
      </c>
      <c r="F623" s="391" t="s">
        <v>13993</v>
      </c>
      <c r="G623" s="23"/>
      <c r="H623" s="23"/>
      <c r="I623" s="23"/>
      <c r="J623" s="23"/>
      <c r="K623" s="23"/>
      <c r="L623" s="350"/>
      <c r="M623" s="351" t="s">
        <v>7787</v>
      </c>
      <c r="N623" s="267">
        <f t="shared" si="96"/>
        <v>0</v>
      </c>
      <c r="O623" s="268">
        <f t="shared" si="97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91"/>
        <v>0</v>
      </c>
      <c r="AD623" s="196">
        <f t="shared" si="92"/>
        <v>0</v>
      </c>
      <c r="AE623" s="196">
        <f t="shared" si="93"/>
        <v>0</v>
      </c>
      <c r="AF623" s="2">
        <f t="shared" si="94"/>
        <v>0</v>
      </c>
      <c r="AG623" s="2">
        <f t="shared" si="95"/>
        <v>0</v>
      </c>
    </row>
    <row r="624" spans="1:33">
      <c r="A624" s="20" t="s">
        <v>19879</v>
      </c>
      <c r="B624" s="150"/>
      <c r="C624" s="21" t="s">
        <v>107</v>
      </c>
      <c r="D624" s="109" t="s">
        <v>3088</v>
      </c>
      <c r="E624" s="109" t="s">
        <v>19346</v>
      </c>
      <c r="F624" s="391" t="s">
        <v>4332</v>
      </c>
      <c r="G624" s="23"/>
      <c r="H624" s="23"/>
      <c r="I624" s="23"/>
      <c r="J624" s="23"/>
      <c r="K624" s="23"/>
      <c r="L624" s="375" t="s">
        <v>7787</v>
      </c>
      <c r="M624" s="351" t="s">
        <v>7787</v>
      </c>
      <c r="N624" s="267">
        <f t="shared" si="96"/>
        <v>0</v>
      </c>
      <c r="O624" s="268">
        <f t="shared" si="97"/>
        <v>0</v>
      </c>
      <c r="P624" s="239"/>
      <c r="Q624" s="239"/>
      <c r="R624" s="239"/>
      <c r="S624" s="239"/>
      <c r="T624" s="239"/>
      <c r="U624" s="240"/>
      <c r="V624" s="240"/>
      <c r="W624" s="240"/>
      <c r="X624" s="278"/>
      <c r="Y624" s="237"/>
      <c r="Z624" s="237"/>
      <c r="AA624" s="279"/>
      <c r="AB624" s="238"/>
      <c r="AC624" s="196">
        <f t="shared" si="91"/>
        <v>0</v>
      </c>
      <c r="AD624" s="196">
        <f t="shared" si="92"/>
        <v>0</v>
      </c>
      <c r="AE624" s="196">
        <f t="shared" si="93"/>
        <v>0</v>
      </c>
      <c r="AF624" s="2">
        <f t="shared" si="94"/>
        <v>0</v>
      </c>
      <c r="AG624" s="2">
        <f t="shared" si="95"/>
        <v>0</v>
      </c>
    </row>
    <row r="625" spans="1:33">
      <c r="A625" s="20" t="s">
        <v>1399</v>
      </c>
      <c r="B625" s="156" t="s">
        <v>13995</v>
      </c>
      <c r="C625" s="21" t="s">
        <v>107</v>
      </c>
      <c r="D625" s="109" t="s">
        <v>13207</v>
      </c>
      <c r="E625" s="109" t="s">
        <v>27887</v>
      </c>
      <c r="F625" s="391" t="s">
        <v>13993</v>
      </c>
      <c r="G625" s="23" t="s">
        <v>13996</v>
      </c>
      <c r="H625" s="23" t="s">
        <v>13997</v>
      </c>
      <c r="I625" s="23" t="s">
        <v>13998</v>
      </c>
      <c r="J625" s="23" t="s">
        <v>13999</v>
      </c>
      <c r="K625" s="23" t="s">
        <v>13301</v>
      </c>
      <c r="L625" s="375" t="s">
        <v>7787</v>
      </c>
      <c r="M625" s="351" t="s">
        <v>7787</v>
      </c>
      <c r="N625" s="267">
        <f t="shared" si="96"/>
        <v>0</v>
      </c>
      <c r="O625" s="268">
        <f t="shared" si="97"/>
        <v>500</v>
      </c>
      <c r="P625" s="240"/>
      <c r="Q625" s="239"/>
      <c r="R625" s="239"/>
      <c r="S625" s="239"/>
      <c r="T625" s="239"/>
      <c r="U625" s="240">
        <f>1200-700</f>
        <v>500</v>
      </c>
      <c r="V625" s="240"/>
      <c r="W625" s="240"/>
      <c r="X625" s="278"/>
      <c r="Y625" s="237"/>
      <c r="Z625" s="237"/>
      <c r="AA625" s="279"/>
      <c r="AB625" s="238"/>
      <c r="AC625" s="196">
        <f t="shared" si="91"/>
        <v>500</v>
      </c>
      <c r="AD625" s="196">
        <f t="shared" si="92"/>
        <v>500</v>
      </c>
      <c r="AE625" s="196">
        <f t="shared" si="93"/>
        <v>0</v>
      </c>
      <c r="AF625" s="2">
        <f t="shared" si="94"/>
        <v>500</v>
      </c>
      <c r="AG625" s="2">
        <f t="shared" si="95"/>
        <v>0</v>
      </c>
    </row>
    <row r="626" spans="1:33">
      <c r="A626" s="20" t="s">
        <v>1752</v>
      </c>
      <c r="B626" s="150"/>
      <c r="C626" s="21" t="s">
        <v>737</v>
      </c>
      <c r="D626" s="109" t="s">
        <v>13228</v>
      </c>
      <c r="E626" s="109"/>
      <c r="F626" s="391" t="s">
        <v>14000</v>
      </c>
      <c r="G626" s="23"/>
      <c r="H626" s="23"/>
      <c r="I626" s="23"/>
      <c r="J626" s="23"/>
      <c r="K626" s="23"/>
      <c r="L626" s="350"/>
      <c r="M626" s="351"/>
      <c r="N626" s="267">
        <f t="shared" si="96"/>
        <v>0</v>
      </c>
      <c r="O626" s="268">
        <f t="shared" si="97"/>
        <v>0</v>
      </c>
      <c r="P626" s="239"/>
      <c r="Q626" s="239"/>
      <c r="R626" s="239"/>
      <c r="S626" s="239"/>
      <c r="T626" s="239"/>
      <c r="U626" s="240"/>
      <c r="V626" s="240"/>
      <c r="W626" s="240"/>
      <c r="X626" s="278"/>
      <c r="Y626" s="237"/>
      <c r="Z626" s="237"/>
      <c r="AA626" s="279"/>
      <c r="AB626" s="238"/>
      <c r="AC626" s="196">
        <f t="shared" si="91"/>
        <v>0</v>
      </c>
      <c r="AD626" s="196">
        <f t="shared" si="92"/>
        <v>0</v>
      </c>
      <c r="AE626" s="196">
        <f t="shared" si="93"/>
        <v>0</v>
      </c>
      <c r="AF626" s="2">
        <f t="shared" si="94"/>
        <v>0</v>
      </c>
      <c r="AG626" s="2">
        <f t="shared" si="95"/>
        <v>0</v>
      </c>
    </row>
    <row r="627" spans="1:33">
      <c r="A627" s="20" t="s">
        <v>1400</v>
      </c>
      <c r="B627" s="150"/>
      <c r="C627" s="21" t="s">
        <v>108</v>
      </c>
      <c r="D627" s="109" t="s">
        <v>13228</v>
      </c>
      <c r="E627" s="109"/>
      <c r="F627" s="391" t="s">
        <v>14001</v>
      </c>
      <c r="G627" s="23" t="s">
        <v>14002</v>
      </c>
      <c r="H627" s="23" t="s">
        <v>13571</v>
      </c>
      <c r="I627" s="23" t="s">
        <v>17487</v>
      </c>
      <c r="J627" s="23" t="s">
        <v>6133</v>
      </c>
      <c r="K627" s="23"/>
      <c r="L627" s="375"/>
      <c r="M627" s="351" t="s">
        <v>7787</v>
      </c>
      <c r="N627" s="267">
        <f t="shared" si="96"/>
        <v>0</v>
      </c>
      <c r="O627" s="268">
        <f t="shared" si="97"/>
        <v>0</v>
      </c>
      <c r="P627" s="239"/>
      <c r="Q627" s="239"/>
      <c r="R627" s="239"/>
      <c r="S627" s="239"/>
      <c r="T627" s="239"/>
      <c r="U627" s="239"/>
      <c r="V627" s="239"/>
      <c r="W627" s="240"/>
      <c r="X627" s="278"/>
      <c r="Y627" s="237"/>
      <c r="Z627" s="237"/>
      <c r="AA627" s="285"/>
      <c r="AB627" s="238"/>
      <c r="AC627" s="196">
        <f t="shared" si="91"/>
        <v>0</v>
      </c>
      <c r="AD627" s="196">
        <f t="shared" si="92"/>
        <v>0</v>
      </c>
      <c r="AE627" s="196">
        <f t="shared" si="93"/>
        <v>0</v>
      </c>
      <c r="AF627" s="2">
        <f t="shared" si="94"/>
        <v>0</v>
      </c>
      <c r="AG627" s="2">
        <f t="shared" si="95"/>
        <v>0</v>
      </c>
    </row>
    <row r="628" spans="1:33">
      <c r="A628" s="20" t="s">
        <v>1401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6"/>
        <v>0</v>
      </c>
      <c r="O628" s="268">
        <f t="shared" si="97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91"/>
        <v>0</v>
      </c>
      <c r="AD628" s="196">
        <f t="shared" si="92"/>
        <v>0</v>
      </c>
      <c r="AE628" s="196">
        <f t="shared" si="93"/>
        <v>0</v>
      </c>
      <c r="AF628" s="2">
        <f t="shared" si="94"/>
        <v>0</v>
      </c>
      <c r="AG628" s="2">
        <f t="shared" si="95"/>
        <v>0</v>
      </c>
    </row>
    <row r="629" spans="1:33">
      <c r="A629" s="20" t="s">
        <v>1402</v>
      </c>
      <c r="B629" s="150"/>
      <c r="C629" s="21" t="s">
        <v>109</v>
      </c>
      <c r="D629" s="109" t="s">
        <v>13228</v>
      </c>
      <c r="E629" s="109"/>
      <c r="F629" s="391" t="s">
        <v>14003</v>
      </c>
      <c r="G629" s="23"/>
      <c r="H629" s="23"/>
      <c r="I629" s="23"/>
      <c r="J629" s="23"/>
      <c r="K629" s="23"/>
      <c r="L629" s="350"/>
      <c r="M629" s="351"/>
      <c r="N629" s="267">
        <f t="shared" si="96"/>
        <v>0</v>
      </c>
      <c r="O629" s="268">
        <f t="shared" si="97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91"/>
        <v>0</v>
      </c>
      <c r="AD629" s="196">
        <f t="shared" si="92"/>
        <v>0</v>
      </c>
      <c r="AE629" s="196">
        <f t="shared" si="93"/>
        <v>0</v>
      </c>
      <c r="AF629" s="2">
        <f t="shared" si="94"/>
        <v>0</v>
      </c>
      <c r="AG629" s="2">
        <f t="shared" si="95"/>
        <v>0</v>
      </c>
    </row>
    <row r="630" spans="1:33">
      <c r="A630" s="20" t="s">
        <v>1405</v>
      </c>
      <c r="B630" s="150"/>
      <c r="C630" s="21" t="s">
        <v>110</v>
      </c>
      <c r="D630" s="109" t="s">
        <v>14004</v>
      </c>
      <c r="E630" s="109" t="s">
        <v>13210</v>
      </c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6"/>
        <v>0</v>
      </c>
      <c r="O630" s="268">
        <f t="shared" si="97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91"/>
        <v>0</v>
      </c>
      <c r="AD630" s="196">
        <f t="shared" si="92"/>
        <v>0</v>
      </c>
      <c r="AE630" s="196">
        <f t="shared" si="93"/>
        <v>0</v>
      </c>
      <c r="AF630" s="2">
        <f t="shared" si="94"/>
        <v>0</v>
      </c>
      <c r="AG630" s="2">
        <f t="shared" si="95"/>
        <v>0</v>
      </c>
    </row>
    <row r="631" spans="1:33">
      <c r="A631" s="20" t="s">
        <v>1403</v>
      </c>
      <c r="B631" s="150"/>
      <c r="C631" s="21" t="s">
        <v>110</v>
      </c>
      <c r="D631" s="109" t="s">
        <v>13228</v>
      </c>
      <c r="E631" s="109"/>
      <c r="F631" s="391" t="s">
        <v>14005</v>
      </c>
      <c r="G631" s="23" t="s">
        <v>14006</v>
      </c>
      <c r="H631" s="23"/>
      <c r="I631" s="23"/>
      <c r="J631" s="23"/>
      <c r="K631" s="23"/>
      <c r="L631" s="350"/>
      <c r="M631" s="351"/>
      <c r="N631" s="267">
        <f t="shared" si="96"/>
        <v>0</v>
      </c>
      <c r="O631" s="268">
        <f t="shared" si="97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91"/>
        <v>0</v>
      </c>
      <c r="AD631" s="196">
        <f t="shared" si="92"/>
        <v>0</v>
      </c>
      <c r="AE631" s="196">
        <f t="shared" si="93"/>
        <v>0</v>
      </c>
      <c r="AF631" s="2">
        <f t="shared" si="94"/>
        <v>0</v>
      </c>
      <c r="AG631" s="2">
        <f t="shared" si="95"/>
        <v>0</v>
      </c>
    </row>
    <row r="632" spans="1:33">
      <c r="A632" s="20" t="s">
        <v>1404</v>
      </c>
      <c r="B632" s="151" t="s">
        <v>14007</v>
      </c>
      <c r="C632" s="21" t="s">
        <v>110</v>
      </c>
      <c r="D632" s="109" t="s">
        <v>13207</v>
      </c>
      <c r="E632" s="109"/>
      <c r="F632" s="391" t="s">
        <v>14005</v>
      </c>
      <c r="G632" s="23"/>
      <c r="H632" s="23"/>
      <c r="I632" s="23"/>
      <c r="J632" s="23"/>
      <c r="K632" s="23"/>
      <c r="L632" s="350"/>
      <c r="M632" s="351"/>
      <c r="N632" s="267">
        <f t="shared" si="96"/>
        <v>0</v>
      </c>
      <c r="O632" s="268">
        <f t="shared" si="97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91"/>
        <v>0</v>
      </c>
      <c r="AD632" s="196">
        <f t="shared" si="92"/>
        <v>0</v>
      </c>
      <c r="AE632" s="196">
        <f t="shared" si="93"/>
        <v>0</v>
      </c>
      <c r="AF632" s="2">
        <f t="shared" si="94"/>
        <v>0</v>
      </c>
      <c r="AG632" s="2">
        <f t="shared" si="95"/>
        <v>0</v>
      </c>
    </row>
    <row r="633" spans="1:33">
      <c r="A633" s="20" t="s">
        <v>1406</v>
      </c>
      <c r="B633" s="150"/>
      <c r="C633" s="21" t="s">
        <v>111</v>
      </c>
      <c r="D633" s="109" t="s">
        <v>13228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6"/>
        <v>0</v>
      </c>
      <c r="O633" s="268">
        <f t="shared" si="97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91"/>
        <v>0</v>
      </c>
      <c r="AD633" s="196">
        <f t="shared" si="92"/>
        <v>0</v>
      </c>
      <c r="AE633" s="196">
        <f t="shared" si="93"/>
        <v>0</v>
      </c>
      <c r="AF633" s="2">
        <f t="shared" si="94"/>
        <v>0</v>
      </c>
      <c r="AG633" s="2">
        <f t="shared" si="95"/>
        <v>0</v>
      </c>
    </row>
    <row r="634" spans="1:33">
      <c r="A634" s="20" t="s">
        <v>1407</v>
      </c>
      <c r="B634" s="150"/>
      <c r="C634" s="21" t="s">
        <v>111</v>
      </c>
      <c r="D634" s="109" t="s">
        <v>13207</v>
      </c>
      <c r="E634" s="109"/>
      <c r="F634" s="391" t="s">
        <v>14008</v>
      </c>
      <c r="G634" s="23"/>
      <c r="H634" s="23"/>
      <c r="I634" s="23"/>
      <c r="J634" s="23"/>
      <c r="K634" s="23"/>
      <c r="L634" s="350"/>
      <c r="M634" s="351"/>
      <c r="N634" s="267">
        <f t="shared" si="96"/>
        <v>0</v>
      </c>
      <c r="O634" s="268">
        <f t="shared" si="97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91"/>
        <v>0</v>
      </c>
      <c r="AD634" s="196">
        <f t="shared" si="92"/>
        <v>0</v>
      </c>
      <c r="AE634" s="196">
        <f t="shared" si="93"/>
        <v>0</v>
      </c>
      <c r="AF634" s="2">
        <f t="shared" si="94"/>
        <v>0</v>
      </c>
      <c r="AG634" s="2">
        <f t="shared" si="95"/>
        <v>0</v>
      </c>
    </row>
    <row r="635" spans="1:33">
      <c r="A635" s="20" t="s">
        <v>1408</v>
      </c>
      <c r="B635" s="150"/>
      <c r="C635" s="21" t="s">
        <v>111</v>
      </c>
      <c r="D635" s="109" t="s">
        <v>13207</v>
      </c>
      <c r="E635" s="109"/>
      <c r="F635" s="391" t="s">
        <v>14009</v>
      </c>
      <c r="G635" s="23"/>
      <c r="H635" s="23"/>
      <c r="I635" s="23"/>
      <c r="J635" s="23"/>
      <c r="K635" s="23"/>
      <c r="L635" s="350"/>
      <c r="M635" s="351"/>
      <c r="N635" s="267">
        <f t="shared" si="96"/>
        <v>0</v>
      </c>
      <c r="O635" s="268">
        <f t="shared" si="97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91"/>
        <v>0</v>
      </c>
      <c r="AD635" s="196">
        <f t="shared" si="92"/>
        <v>0</v>
      </c>
      <c r="AE635" s="196">
        <f t="shared" si="93"/>
        <v>0</v>
      </c>
      <c r="AF635" s="2">
        <f t="shared" si="94"/>
        <v>0</v>
      </c>
      <c r="AG635" s="2">
        <f t="shared" si="95"/>
        <v>0</v>
      </c>
    </row>
    <row r="636" spans="1:33">
      <c r="A636" s="20" t="s">
        <v>1409</v>
      </c>
      <c r="B636" s="150"/>
      <c r="C636" s="21" t="s">
        <v>112</v>
      </c>
      <c r="D636" s="109" t="s">
        <v>13207</v>
      </c>
      <c r="E636" s="109"/>
      <c r="F636" s="391" t="s">
        <v>14010</v>
      </c>
      <c r="G636" s="23"/>
      <c r="H636" s="23"/>
      <c r="I636" s="23"/>
      <c r="J636" s="23"/>
      <c r="K636" s="23"/>
      <c r="L636" s="350"/>
      <c r="M636" s="351"/>
      <c r="N636" s="267">
        <f t="shared" si="96"/>
        <v>0</v>
      </c>
      <c r="O636" s="268">
        <f t="shared" si="97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91"/>
        <v>0</v>
      </c>
      <c r="AD636" s="196">
        <f t="shared" si="92"/>
        <v>0</v>
      </c>
      <c r="AE636" s="196">
        <f t="shared" si="93"/>
        <v>0</v>
      </c>
      <c r="AF636" s="2">
        <f t="shared" si="94"/>
        <v>0</v>
      </c>
      <c r="AG636" s="2">
        <f t="shared" si="95"/>
        <v>0</v>
      </c>
    </row>
    <row r="637" spans="1:33">
      <c r="A637" s="20" t="s">
        <v>1410</v>
      </c>
      <c r="B637" s="150"/>
      <c r="C637" s="21" t="s">
        <v>113</v>
      </c>
      <c r="D637" s="109" t="s">
        <v>13228</v>
      </c>
      <c r="E637" s="109"/>
      <c r="F637" s="391" t="s">
        <v>14011</v>
      </c>
      <c r="G637" s="23"/>
      <c r="H637" s="23"/>
      <c r="I637" s="23"/>
      <c r="J637" s="23"/>
      <c r="K637" s="23"/>
      <c r="L637" s="350"/>
      <c r="M637" s="351"/>
      <c r="N637" s="267">
        <f t="shared" si="96"/>
        <v>0</v>
      </c>
      <c r="O637" s="268">
        <f t="shared" si="97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91"/>
        <v>0</v>
      </c>
      <c r="AD637" s="196">
        <f t="shared" si="92"/>
        <v>0</v>
      </c>
      <c r="AE637" s="196">
        <f t="shared" si="93"/>
        <v>0</v>
      </c>
      <c r="AF637" s="2">
        <f t="shared" si="94"/>
        <v>0</v>
      </c>
      <c r="AG637" s="2">
        <f t="shared" si="95"/>
        <v>0</v>
      </c>
    </row>
    <row r="638" spans="1:33">
      <c r="A638" s="20" t="s">
        <v>1411</v>
      </c>
      <c r="B638" s="161"/>
      <c r="C638" s="21" t="s">
        <v>114</v>
      </c>
      <c r="D638" s="109" t="s">
        <v>14004</v>
      </c>
      <c r="E638" s="109" t="s">
        <v>13210</v>
      </c>
      <c r="F638" s="391" t="s">
        <v>14012</v>
      </c>
      <c r="G638" s="23" t="s">
        <v>18515</v>
      </c>
      <c r="H638" s="23"/>
      <c r="I638" s="23"/>
      <c r="J638" s="23"/>
      <c r="K638" s="23"/>
      <c r="L638" s="375" t="s">
        <v>7787</v>
      </c>
      <c r="M638" s="351"/>
      <c r="N638" s="267">
        <f t="shared" si="96"/>
        <v>0</v>
      </c>
      <c r="O638" s="268">
        <f t="shared" si="97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91"/>
        <v>0</v>
      </c>
      <c r="AD638" s="196">
        <f t="shared" si="92"/>
        <v>0</v>
      </c>
      <c r="AE638" s="196">
        <f t="shared" si="93"/>
        <v>0</v>
      </c>
      <c r="AF638" s="2">
        <f t="shared" si="94"/>
        <v>0</v>
      </c>
      <c r="AG638" s="2">
        <f t="shared" si="95"/>
        <v>0</v>
      </c>
    </row>
    <row r="639" spans="1:33">
      <c r="A639" s="20" t="s">
        <v>1412</v>
      </c>
      <c r="B639" s="152" t="s">
        <v>6156</v>
      </c>
      <c r="C639" s="21" t="s">
        <v>114</v>
      </c>
      <c r="D639" s="109" t="s">
        <v>13228</v>
      </c>
      <c r="E639" s="109"/>
      <c r="F639" s="391" t="s">
        <v>14012</v>
      </c>
      <c r="G639" s="23" t="s">
        <v>14013</v>
      </c>
      <c r="H639" s="23" t="s">
        <v>14014</v>
      </c>
      <c r="I639" s="23" t="s">
        <v>14015</v>
      </c>
      <c r="J639" s="23" t="s">
        <v>14910</v>
      </c>
      <c r="K639" s="23"/>
      <c r="L639" s="375" t="s">
        <v>7787</v>
      </c>
      <c r="M639" s="351" t="s">
        <v>7787</v>
      </c>
      <c r="N639" s="267">
        <f t="shared" si="96"/>
        <v>0</v>
      </c>
      <c r="O639" s="268">
        <f t="shared" si="97"/>
        <v>0</v>
      </c>
      <c r="P639" s="239"/>
      <c r="Q639" s="239"/>
      <c r="R639" s="239"/>
      <c r="S639" s="239"/>
      <c r="T639" s="239"/>
      <c r="U639" s="240"/>
      <c r="V639" s="240"/>
      <c r="W639" s="240"/>
      <c r="X639" s="278"/>
      <c r="Y639" s="237"/>
      <c r="Z639" s="237"/>
      <c r="AA639" s="279"/>
      <c r="AB639" s="238"/>
      <c r="AC639" s="196">
        <f t="shared" si="91"/>
        <v>0</v>
      </c>
      <c r="AD639" s="196">
        <f t="shared" si="92"/>
        <v>0</v>
      </c>
      <c r="AE639" s="196">
        <f t="shared" si="93"/>
        <v>0</v>
      </c>
      <c r="AF639" s="2">
        <f t="shared" si="94"/>
        <v>0</v>
      </c>
      <c r="AG639" s="2">
        <f t="shared" si="95"/>
        <v>0</v>
      </c>
    </row>
    <row r="640" spans="1:33">
      <c r="A640" s="20" t="s">
        <v>1413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14002</v>
      </c>
      <c r="H640" s="23" t="s">
        <v>23488</v>
      </c>
      <c r="I640" s="23" t="s">
        <v>14016</v>
      </c>
      <c r="J640" s="23" t="s">
        <v>13350</v>
      </c>
      <c r="K640" s="23" t="s">
        <v>26916</v>
      </c>
      <c r="L640" s="375" t="s">
        <v>45</v>
      </c>
      <c r="M640" s="351" t="s">
        <v>45</v>
      </c>
      <c r="N640" s="267">
        <f t="shared" si="96"/>
        <v>0</v>
      </c>
      <c r="O640" s="268">
        <f t="shared" si="97"/>
        <v>600</v>
      </c>
      <c r="P640" s="239"/>
      <c r="Q640" s="241">
        <f>1550+1300-200-1500-550</f>
        <v>600</v>
      </c>
      <c r="R640" s="239"/>
      <c r="S640" s="239"/>
      <c r="T640" s="239"/>
      <c r="U640" s="239"/>
      <c r="V640" s="240"/>
      <c r="W640" s="240"/>
      <c r="X640" s="278"/>
      <c r="Y640" s="237"/>
      <c r="Z640" s="237"/>
      <c r="AA640" s="279"/>
      <c r="AB640" s="238" t="s">
        <v>27261</v>
      </c>
      <c r="AC640" s="196">
        <f t="shared" si="91"/>
        <v>600</v>
      </c>
      <c r="AD640" s="196">
        <f t="shared" si="92"/>
        <v>600</v>
      </c>
      <c r="AE640" s="196">
        <f t="shared" si="93"/>
        <v>0</v>
      </c>
      <c r="AF640" s="2">
        <f t="shared" si="94"/>
        <v>600</v>
      </c>
      <c r="AG640" s="2">
        <f t="shared" si="95"/>
        <v>0</v>
      </c>
    </row>
    <row r="641" spans="1:33">
      <c r="A641" s="20" t="s">
        <v>1414</v>
      </c>
      <c r="B641" s="162"/>
      <c r="C641" s="21" t="s">
        <v>114</v>
      </c>
      <c r="D641" s="109" t="s">
        <v>13207</v>
      </c>
      <c r="E641" s="109"/>
      <c r="F641" s="391" t="s">
        <v>14012</v>
      </c>
      <c r="G641" s="23" t="s">
        <v>13214</v>
      </c>
      <c r="H641" s="23" t="s">
        <v>14016</v>
      </c>
      <c r="I641" s="23"/>
      <c r="J641" s="23"/>
      <c r="K641" s="23"/>
      <c r="L641" s="375" t="s">
        <v>7787</v>
      </c>
      <c r="M641" s="351" t="s">
        <v>7787</v>
      </c>
      <c r="N641" s="267">
        <f t="shared" si="96"/>
        <v>0</v>
      </c>
      <c r="O641" s="268">
        <f t="shared" si="97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91"/>
        <v>0</v>
      </c>
      <c r="AD641" s="196">
        <f t="shared" si="92"/>
        <v>0</v>
      </c>
      <c r="AE641" s="196">
        <f t="shared" si="93"/>
        <v>0</v>
      </c>
      <c r="AF641" s="2">
        <f t="shared" si="94"/>
        <v>0</v>
      </c>
      <c r="AG641" s="2">
        <f t="shared" si="95"/>
        <v>0</v>
      </c>
    </row>
    <row r="642" spans="1:33">
      <c r="A642" s="20" t="s">
        <v>1753</v>
      </c>
      <c r="B642" s="150"/>
      <c r="C642" s="21" t="s">
        <v>738</v>
      </c>
      <c r="D642" s="109" t="s">
        <v>13228</v>
      </c>
      <c r="E642" s="109"/>
      <c r="F642" s="391" t="s">
        <v>14017</v>
      </c>
      <c r="G642" s="23"/>
      <c r="H642" s="23"/>
      <c r="I642" s="23"/>
      <c r="J642" s="23"/>
      <c r="K642" s="23"/>
      <c r="L642" s="375" t="s">
        <v>7787</v>
      </c>
      <c r="M642" s="351"/>
      <c r="N642" s="267">
        <f t="shared" si="96"/>
        <v>0</v>
      </c>
      <c r="O642" s="268">
        <f t="shared" si="97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91"/>
        <v>0</v>
      </c>
      <c r="AD642" s="196">
        <f t="shared" si="92"/>
        <v>0</v>
      </c>
      <c r="AE642" s="196">
        <f t="shared" si="93"/>
        <v>0</v>
      </c>
      <c r="AF642" s="2">
        <f t="shared" si="94"/>
        <v>0</v>
      </c>
      <c r="AG642" s="2">
        <f t="shared" si="95"/>
        <v>0</v>
      </c>
    </row>
    <row r="643" spans="1:33">
      <c r="A643" s="20" t="s">
        <v>1415</v>
      </c>
      <c r="B643" s="150"/>
      <c r="C643" s="21" t="s">
        <v>115</v>
      </c>
      <c r="D643" s="109" t="s">
        <v>14004</v>
      </c>
      <c r="E643" s="109" t="s">
        <v>13210</v>
      </c>
      <c r="F643" s="391" t="s">
        <v>4341</v>
      </c>
      <c r="G643" s="23" t="s">
        <v>5510</v>
      </c>
      <c r="H643" s="23" t="s">
        <v>5511</v>
      </c>
      <c r="I643" s="23"/>
      <c r="J643" s="23"/>
      <c r="K643" s="23"/>
      <c r="L643" s="350"/>
      <c r="M643" s="351"/>
      <c r="N643" s="267">
        <f t="shared" si="96"/>
        <v>0</v>
      </c>
      <c r="O643" s="268">
        <f t="shared" si="97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91"/>
        <v>0</v>
      </c>
      <c r="AD643" s="196">
        <f t="shared" si="92"/>
        <v>0</v>
      </c>
      <c r="AE643" s="196">
        <f t="shared" si="93"/>
        <v>0</v>
      </c>
      <c r="AF643" s="2">
        <f t="shared" si="94"/>
        <v>0</v>
      </c>
      <c r="AG643" s="2">
        <f t="shared" si="95"/>
        <v>0</v>
      </c>
    </row>
    <row r="644" spans="1:33">
      <c r="A644" s="20" t="s">
        <v>1416</v>
      </c>
      <c r="B644" s="150"/>
      <c r="C644" s="21" t="s">
        <v>115</v>
      </c>
      <c r="D644" s="109" t="s">
        <v>13228</v>
      </c>
      <c r="E644" s="109"/>
      <c r="F644" s="391" t="s">
        <v>14018</v>
      </c>
      <c r="G644" s="23" t="s">
        <v>14006</v>
      </c>
      <c r="H644" s="23" t="s">
        <v>14019</v>
      </c>
      <c r="I644" s="23"/>
      <c r="J644" s="23"/>
      <c r="K644" s="23"/>
      <c r="L644" s="375" t="s">
        <v>7787</v>
      </c>
      <c r="M644" s="357" t="s">
        <v>7787</v>
      </c>
      <c r="N644" s="267">
        <f t="shared" si="96"/>
        <v>0</v>
      </c>
      <c r="O644" s="268">
        <f t="shared" si="97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91"/>
        <v>0</v>
      </c>
      <c r="AD644" s="196">
        <f t="shared" si="92"/>
        <v>0</v>
      </c>
      <c r="AE644" s="196">
        <f t="shared" si="93"/>
        <v>0</v>
      </c>
      <c r="AF644" s="2">
        <f t="shared" si="94"/>
        <v>0</v>
      </c>
      <c r="AG644" s="2">
        <f t="shared" si="95"/>
        <v>0</v>
      </c>
    </row>
    <row r="645" spans="1:33">
      <c r="A645" s="20" t="s">
        <v>1417</v>
      </c>
      <c r="B645" s="150"/>
      <c r="C645" s="21" t="s">
        <v>115</v>
      </c>
      <c r="D645" s="109" t="s">
        <v>13207</v>
      </c>
      <c r="E645" s="109"/>
      <c r="F645" s="391" t="s">
        <v>4341</v>
      </c>
      <c r="G645" s="23" t="s">
        <v>14020</v>
      </c>
      <c r="H645" s="23"/>
      <c r="I645" s="23"/>
      <c r="J645" s="23"/>
      <c r="K645" s="23"/>
      <c r="L645" s="350"/>
      <c r="M645" s="351"/>
      <c r="N645" s="267">
        <f t="shared" si="96"/>
        <v>0</v>
      </c>
      <c r="O645" s="268">
        <f t="shared" si="97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91"/>
        <v>0</v>
      </c>
      <c r="AD645" s="196">
        <f t="shared" si="92"/>
        <v>0</v>
      </c>
      <c r="AE645" s="196">
        <f t="shared" si="93"/>
        <v>0</v>
      </c>
      <c r="AF645" s="2">
        <f t="shared" si="94"/>
        <v>0</v>
      </c>
      <c r="AG645" s="2">
        <f t="shared" si="95"/>
        <v>0</v>
      </c>
    </row>
    <row r="646" spans="1:33">
      <c r="A646" s="20" t="s">
        <v>1418</v>
      </c>
      <c r="B646" s="150"/>
      <c r="C646" s="21" t="s">
        <v>116</v>
      </c>
      <c r="D646" s="109" t="s">
        <v>14004</v>
      </c>
      <c r="E646" s="109" t="s">
        <v>13210</v>
      </c>
      <c r="F646" s="391" t="s">
        <v>14021</v>
      </c>
      <c r="G646" s="23"/>
      <c r="H646" s="23"/>
      <c r="I646" s="23"/>
      <c r="J646" s="23"/>
      <c r="K646" s="23"/>
      <c r="L646" s="350"/>
      <c r="M646" s="351"/>
      <c r="N646" s="267">
        <f t="shared" si="96"/>
        <v>0</v>
      </c>
      <c r="O646" s="268">
        <f t="shared" si="97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91"/>
        <v>0</v>
      </c>
      <c r="AD646" s="196">
        <f t="shared" si="92"/>
        <v>0</v>
      </c>
      <c r="AE646" s="196">
        <f t="shared" si="93"/>
        <v>0</v>
      </c>
      <c r="AF646" s="2">
        <f t="shared" si="94"/>
        <v>0</v>
      </c>
      <c r="AG646" s="2">
        <f t="shared" si="95"/>
        <v>0</v>
      </c>
    </row>
    <row r="647" spans="1:33">
      <c r="A647" s="20" t="s">
        <v>7868</v>
      </c>
      <c r="B647" s="150"/>
      <c r="C647" s="21" t="s">
        <v>116</v>
      </c>
      <c r="D647" s="109" t="s">
        <v>13228</v>
      </c>
      <c r="E647" s="109"/>
      <c r="F647" s="391" t="s">
        <v>14021</v>
      </c>
      <c r="G647" s="23" t="s">
        <v>14006</v>
      </c>
      <c r="H647" s="23"/>
      <c r="I647" s="23"/>
      <c r="J647" s="23"/>
      <c r="K647" s="23"/>
      <c r="L647" s="375" t="s">
        <v>7787</v>
      </c>
      <c r="M647" s="351"/>
      <c r="N647" s="267">
        <f t="shared" si="96"/>
        <v>0</v>
      </c>
      <c r="O647" s="268">
        <f t="shared" si="97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91"/>
        <v>0</v>
      </c>
      <c r="AD647" s="196">
        <f t="shared" si="92"/>
        <v>0</v>
      </c>
      <c r="AE647" s="196">
        <f t="shared" si="93"/>
        <v>0</v>
      </c>
      <c r="AF647" s="2">
        <f t="shared" si="94"/>
        <v>0</v>
      </c>
      <c r="AG647" s="2">
        <f t="shared" si="95"/>
        <v>0</v>
      </c>
    </row>
    <row r="648" spans="1:33">
      <c r="A648" s="20" t="s">
        <v>1419</v>
      </c>
      <c r="B648" s="150"/>
      <c r="C648" s="21" t="s">
        <v>117</v>
      </c>
      <c r="D648" s="109" t="s">
        <v>13228</v>
      </c>
      <c r="E648" s="109"/>
      <c r="F648" s="391" t="s">
        <v>14022</v>
      </c>
      <c r="G648" s="23" t="s">
        <v>14023</v>
      </c>
      <c r="H648" s="23"/>
      <c r="I648" s="23"/>
      <c r="J648" s="23"/>
      <c r="K648" s="23"/>
      <c r="L648" s="375" t="s">
        <v>7787</v>
      </c>
      <c r="M648" s="351" t="s">
        <v>7787</v>
      </c>
      <c r="N648" s="267">
        <f t="shared" si="96"/>
        <v>0</v>
      </c>
      <c r="O648" s="268">
        <f t="shared" si="97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si="91"/>
        <v>0</v>
      </c>
      <c r="AD648" s="196">
        <f t="shared" si="92"/>
        <v>0</v>
      </c>
      <c r="AE648" s="196">
        <f t="shared" si="93"/>
        <v>0</v>
      </c>
      <c r="AF648" s="2">
        <f t="shared" si="94"/>
        <v>0</v>
      </c>
      <c r="AG648" s="2">
        <f t="shared" si="95"/>
        <v>0</v>
      </c>
    </row>
    <row r="649" spans="1:33">
      <c r="A649" s="20" t="s">
        <v>1422</v>
      </c>
      <c r="B649" s="150"/>
      <c r="C649" s="21" t="s">
        <v>118</v>
      </c>
      <c r="D649" s="109" t="s">
        <v>13991</v>
      </c>
      <c r="E649" s="109" t="s">
        <v>13992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6"/>
        <v>0</v>
      </c>
      <c r="O649" s="268">
        <f t="shared" si="97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ref="AC649:AC713" si="100">SUM(P649:AA649)</f>
        <v>0</v>
      </c>
      <c r="AD649" s="196">
        <f t="shared" ref="AD649:AD713" si="101">SUM(P649:AB649)</f>
        <v>0</v>
      </c>
      <c r="AE649" s="196">
        <f t="shared" ref="AE649:AE713" si="102">SUM(AC649-AD649)</f>
        <v>0</v>
      </c>
      <c r="AF649" s="2">
        <f t="shared" ref="AF649:AF713" si="103">+AC649</f>
        <v>0</v>
      </c>
      <c r="AG649" s="2">
        <f t="shared" ref="AG649:AG713" si="104">+AC649-AF649</f>
        <v>0</v>
      </c>
    </row>
    <row r="650" spans="1:33">
      <c r="A650" s="20" t="s">
        <v>1423</v>
      </c>
      <c r="B650" s="150"/>
      <c r="C650" s="21" t="s">
        <v>118</v>
      </c>
      <c r="D650" s="109" t="s">
        <v>13991</v>
      </c>
      <c r="E650" s="109" t="s">
        <v>13994</v>
      </c>
      <c r="F650" s="391" t="s">
        <v>14024</v>
      </c>
      <c r="G650" s="23" t="s">
        <v>14025</v>
      </c>
      <c r="H650" s="23"/>
      <c r="I650" s="23"/>
      <c r="J650" s="23"/>
      <c r="K650" s="23"/>
      <c r="L650" s="350"/>
      <c r="M650" s="351"/>
      <c r="N650" s="267">
        <f t="shared" si="96"/>
        <v>0</v>
      </c>
      <c r="O650" s="268">
        <f t="shared" si="97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100"/>
        <v>0</v>
      </c>
      <c r="AD650" s="196">
        <f t="shared" si="101"/>
        <v>0</v>
      </c>
      <c r="AE650" s="196">
        <f t="shared" si="102"/>
        <v>0</v>
      </c>
      <c r="AF650" s="2">
        <f t="shared" si="103"/>
        <v>0</v>
      </c>
      <c r="AG650" s="2">
        <f t="shared" si="104"/>
        <v>0</v>
      </c>
    </row>
    <row r="651" spans="1:33">
      <c r="A651" s="20" t="s">
        <v>1424</v>
      </c>
      <c r="B651" s="150"/>
      <c r="C651" s="21" t="s">
        <v>118</v>
      </c>
      <c r="D651" s="109" t="s">
        <v>13991</v>
      </c>
      <c r="E651" s="109" t="s">
        <v>13210</v>
      </c>
      <c r="F651" s="391" t="s">
        <v>14024</v>
      </c>
      <c r="G651" s="23" t="s">
        <v>22665</v>
      </c>
      <c r="H651" s="23"/>
      <c r="I651" s="23"/>
      <c r="J651" s="23"/>
      <c r="K651" s="23"/>
      <c r="L651" s="350"/>
      <c r="M651" s="351"/>
      <c r="N651" s="267">
        <f t="shared" si="96"/>
        <v>0</v>
      </c>
      <c r="O651" s="268">
        <f t="shared" si="97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100"/>
        <v>0</v>
      </c>
      <c r="AD651" s="196">
        <f t="shared" si="101"/>
        <v>0</v>
      </c>
      <c r="AE651" s="196">
        <f t="shared" si="102"/>
        <v>0</v>
      </c>
      <c r="AF651" s="2">
        <f t="shared" si="103"/>
        <v>0</v>
      </c>
      <c r="AG651" s="2">
        <f t="shared" si="104"/>
        <v>0</v>
      </c>
    </row>
    <row r="652" spans="1:33">
      <c r="A652" s="20" t="s">
        <v>1420</v>
      </c>
      <c r="B652" s="150"/>
      <c r="C652" s="21" t="s">
        <v>118</v>
      </c>
      <c r="D652" s="109" t="s">
        <v>13228</v>
      </c>
      <c r="E652" s="109"/>
      <c r="F652" s="391" t="s">
        <v>14024</v>
      </c>
      <c r="G652" s="23" t="s">
        <v>13218</v>
      </c>
      <c r="H652" s="23" t="s">
        <v>14026</v>
      </c>
      <c r="I652" s="23"/>
      <c r="J652" s="23"/>
      <c r="K652" s="23"/>
      <c r="L652" s="350"/>
      <c r="M652" s="351"/>
      <c r="N652" s="267">
        <f t="shared" si="96"/>
        <v>0</v>
      </c>
      <c r="O652" s="268">
        <f t="shared" si="97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100"/>
        <v>0</v>
      </c>
      <c r="AD652" s="196">
        <f t="shared" si="101"/>
        <v>0</v>
      </c>
      <c r="AE652" s="196">
        <f t="shared" si="102"/>
        <v>0</v>
      </c>
      <c r="AF652" s="2">
        <f t="shared" si="103"/>
        <v>0</v>
      </c>
      <c r="AG652" s="2">
        <f t="shared" si="104"/>
        <v>0</v>
      </c>
    </row>
    <row r="653" spans="1:33">
      <c r="A653" s="20" t="s">
        <v>1421</v>
      </c>
      <c r="B653" s="169" t="s">
        <v>6157</v>
      </c>
      <c r="C653" s="21" t="s">
        <v>118</v>
      </c>
      <c r="D653" s="109" t="s">
        <v>13207</v>
      </c>
      <c r="E653" s="109" t="s">
        <v>24312</v>
      </c>
      <c r="F653" s="391" t="s">
        <v>14024</v>
      </c>
      <c r="G653" s="23" t="s">
        <v>13996</v>
      </c>
      <c r="H653" s="23" t="s">
        <v>14026</v>
      </c>
      <c r="I653" s="23" t="s">
        <v>14025</v>
      </c>
      <c r="J653" s="23" t="s">
        <v>13301</v>
      </c>
      <c r="K653" s="23"/>
      <c r="L653" s="375" t="s">
        <v>7787</v>
      </c>
      <c r="M653" s="351" t="s">
        <v>7787</v>
      </c>
      <c r="N653" s="267">
        <f t="shared" si="96"/>
        <v>0</v>
      </c>
      <c r="O653" s="268">
        <f t="shared" si="97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100"/>
        <v>0</v>
      </c>
      <c r="AD653" s="196">
        <f t="shared" si="101"/>
        <v>0</v>
      </c>
      <c r="AE653" s="196">
        <f t="shared" si="102"/>
        <v>0</v>
      </c>
      <c r="AF653" s="2">
        <f t="shared" si="103"/>
        <v>0</v>
      </c>
      <c r="AG653" s="2">
        <f t="shared" si="104"/>
        <v>0</v>
      </c>
    </row>
    <row r="654" spans="1:33">
      <c r="A654" s="20" t="s">
        <v>1427</v>
      </c>
      <c r="B654" s="150"/>
      <c r="C654" s="21" t="s">
        <v>119</v>
      </c>
      <c r="D654" s="109" t="s">
        <v>13991</v>
      </c>
      <c r="E654" s="109" t="s">
        <v>13992</v>
      </c>
      <c r="F654" s="391" t="s">
        <v>21892</v>
      </c>
      <c r="G654" s="23"/>
      <c r="H654" s="23"/>
      <c r="I654" s="23"/>
      <c r="J654" s="23"/>
      <c r="K654" s="23"/>
      <c r="L654" s="350"/>
      <c r="M654" s="351"/>
      <c r="N654" s="267">
        <f t="shared" si="96"/>
        <v>0</v>
      </c>
      <c r="O654" s="268">
        <f t="shared" si="97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100"/>
        <v>0</v>
      </c>
      <c r="AD654" s="196">
        <f t="shared" si="101"/>
        <v>0</v>
      </c>
      <c r="AE654" s="196">
        <f t="shared" si="102"/>
        <v>0</v>
      </c>
      <c r="AF654" s="2">
        <f t="shared" si="103"/>
        <v>0</v>
      </c>
      <c r="AG654" s="2">
        <f t="shared" si="104"/>
        <v>0</v>
      </c>
    </row>
    <row r="655" spans="1:33">
      <c r="A655" s="20" t="s">
        <v>1428</v>
      </c>
      <c r="B655" s="150"/>
      <c r="C655" s="21" t="s">
        <v>119</v>
      </c>
      <c r="D655" s="109" t="s">
        <v>13991</v>
      </c>
      <c r="E655" s="109" t="s">
        <v>13994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si="96"/>
        <v>0</v>
      </c>
      <c r="O655" s="268">
        <f t="shared" si="97"/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100"/>
        <v>0</v>
      </c>
      <c r="AD655" s="196">
        <f t="shared" si="101"/>
        <v>0</v>
      </c>
      <c r="AE655" s="196">
        <f t="shared" si="102"/>
        <v>0</v>
      </c>
      <c r="AF655" s="2">
        <f t="shared" si="103"/>
        <v>0</v>
      </c>
      <c r="AG655" s="2">
        <f t="shared" si="104"/>
        <v>0</v>
      </c>
    </row>
    <row r="656" spans="1:33">
      <c r="A656" s="20" t="s">
        <v>1426</v>
      </c>
      <c r="B656" s="161"/>
      <c r="C656" s="21" t="s">
        <v>119</v>
      </c>
      <c r="D656" s="109" t="s">
        <v>13991</v>
      </c>
      <c r="E656" s="109" t="s">
        <v>13210</v>
      </c>
      <c r="F656" s="391" t="s">
        <v>21892</v>
      </c>
      <c r="G656" s="23"/>
      <c r="H656" s="23"/>
      <c r="I656" s="23"/>
      <c r="J656" s="23"/>
      <c r="K656" s="23"/>
      <c r="L656" s="375" t="s">
        <v>7787</v>
      </c>
      <c r="M656" s="351" t="s">
        <v>7787</v>
      </c>
      <c r="N656" s="267">
        <f t="shared" ref="N656:N722" si="105">SUM(L656:M656)</f>
        <v>0</v>
      </c>
      <c r="O656" s="268">
        <f t="shared" ref="O656:O722" si="106">SUM(P656:Z656)</f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100"/>
        <v>0</v>
      </c>
      <c r="AD656" s="196">
        <f t="shared" si="101"/>
        <v>0</v>
      </c>
      <c r="AE656" s="196">
        <f t="shared" si="102"/>
        <v>0</v>
      </c>
      <c r="AF656" s="2">
        <f t="shared" si="103"/>
        <v>0</v>
      </c>
      <c r="AG656" s="2">
        <f t="shared" si="104"/>
        <v>0</v>
      </c>
    </row>
    <row r="657" spans="1:33">
      <c r="A657" s="20" t="s">
        <v>1425</v>
      </c>
      <c r="B657" s="150"/>
      <c r="C657" s="21" t="s">
        <v>119</v>
      </c>
      <c r="D657" s="109" t="s">
        <v>13207</v>
      </c>
      <c r="E657" s="109"/>
      <c r="F657" s="391" t="s">
        <v>21892</v>
      </c>
      <c r="G657" s="23" t="s">
        <v>13997</v>
      </c>
      <c r="H657" s="23"/>
      <c r="I657" s="23"/>
      <c r="J657" s="23"/>
      <c r="K657" s="23"/>
      <c r="L657" s="375"/>
      <c r="M657" s="351"/>
      <c r="N657" s="267">
        <f t="shared" si="105"/>
        <v>0</v>
      </c>
      <c r="O657" s="268">
        <f t="shared" si="106"/>
        <v>0</v>
      </c>
      <c r="P657" s="239"/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/>
      <c r="AC657" s="196">
        <f t="shared" si="100"/>
        <v>0</v>
      </c>
      <c r="AD657" s="196">
        <f t="shared" si="101"/>
        <v>0</v>
      </c>
      <c r="AE657" s="196">
        <f t="shared" si="102"/>
        <v>0</v>
      </c>
      <c r="AF657" s="2">
        <f t="shared" si="103"/>
        <v>0</v>
      </c>
      <c r="AG657" s="2">
        <f t="shared" si="104"/>
        <v>0</v>
      </c>
    </row>
    <row r="658" spans="1:33">
      <c r="A658" s="20" t="s">
        <v>27127</v>
      </c>
      <c r="B658" s="150"/>
      <c r="C658" s="21" t="s">
        <v>119</v>
      </c>
      <c r="D658" s="109" t="s">
        <v>4059</v>
      </c>
      <c r="E658" s="109"/>
      <c r="F658" s="391" t="s">
        <v>26602</v>
      </c>
      <c r="G658" s="23" t="s">
        <v>26603</v>
      </c>
      <c r="H658" s="23"/>
      <c r="I658" s="23"/>
      <c r="J658" s="23"/>
      <c r="K658" s="23"/>
      <c r="L658" s="375" t="s">
        <v>45</v>
      </c>
      <c r="M658" s="351"/>
      <c r="N658" s="267">
        <f t="shared" ref="N658" si="107">SUM(L658:M658)</f>
        <v>0</v>
      </c>
      <c r="O658" s="268">
        <f t="shared" ref="O658" si="108">SUM(P658:Z658)</f>
        <v>100</v>
      </c>
      <c r="P658" s="239">
        <f>600-500</f>
        <v>100</v>
      </c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 t="s">
        <v>26655</v>
      </c>
      <c r="AC658" s="196">
        <f t="shared" si="100"/>
        <v>100</v>
      </c>
      <c r="AD658" s="196">
        <f t="shared" si="101"/>
        <v>100</v>
      </c>
      <c r="AE658" s="196">
        <f t="shared" si="102"/>
        <v>0</v>
      </c>
      <c r="AF658" s="2">
        <f t="shared" si="103"/>
        <v>100</v>
      </c>
      <c r="AG658" s="2">
        <f t="shared" si="104"/>
        <v>0</v>
      </c>
    </row>
    <row r="659" spans="1:33">
      <c r="A659" s="20" t="s">
        <v>21844</v>
      </c>
      <c r="B659" s="150"/>
      <c r="C659" s="21" t="s">
        <v>119</v>
      </c>
      <c r="D659" s="109" t="s">
        <v>3137</v>
      </c>
      <c r="E659" s="109"/>
      <c r="F659" s="391" t="s">
        <v>21892</v>
      </c>
      <c r="G659" s="23" t="s">
        <v>6133</v>
      </c>
      <c r="H659" s="23"/>
      <c r="I659" s="23"/>
      <c r="J659" s="23"/>
      <c r="K659" s="23"/>
      <c r="L659" s="375" t="s">
        <v>7787</v>
      </c>
      <c r="M659" s="351"/>
      <c r="N659" s="267">
        <f t="shared" si="105"/>
        <v>0</v>
      </c>
      <c r="O659" s="268">
        <f t="shared" si="106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100"/>
        <v>0</v>
      </c>
      <c r="AD659" s="196">
        <f t="shared" si="101"/>
        <v>0</v>
      </c>
      <c r="AE659" s="196">
        <f t="shared" si="102"/>
        <v>0</v>
      </c>
      <c r="AF659" s="2">
        <f t="shared" si="103"/>
        <v>0</v>
      </c>
      <c r="AG659" s="2">
        <f t="shared" si="104"/>
        <v>0</v>
      </c>
    </row>
    <row r="660" spans="1:33">
      <c r="A660" s="20" t="s">
        <v>1429</v>
      </c>
      <c r="B660" s="150"/>
      <c r="C660" s="21" t="s">
        <v>120</v>
      </c>
      <c r="D660" s="109" t="s">
        <v>13228</v>
      </c>
      <c r="E660" s="109"/>
      <c r="F660" s="391" t="s">
        <v>14027</v>
      </c>
      <c r="G660" s="23"/>
      <c r="H660" s="23"/>
      <c r="I660" s="23"/>
      <c r="J660" s="23"/>
      <c r="K660" s="23"/>
      <c r="L660" s="350"/>
      <c r="M660" s="351"/>
      <c r="N660" s="267">
        <f t="shared" si="105"/>
        <v>0</v>
      </c>
      <c r="O660" s="268">
        <f t="shared" si="106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100"/>
        <v>0</v>
      </c>
      <c r="AD660" s="196">
        <f t="shared" si="101"/>
        <v>0</v>
      </c>
      <c r="AE660" s="196">
        <f t="shared" si="102"/>
        <v>0</v>
      </c>
      <c r="AF660" s="2">
        <f t="shared" si="103"/>
        <v>0</v>
      </c>
      <c r="AG660" s="2">
        <f t="shared" si="104"/>
        <v>0</v>
      </c>
    </row>
    <row r="661" spans="1:33">
      <c r="A661" s="20" t="s">
        <v>1430</v>
      </c>
      <c r="B661" s="156" t="s">
        <v>14028</v>
      </c>
      <c r="C661" s="21" t="s">
        <v>121</v>
      </c>
      <c r="D661" s="109" t="s">
        <v>13228</v>
      </c>
      <c r="E661" s="109"/>
      <c r="F661" s="391" t="s">
        <v>14029</v>
      </c>
      <c r="G661" s="23" t="s">
        <v>14002</v>
      </c>
      <c r="H661" s="23" t="s">
        <v>13966</v>
      </c>
      <c r="I661" s="23" t="s">
        <v>13888</v>
      </c>
      <c r="J661" s="23"/>
      <c r="K661" s="23"/>
      <c r="L661" s="375"/>
      <c r="M661" s="351" t="s">
        <v>7787</v>
      </c>
      <c r="N661" s="267">
        <f t="shared" si="105"/>
        <v>0</v>
      </c>
      <c r="O661" s="268">
        <f t="shared" si="106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100"/>
        <v>0</v>
      </c>
      <c r="AD661" s="196">
        <f t="shared" si="101"/>
        <v>0</v>
      </c>
      <c r="AE661" s="196">
        <f t="shared" si="102"/>
        <v>0</v>
      </c>
      <c r="AF661" s="2">
        <f t="shared" si="103"/>
        <v>0</v>
      </c>
      <c r="AG661" s="2">
        <f t="shared" si="104"/>
        <v>0</v>
      </c>
    </row>
    <row r="662" spans="1:33">
      <c r="A662" s="20" t="s">
        <v>1431</v>
      </c>
      <c r="B662" s="161"/>
      <c r="C662" s="21" t="s">
        <v>121</v>
      </c>
      <c r="D662" s="109" t="s">
        <v>13207</v>
      </c>
      <c r="E662" s="109"/>
      <c r="F662" s="391" t="s">
        <v>14029</v>
      </c>
      <c r="G662" s="23"/>
      <c r="H662" s="23"/>
      <c r="I662" s="23"/>
      <c r="J662" s="23"/>
      <c r="K662" s="23"/>
      <c r="L662" s="350"/>
      <c r="M662" s="351"/>
      <c r="N662" s="267">
        <f t="shared" si="105"/>
        <v>0</v>
      </c>
      <c r="O662" s="268">
        <f t="shared" si="106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100"/>
        <v>0</v>
      </c>
      <c r="AD662" s="196">
        <f t="shared" si="101"/>
        <v>0</v>
      </c>
      <c r="AE662" s="196">
        <f t="shared" si="102"/>
        <v>0</v>
      </c>
      <c r="AF662" s="2">
        <f t="shared" si="103"/>
        <v>0</v>
      </c>
      <c r="AG662" s="2">
        <f t="shared" si="104"/>
        <v>0</v>
      </c>
    </row>
    <row r="663" spans="1:33">
      <c r="A663" s="20" t="s">
        <v>1754</v>
      </c>
      <c r="B663" s="161"/>
      <c r="C663" s="21" t="s">
        <v>739</v>
      </c>
      <c r="D663" s="109" t="s">
        <v>13228</v>
      </c>
      <c r="E663" s="109"/>
      <c r="F663" s="391" t="s">
        <v>14030</v>
      </c>
      <c r="G663" s="23"/>
      <c r="H663" s="23"/>
      <c r="I663" s="23"/>
      <c r="J663" s="23"/>
      <c r="K663" s="23"/>
      <c r="L663" s="350"/>
      <c r="M663" s="351"/>
      <c r="N663" s="267">
        <f t="shared" si="105"/>
        <v>0</v>
      </c>
      <c r="O663" s="268">
        <f t="shared" si="106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100"/>
        <v>0</v>
      </c>
      <c r="AD663" s="196">
        <f t="shared" si="101"/>
        <v>0</v>
      </c>
      <c r="AE663" s="196">
        <f t="shared" si="102"/>
        <v>0</v>
      </c>
      <c r="AF663" s="2">
        <f t="shared" si="103"/>
        <v>0</v>
      </c>
      <c r="AG663" s="2">
        <f t="shared" si="104"/>
        <v>0</v>
      </c>
    </row>
    <row r="664" spans="1:33">
      <c r="A664" s="20" t="s">
        <v>1433</v>
      </c>
      <c r="B664" s="150"/>
      <c r="C664" s="21" t="s">
        <v>122</v>
      </c>
      <c r="D664" s="109" t="s">
        <v>14004</v>
      </c>
      <c r="E664" s="109" t="s">
        <v>13210</v>
      </c>
      <c r="F664" s="391" t="s">
        <v>14031</v>
      </c>
      <c r="G664" s="23"/>
      <c r="H664" s="23"/>
      <c r="I664" s="23"/>
      <c r="J664" s="23"/>
      <c r="K664" s="23"/>
      <c r="L664" s="350"/>
      <c r="M664" s="351"/>
      <c r="N664" s="267">
        <f t="shared" si="105"/>
        <v>0</v>
      </c>
      <c r="O664" s="268">
        <f t="shared" si="106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79"/>
      <c r="AB664" s="238"/>
      <c r="AC664" s="196">
        <f t="shared" si="100"/>
        <v>0</v>
      </c>
      <c r="AD664" s="196">
        <f t="shared" si="101"/>
        <v>0</v>
      </c>
      <c r="AE664" s="196">
        <f t="shared" si="102"/>
        <v>0</v>
      </c>
      <c r="AF664" s="2">
        <f t="shared" si="103"/>
        <v>0</v>
      </c>
      <c r="AG664" s="2">
        <f t="shared" si="104"/>
        <v>0</v>
      </c>
    </row>
    <row r="665" spans="1:33">
      <c r="A665" s="20" t="s">
        <v>1432</v>
      </c>
      <c r="B665" s="150"/>
      <c r="C665" s="21" t="s">
        <v>122</v>
      </c>
      <c r="D665" s="109" t="s">
        <v>13228</v>
      </c>
      <c r="E665" s="109"/>
      <c r="F665" s="391" t="s">
        <v>14031</v>
      </c>
      <c r="G665" s="23" t="s">
        <v>13996</v>
      </c>
      <c r="H665" s="23" t="s">
        <v>13970</v>
      </c>
      <c r="I665" s="23"/>
      <c r="J665" s="23"/>
      <c r="K665" s="23"/>
      <c r="L665" s="375" t="s">
        <v>7787</v>
      </c>
      <c r="M665" s="351" t="s">
        <v>7787</v>
      </c>
      <c r="N665" s="267">
        <f t="shared" si="105"/>
        <v>0</v>
      </c>
      <c r="O665" s="268">
        <f t="shared" si="106"/>
        <v>0</v>
      </c>
      <c r="P665" s="239"/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85"/>
      <c r="AB665" s="238"/>
      <c r="AC665" s="196">
        <f t="shared" si="100"/>
        <v>0</v>
      </c>
      <c r="AD665" s="196">
        <f t="shared" si="101"/>
        <v>0</v>
      </c>
      <c r="AE665" s="196">
        <f t="shared" si="102"/>
        <v>0</v>
      </c>
      <c r="AF665" s="2">
        <f t="shared" si="103"/>
        <v>0</v>
      </c>
      <c r="AG665" s="2">
        <f t="shared" si="104"/>
        <v>0</v>
      </c>
    </row>
    <row r="666" spans="1:33">
      <c r="A666" s="20" t="s">
        <v>1434</v>
      </c>
      <c r="B666" s="162" t="s">
        <v>14032</v>
      </c>
      <c r="C666" s="21" t="s">
        <v>122</v>
      </c>
      <c r="D666" s="109" t="s">
        <v>13207</v>
      </c>
      <c r="E666" s="109"/>
      <c r="F666" s="391" t="s">
        <v>14031</v>
      </c>
      <c r="G666" s="23" t="s">
        <v>14002</v>
      </c>
      <c r="H666" s="23" t="s">
        <v>14033</v>
      </c>
      <c r="I666" s="23" t="s">
        <v>13950</v>
      </c>
      <c r="J666" s="23" t="s">
        <v>21284</v>
      </c>
      <c r="K666" s="23" t="s">
        <v>13970</v>
      </c>
      <c r="L666" s="375" t="s">
        <v>45</v>
      </c>
      <c r="M666" s="351" t="s">
        <v>45</v>
      </c>
      <c r="N666" s="267">
        <f t="shared" si="105"/>
        <v>0</v>
      </c>
      <c r="O666" s="268">
        <f t="shared" si="106"/>
        <v>1850</v>
      </c>
      <c r="P666" s="239">
        <f>1400-1200+1300+950-2000+1500-1500-200+600+400+800-1200+1000</f>
        <v>1850</v>
      </c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 t="s">
        <v>26803</v>
      </c>
      <c r="AC666" s="196">
        <f t="shared" si="100"/>
        <v>1850</v>
      </c>
      <c r="AD666" s="196">
        <f t="shared" si="101"/>
        <v>1850</v>
      </c>
      <c r="AE666" s="196">
        <f t="shared" si="102"/>
        <v>0</v>
      </c>
      <c r="AF666" s="2">
        <f t="shared" si="103"/>
        <v>1850</v>
      </c>
      <c r="AG666" s="2">
        <f t="shared" si="104"/>
        <v>0</v>
      </c>
    </row>
    <row r="667" spans="1:33">
      <c r="A667" s="20" t="s">
        <v>1435</v>
      </c>
      <c r="B667" s="162" t="s">
        <v>14034</v>
      </c>
      <c r="C667" s="21" t="s">
        <v>123</v>
      </c>
      <c r="D667" s="109" t="s">
        <v>13228</v>
      </c>
      <c r="E667" s="109"/>
      <c r="F667" s="391" t="s">
        <v>14035</v>
      </c>
      <c r="G667" s="23" t="s">
        <v>13215</v>
      </c>
      <c r="H667" s="23" t="s">
        <v>13976</v>
      </c>
      <c r="I667" s="23" t="s">
        <v>14002</v>
      </c>
      <c r="J667" s="23" t="s">
        <v>18365</v>
      </c>
      <c r="K667" s="23"/>
      <c r="L667" s="375"/>
      <c r="M667" s="351"/>
      <c r="N667" s="267">
        <f t="shared" si="105"/>
        <v>0</v>
      </c>
      <c r="O667" s="268">
        <f t="shared" si="106"/>
        <v>0</v>
      </c>
      <c r="P667" s="239"/>
      <c r="Q667" s="239"/>
      <c r="R667" s="239"/>
      <c r="S667" s="239"/>
      <c r="T667" s="239"/>
      <c r="U667" s="240"/>
      <c r="V667" s="240"/>
      <c r="W667" s="240"/>
      <c r="X667" s="278"/>
      <c r="Y667" s="237"/>
      <c r="Z667" s="237"/>
      <c r="AA667" s="279"/>
      <c r="AB667" s="238"/>
      <c r="AC667" s="196">
        <f t="shared" si="100"/>
        <v>0</v>
      </c>
      <c r="AD667" s="196">
        <f t="shared" si="101"/>
        <v>0</v>
      </c>
      <c r="AE667" s="196">
        <f t="shared" si="102"/>
        <v>0</v>
      </c>
      <c r="AF667" s="2">
        <f t="shared" si="103"/>
        <v>0</v>
      </c>
      <c r="AG667" s="2">
        <f t="shared" si="104"/>
        <v>0</v>
      </c>
    </row>
    <row r="668" spans="1:33">
      <c r="A668" s="20" t="s">
        <v>12240</v>
      </c>
      <c r="B668" s="162"/>
      <c r="C668" s="21" t="s">
        <v>123</v>
      </c>
      <c r="D668" s="109" t="s">
        <v>13207</v>
      </c>
      <c r="E668" s="109"/>
      <c r="F668" s="391" t="s">
        <v>14035</v>
      </c>
      <c r="G668" s="23" t="s">
        <v>14036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 t="s">
        <v>45</v>
      </c>
      <c r="M668" s="351" t="s">
        <v>45</v>
      </c>
      <c r="N668" s="267">
        <f t="shared" si="105"/>
        <v>0</v>
      </c>
      <c r="O668" s="268">
        <f t="shared" si="106"/>
        <v>0</v>
      </c>
      <c r="P668" s="239"/>
      <c r="Q668" s="239"/>
      <c r="R668" s="239"/>
      <c r="S668" s="239"/>
      <c r="T668" s="239"/>
      <c r="U668" s="239"/>
      <c r="V668" s="240"/>
      <c r="W668" s="240"/>
      <c r="X668" s="278"/>
      <c r="Y668" s="237"/>
      <c r="Z668" s="237"/>
      <c r="AA668" s="279"/>
      <c r="AB668" s="238"/>
      <c r="AC668" s="196">
        <f t="shared" si="100"/>
        <v>0</v>
      </c>
      <c r="AD668" s="196">
        <f t="shared" si="101"/>
        <v>0</v>
      </c>
      <c r="AE668" s="196">
        <f t="shared" si="102"/>
        <v>0</v>
      </c>
      <c r="AF668" s="2">
        <f t="shared" si="103"/>
        <v>0</v>
      </c>
      <c r="AG668" s="2">
        <f t="shared" si="104"/>
        <v>0</v>
      </c>
    </row>
    <row r="669" spans="1:33">
      <c r="A669" s="20" t="s">
        <v>23164</v>
      </c>
      <c r="B669" s="162"/>
      <c r="C669" s="21" t="s">
        <v>123</v>
      </c>
      <c r="D669" s="109" t="s">
        <v>3096</v>
      </c>
      <c r="E669" s="109" t="s">
        <v>19813</v>
      </c>
      <c r="F669" s="391" t="s">
        <v>4350</v>
      </c>
      <c r="G669" s="23" t="s">
        <v>13531</v>
      </c>
      <c r="H669" s="23" t="s">
        <v>13928</v>
      </c>
      <c r="I669" s="23" t="s">
        <v>19809</v>
      </c>
      <c r="J669" s="23" t="s">
        <v>20243</v>
      </c>
      <c r="K669" s="23" t="s">
        <v>21029</v>
      </c>
      <c r="L669" s="375"/>
      <c r="M669" s="351" t="s">
        <v>45</v>
      </c>
      <c r="N669" s="267">
        <f t="shared" si="105"/>
        <v>0</v>
      </c>
      <c r="O669" s="268">
        <f t="shared" si="106"/>
        <v>300</v>
      </c>
      <c r="P669" s="239"/>
      <c r="Q669" s="239"/>
      <c r="R669" s="239"/>
      <c r="S669" s="239"/>
      <c r="T669" s="239"/>
      <c r="U669" s="239">
        <f>1300-1000</f>
        <v>300</v>
      </c>
      <c r="V669" s="240"/>
      <c r="W669" s="240"/>
      <c r="X669" s="278"/>
      <c r="Y669" s="237"/>
      <c r="Z669" s="237"/>
      <c r="AA669" s="279"/>
      <c r="AB669" s="238" t="s">
        <v>27873</v>
      </c>
      <c r="AC669" s="196">
        <f t="shared" si="100"/>
        <v>300</v>
      </c>
      <c r="AD669" s="196">
        <f t="shared" si="101"/>
        <v>300</v>
      </c>
      <c r="AE669" s="196">
        <f t="shared" si="102"/>
        <v>0</v>
      </c>
      <c r="AF669" s="2">
        <f t="shared" si="103"/>
        <v>300</v>
      </c>
      <c r="AG669" s="2">
        <f t="shared" si="104"/>
        <v>0</v>
      </c>
    </row>
    <row r="670" spans="1:33">
      <c r="A670" s="20" t="s">
        <v>19880</v>
      </c>
      <c r="B670" s="162"/>
      <c r="C670" s="21" t="s">
        <v>123</v>
      </c>
      <c r="D670" s="109" t="s">
        <v>19330</v>
      </c>
      <c r="E670" s="109" t="s">
        <v>19331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5"/>
        <v>0</v>
      </c>
      <c r="O670" s="268">
        <f t="shared" si="106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100"/>
        <v>0</v>
      </c>
      <c r="AD670" s="196">
        <f t="shared" si="101"/>
        <v>0</v>
      </c>
      <c r="AE670" s="196">
        <f t="shared" si="102"/>
        <v>0</v>
      </c>
      <c r="AF670" s="2">
        <f t="shared" si="103"/>
        <v>0</v>
      </c>
      <c r="AG670" s="2">
        <f t="shared" si="104"/>
        <v>0</v>
      </c>
    </row>
    <row r="671" spans="1:33">
      <c r="A671" s="20" t="s">
        <v>19881</v>
      </c>
      <c r="B671" s="162"/>
      <c r="C671" s="21" t="s">
        <v>123</v>
      </c>
      <c r="D671" s="109" t="s">
        <v>19330</v>
      </c>
      <c r="E671" s="109" t="s">
        <v>19332</v>
      </c>
      <c r="F671" s="391" t="s">
        <v>4350</v>
      </c>
      <c r="G671" s="23" t="s">
        <v>13515</v>
      </c>
      <c r="H671" s="23"/>
      <c r="I671" s="23"/>
      <c r="J671" s="23"/>
      <c r="K671" s="23"/>
      <c r="L671" s="375" t="s">
        <v>7787</v>
      </c>
      <c r="M671" s="351" t="s">
        <v>7787</v>
      </c>
      <c r="N671" s="267">
        <f t="shared" si="105"/>
        <v>0</v>
      </c>
      <c r="O671" s="268">
        <f t="shared" si="106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100"/>
        <v>0</v>
      </c>
      <c r="AD671" s="196">
        <f t="shared" si="101"/>
        <v>0</v>
      </c>
      <c r="AE671" s="196">
        <f t="shared" si="102"/>
        <v>0</v>
      </c>
      <c r="AF671" s="2">
        <f t="shared" si="103"/>
        <v>0</v>
      </c>
      <c r="AG671" s="2">
        <f t="shared" si="104"/>
        <v>0</v>
      </c>
    </row>
    <row r="672" spans="1:33">
      <c r="A672" s="20" t="s">
        <v>20200</v>
      </c>
      <c r="B672" s="162"/>
      <c r="C672" s="21" t="s">
        <v>123</v>
      </c>
      <c r="D672" s="109" t="s">
        <v>20353</v>
      </c>
      <c r="E672" s="109" t="s">
        <v>3117</v>
      </c>
      <c r="F672" s="391" t="s">
        <v>4350</v>
      </c>
      <c r="G672" s="23"/>
      <c r="H672" s="23"/>
      <c r="I672" s="23"/>
      <c r="J672" s="23"/>
      <c r="K672" s="23"/>
      <c r="L672" s="375"/>
      <c r="M672" s="351"/>
      <c r="N672" s="267">
        <f t="shared" si="105"/>
        <v>0</v>
      </c>
      <c r="O672" s="268">
        <f t="shared" si="106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100"/>
        <v>0</v>
      </c>
      <c r="AD672" s="196">
        <f t="shared" si="101"/>
        <v>0</v>
      </c>
      <c r="AE672" s="196">
        <f t="shared" si="102"/>
        <v>0</v>
      </c>
      <c r="AF672" s="2">
        <f t="shared" si="103"/>
        <v>0</v>
      </c>
      <c r="AG672" s="2">
        <f t="shared" si="104"/>
        <v>0</v>
      </c>
    </row>
    <row r="673" spans="1:33">
      <c r="A673" s="20" t="s">
        <v>1436</v>
      </c>
      <c r="B673" s="150"/>
      <c r="C673" s="21" t="s">
        <v>124</v>
      </c>
      <c r="D673" s="109" t="s">
        <v>13207</v>
      </c>
      <c r="E673" s="109"/>
      <c r="F673" s="391" t="s">
        <v>14037</v>
      </c>
      <c r="G673" s="23"/>
      <c r="H673" s="23"/>
      <c r="I673" s="23"/>
      <c r="J673" s="23"/>
      <c r="K673" s="23"/>
      <c r="L673" s="350"/>
      <c r="M673" s="351"/>
      <c r="N673" s="267">
        <f t="shared" si="105"/>
        <v>0</v>
      </c>
      <c r="O673" s="268">
        <f t="shared" si="106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100"/>
        <v>0</v>
      </c>
      <c r="AD673" s="196">
        <f t="shared" si="101"/>
        <v>0</v>
      </c>
      <c r="AE673" s="196">
        <f t="shared" si="102"/>
        <v>0</v>
      </c>
      <c r="AF673" s="2">
        <f t="shared" si="103"/>
        <v>0</v>
      </c>
      <c r="AG673" s="2">
        <f t="shared" si="104"/>
        <v>0</v>
      </c>
    </row>
    <row r="674" spans="1:33">
      <c r="A674" s="20" t="s">
        <v>1437</v>
      </c>
      <c r="B674" s="150"/>
      <c r="C674" s="21" t="s">
        <v>125</v>
      </c>
      <c r="D674" s="109" t="s">
        <v>14038</v>
      </c>
      <c r="E674" s="109"/>
      <c r="F674" s="391" t="s">
        <v>14039</v>
      </c>
      <c r="G674" s="23"/>
      <c r="H674" s="23"/>
      <c r="I674" s="23"/>
      <c r="J674" s="23"/>
      <c r="K674" s="23"/>
      <c r="L674" s="350"/>
      <c r="M674" s="351"/>
      <c r="N674" s="267">
        <f t="shared" si="105"/>
        <v>0</v>
      </c>
      <c r="O674" s="268">
        <f t="shared" si="106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100"/>
        <v>0</v>
      </c>
      <c r="AD674" s="196">
        <f t="shared" si="101"/>
        <v>0</v>
      </c>
      <c r="AE674" s="196">
        <f t="shared" si="102"/>
        <v>0</v>
      </c>
      <c r="AF674" s="2">
        <f t="shared" si="103"/>
        <v>0</v>
      </c>
      <c r="AG674" s="2">
        <f t="shared" si="104"/>
        <v>0</v>
      </c>
    </row>
    <row r="675" spans="1:33">
      <c r="A675" s="20" t="s">
        <v>1438</v>
      </c>
      <c r="B675" s="150"/>
      <c r="C675" s="21" t="s">
        <v>125</v>
      </c>
      <c r="D675" s="109" t="s">
        <v>14038</v>
      </c>
      <c r="E675" s="109"/>
      <c r="F675" s="391" t="s">
        <v>14040</v>
      </c>
      <c r="G675" s="23"/>
      <c r="H675" s="23"/>
      <c r="I675" s="23"/>
      <c r="J675" s="23"/>
      <c r="K675" s="23"/>
      <c r="L675" s="350"/>
      <c r="M675" s="351"/>
      <c r="N675" s="267">
        <f t="shared" si="105"/>
        <v>0</v>
      </c>
      <c r="O675" s="268">
        <f t="shared" si="106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79"/>
      <c r="AB675" s="238"/>
      <c r="AC675" s="196">
        <f t="shared" si="100"/>
        <v>0</v>
      </c>
      <c r="AD675" s="196">
        <f t="shared" si="101"/>
        <v>0</v>
      </c>
      <c r="AE675" s="196">
        <f t="shared" si="102"/>
        <v>0</v>
      </c>
      <c r="AF675" s="2">
        <f t="shared" si="103"/>
        <v>0</v>
      </c>
      <c r="AG675" s="2">
        <f t="shared" si="104"/>
        <v>0</v>
      </c>
    </row>
    <row r="676" spans="1:33">
      <c r="A676" s="20" t="s">
        <v>1443</v>
      </c>
      <c r="B676" s="150"/>
      <c r="C676" s="21" t="s">
        <v>126</v>
      </c>
      <c r="D676" s="109" t="s">
        <v>14041</v>
      </c>
      <c r="E676" s="109" t="s">
        <v>13203</v>
      </c>
      <c r="F676" s="391" t="s">
        <v>14042</v>
      </c>
      <c r="G676" s="23"/>
      <c r="H676" s="23"/>
      <c r="I676" s="23"/>
      <c r="J676" s="23"/>
      <c r="K676" s="23"/>
      <c r="L676" s="350"/>
      <c r="M676" s="351"/>
      <c r="N676" s="267">
        <f t="shared" si="105"/>
        <v>0</v>
      </c>
      <c r="O676" s="268">
        <f t="shared" si="106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85"/>
      <c r="AB676" s="238"/>
      <c r="AC676" s="196">
        <f t="shared" si="100"/>
        <v>0</v>
      </c>
      <c r="AD676" s="196">
        <f t="shared" si="101"/>
        <v>0</v>
      </c>
      <c r="AE676" s="196">
        <f t="shared" si="102"/>
        <v>0</v>
      </c>
      <c r="AF676" s="2">
        <f t="shared" si="103"/>
        <v>0</v>
      </c>
      <c r="AG676" s="2">
        <f t="shared" si="104"/>
        <v>0</v>
      </c>
    </row>
    <row r="677" spans="1:33">
      <c r="A677" s="20" t="s">
        <v>1449</v>
      </c>
      <c r="B677" s="150"/>
      <c r="C677" s="21" t="s">
        <v>126</v>
      </c>
      <c r="D677" s="109" t="s">
        <v>14041</v>
      </c>
      <c r="E677" s="109" t="s">
        <v>14043</v>
      </c>
      <c r="F677" s="391" t="s">
        <v>4357</v>
      </c>
      <c r="G677" s="23" t="s">
        <v>14044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5"/>
        <v>0</v>
      </c>
      <c r="O677" s="268">
        <f t="shared" si="106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79"/>
      <c r="AB677" s="238"/>
      <c r="AC677" s="196">
        <f t="shared" si="100"/>
        <v>0</v>
      </c>
      <c r="AD677" s="196">
        <f t="shared" si="101"/>
        <v>0</v>
      </c>
      <c r="AE677" s="196">
        <f t="shared" si="102"/>
        <v>0</v>
      </c>
      <c r="AF677" s="2">
        <f t="shared" si="103"/>
        <v>0</v>
      </c>
      <c r="AG677" s="2">
        <f t="shared" si="104"/>
        <v>0</v>
      </c>
    </row>
    <row r="678" spans="1:33">
      <c r="A678" s="20" t="s">
        <v>1444</v>
      </c>
      <c r="B678" s="161"/>
      <c r="C678" s="21" t="s">
        <v>126</v>
      </c>
      <c r="D678" s="109" t="s">
        <v>14041</v>
      </c>
      <c r="E678" s="109" t="s">
        <v>13994</v>
      </c>
      <c r="F678" s="391" t="s">
        <v>14042</v>
      </c>
      <c r="G678" s="23" t="s">
        <v>14023</v>
      </c>
      <c r="H678" s="23"/>
      <c r="I678" s="23"/>
      <c r="J678" s="23"/>
      <c r="K678" s="23"/>
      <c r="L678" s="375" t="s">
        <v>7787</v>
      </c>
      <c r="M678" s="351" t="s">
        <v>7787</v>
      </c>
      <c r="N678" s="267">
        <f t="shared" si="105"/>
        <v>0</v>
      </c>
      <c r="O678" s="268">
        <f t="shared" si="106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100"/>
        <v>0</v>
      </c>
      <c r="AD678" s="196">
        <f t="shared" si="101"/>
        <v>0</v>
      </c>
      <c r="AE678" s="196">
        <f t="shared" si="102"/>
        <v>0</v>
      </c>
      <c r="AF678" s="2">
        <f t="shared" si="103"/>
        <v>0</v>
      </c>
      <c r="AG678" s="2">
        <f t="shared" si="104"/>
        <v>0</v>
      </c>
    </row>
    <row r="679" spans="1:33">
      <c r="A679" s="20" t="s">
        <v>22894</v>
      </c>
      <c r="B679" s="161"/>
      <c r="C679" s="21" t="s">
        <v>126</v>
      </c>
      <c r="D679" s="109" t="s">
        <v>22959</v>
      </c>
      <c r="E679" s="109" t="s">
        <v>22957</v>
      </c>
      <c r="F679" s="391" t="s">
        <v>4357</v>
      </c>
      <c r="G679" s="23" t="s">
        <v>22958</v>
      </c>
      <c r="H679" s="23"/>
      <c r="I679" s="23"/>
      <c r="J679" s="23"/>
      <c r="K679" s="23"/>
      <c r="L679" s="375"/>
      <c r="M679" s="351"/>
      <c r="N679" s="267">
        <f t="shared" si="105"/>
        <v>0</v>
      </c>
      <c r="O679" s="268">
        <f t="shared" si="106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100"/>
        <v>0</v>
      </c>
      <c r="AD679" s="196">
        <f t="shared" si="101"/>
        <v>0</v>
      </c>
      <c r="AE679" s="196">
        <f t="shared" si="102"/>
        <v>0</v>
      </c>
      <c r="AF679" s="2">
        <f t="shared" si="103"/>
        <v>0</v>
      </c>
      <c r="AG679" s="2">
        <f t="shared" si="104"/>
        <v>0</v>
      </c>
    </row>
    <row r="680" spans="1:33" ht="22.9" customHeight="1">
      <c r="A680" s="20" t="s">
        <v>1439</v>
      </c>
      <c r="B680" s="161"/>
      <c r="C680" s="21" t="s">
        <v>126</v>
      </c>
      <c r="D680" s="109" t="s">
        <v>14004</v>
      </c>
      <c r="E680" s="109" t="s">
        <v>13210</v>
      </c>
      <c r="F680" s="391" t="s">
        <v>14045</v>
      </c>
      <c r="G680" s="23" t="s">
        <v>14044</v>
      </c>
      <c r="H680" s="23"/>
      <c r="I680" s="23"/>
      <c r="J680" s="23"/>
      <c r="K680" s="23"/>
      <c r="L680" s="375" t="s">
        <v>7787</v>
      </c>
      <c r="M680" s="351"/>
      <c r="N680" s="267">
        <f t="shared" si="105"/>
        <v>0</v>
      </c>
      <c r="O680" s="268">
        <f t="shared" si="106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100"/>
        <v>0</v>
      </c>
      <c r="AD680" s="196">
        <f t="shared" si="101"/>
        <v>0</v>
      </c>
      <c r="AE680" s="196">
        <f t="shared" si="102"/>
        <v>0</v>
      </c>
      <c r="AF680" s="2">
        <f t="shared" si="103"/>
        <v>0</v>
      </c>
      <c r="AG680" s="2">
        <f t="shared" si="104"/>
        <v>0</v>
      </c>
    </row>
    <row r="681" spans="1:33" ht="20.45" customHeight="1">
      <c r="A681" s="20" t="s">
        <v>18749</v>
      </c>
      <c r="B681" s="161"/>
      <c r="C681" s="21" t="s">
        <v>126</v>
      </c>
      <c r="D681" s="109" t="s">
        <v>3122</v>
      </c>
      <c r="E681" s="109" t="s">
        <v>18742</v>
      </c>
      <c r="F681" s="391" t="s">
        <v>4355</v>
      </c>
      <c r="G681" s="23" t="s">
        <v>18851</v>
      </c>
      <c r="H681" s="23"/>
      <c r="I681" s="23"/>
      <c r="J681" s="23"/>
      <c r="K681" s="23"/>
      <c r="L681" s="375"/>
      <c r="M681" s="351"/>
      <c r="N681" s="267">
        <f t="shared" si="105"/>
        <v>0</v>
      </c>
      <c r="O681" s="268">
        <f t="shared" si="106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100"/>
        <v>0</v>
      </c>
      <c r="AD681" s="196">
        <f t="shared" si="101"/>
        <v>0</v>
      </c>
      <c r="AE681" s="196">
        <f t="shared" si="102"/>
        <v>0</v>
      </c>
      <c r="AF681" s="2">
        <f t="shared" si="103"/>
        <v>0</v>
      </c>
      <c r="AG681" s="2">
        <f t="shared" si="104"/>
        <v>0</v>
      </c>
    </row>
    <row r="682" spans="1:33" ht="20.45" customHeight="1">
      <c r="A682" s="20" t="s">
        <v>18901</v>
      </c>
      <c r="B682" s="161"/>
      <c r="C682" s="21" t="s">
        <v>126</v>
      </c>
      <c r="D682" s="109" t="s">
        <v>3122</v>
      </c>
      <c r="E682" s="109" t="s">
        <v>3132</v>
      </c>
      <c r="F682" s="391" t="s">
        <v>4355</v>
      </c>
      <c r="G682" s="23" t="s">
        <v>18851</v>
      </c>
      <c r="H682" s="23"/>
      <c r="I682" s="23"/>
      <c r="J682" s="23"/>
      <c r="K682" s="23"/>
      <c r="L682" s="375" t="s">
        <v>7787</v>
      </c>
      <c r="M682" s="351"/>
      <c r="N682" s="267">
        <f t="shared" si="105"/>
        <v>0</v>
      </c>
      <c r="O682" s="268">
        <f t="shared" si="106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85"/>
      <c r="AB682" s="238"/>
      <c r="AC682" s="196">
        <f t="shared" si="100"/>
        <v>0</v>
      </c>
      <c r="AD682" s="196">
        <f t="shared" si="101"/>
        <v>0</v>
      </c>
      <c r="AE682" s="196">
        <f t="shared" si="102"/>
        <v>0</v>
      </c>
      <c r="AF682" s="2">
        <f t="shared" si="103"/>
        <v>0</v>
      </c>
      <c r="AG682" s="2">
        <f t="shared" si="104"/>
        <v>0</v>
      </c>
    </row>
    <row r="683" spans="1:33">
      <c r="A683" s="20" t="s">
        <v>1440</v>
      </c>
      <c r="B683" s="161"/>
      <c r="C683" s="21" t="s">
        <v>126</v>
      </c>
      <c r="D683" s="109" t="s">
        <v>14004</v>
      </c>
      <c r="E683" s="109" t="s">
        <v>13210</v>
      </c>
      <c r="F683" s="391" t="s">
        <v>14046</v>
      </c>
      <c r="G683" s="23" t="s">
        <v>14047</v>
      </c>
      <c r="H683" s="23"/>
      <c r="I683" s="23"/>
      <c r="J683" s="23"/>
      <c r="K683" s="23"/>
      <c r="L683" s="375" t="s">
        <v>7787</v>
      </c>
      <c r="M683" s="351" t="s">
        <v>7787</v>
      </c>
      <c r="N683" s="267">
        <f t="shared" si="105"/>
        <v>0</v>
      </c>
      <c r="O683" s="268">
        <f t="shared" si="106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7"/>
      <c r="Z683" s="237"/>
      <c r="AA683" s="279"/>
      <c r="AB683" s="238"/>
      <c r="AC683" s="196">
        <f t="shared" si="100"/>
        <v>0</v>
      </c>
      <c r="AD683" s="196">
        <f t="shared" si="101"/>
        <v>0</v>
      </c>
      <c r="AE683" s="196">
        <f t="shared" si="102"/>
        <v>0</v>
      </c>
      <c r="AF683" s="2">
        <f t="shared" si="103"/>
        <v>0</v>
      </c>
      <c r="AG683" s="2">
        <f t="shared" si="104"/>
        <v>0</v>
      </c>
    </row>
    <row r="684" spans="1:33">
      <c r="A684" s="20" t="s">
        <v>1445</v>
      </c>
      <c r="B684" s="156" t="s">
        <v>14048</v>
      </c>
      <c r="C684" s="21" t="s">
        <v>126</v>
      </c>
      <c r="D684" s="109" t="s">
        <v>14049</v>
      </c>
      <c r="E684" s="109" t="s">
        <v>25638</v>
      </c>
      <c r="F684" s="391" t="s">
        <v>14042</v>
      </c>
      <c r="G684" s="23" t="s">
        <v>13972</v>
      </c>
      <c r="H684" s="23" t="s">
        <v>14248</v>
      </c>
      <c r="I684" s="23"/>
      <c r="J684" s="23"/>
      <c r="K684" s="23"/>
      <c r="L684" s="356" t="s">
        <v>7787</v>
      </c>
      <c r="M684" s="375" t="s">
        <v>7787</v>
      </c>
      <c r="N684" s="267">
        <f t="shared" si="105"/>
        <v>0</v>
      </c>
      <c r="O684" s="268">
        <f t="shared" si="106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85"/>
      <c r="AB684" s="238"/>
      <c r="AC684" s="196">
        <f t="shared" si="100"/>
        <v>0</v>
      </c>
      <c r="AD684" s="196">
        <f t="shared" si="101"/>
        <v>0</v>
      </c>
      <c r="AE684" s="196">
        <f t="shared" si="102"/>
        <v>0</v>
      </c>
      <c r="AF684" s="2">
        <f t="shared" si="103"/>
        <v>0</v>
      </c>
      <c r="AG684" s="2">
        <f t="shared" si="104"/>
        <v>0</v>
      </c>
    </row>
    <row r="685" spans="1:33">
      <c r="A685" s="20" t="s">
        <v>1447</v>
      </c>
      <c r="B685" s="162" t="s">
        <v>5819</v>
      </c>
      <c r="C685" s="21" t="s">
        <v>126</v>
      </c>
      <c r="D685" s="109" t="s">
        <v>13228</v>
      </c>
      <c r="E685" s="109"/>
      <c r="F685" s="391" t="s">
        <v>14042</v>
      </c>
      <c r="G685" s="23" t="s">
        <v>14002</v>
      </c>
      <c r="H685" s="23" t="s">
        <v>13976</v>
      </c>
      <c r="I685" s="23" t="s">
        <v>14050</v>
      </c>
      <c r="J685" s="23" t="s">
        <v>14051</v>
      </c>
      <c r="K685" s="23" t="s">
        <v>13249</v>
      </c>
      <c r="L685" s="356" t="s">
        <v>7787</v>
      </c>
      <c r="M685" s="356" t="s">
        <v>7787</v>
      </c>
      <c r="N685" s="267">
        <f t="shared" si="105"/>
        <v>0</v>
      </c>
      <c r="O685" s="268">
        <f t="shared" si="106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9"/>
      <c r="Z685" s="237"/>
      <c r="AA685" s="279"/>
      <c r="AB685" s="238"/>
      <c r="AC685" s="196">
        <f t="shared" si="100"/>
        <v>0</v>
      </c>
      <c r="AD685" s="196">
        <f t="shared" si="101"/>
        <v>0</v>
      </c>
      <c r="AE685" s="196">
        <f t="shared" si="102"/>
        <v>0</v>
      </c>
      <c r="AF685" s="2">
        <f t="shared" si="103"/>
        <v>0</v>
      </c>
      <c r="AG685" s="2">
        <f t="shared" si="104"/>
        <v>0</v>
      </c>
    </row>
    <row r="686" spans="1:33">
      <c r="A686" s="20" t="s">
        <v>10036</v>
      </c>
      <c r="B686" s="162"/>
      <c r="C686" s="213" t="s">
        <v>14052</v>
      </c>
      <c r="D686" s="109" t="s">
        <v>13228</v>
      </c>
      <c r="E686" s="158" t="s">
        <v>19727</v>
      </c>
      <c r="F686" s="393" t="s">
        <v>14042</v>
      </c>
      <c r="G686" s="380" t="s">
        <v>14054</v>
      </c>
      <c r="H686" s="23"/>
      <c r="I686" s="23"/>
      <c r="J686" s="23"/>
      <c r="K686" s="23"/>
      <c r="L686" s="356" t="s">
        <v>7787</v>
      </c>
      <c r="M686" s="363" t="s">
        <v>7787</v>
      </c>
      <c r="N686" s="267">
        <f t="shared" si="105"/>
        <v>0</v>
      </c>
      <c r="O686" s="268">
        <f t="shared" si="106"/>
        <v>0</v>
      </c>
      <c r="P686" s="239"/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/>
      <c r="AC686" s="196">
        <f t="shared" si="100"/>
        <v>0</v>
      </c>
      <c r="AD686" s="196">
        <f t="shared" si="101"/>
        <v>0</v>
      </c>
      <c r="AE686" s="196">
        <f t="shared" si="102"/>
        <v>0</v>
      </c>
      <c r="AF686" s="2">
        <f t="shared" si="103"/>
        <v>0</v>
      </c>
      <c r="AG686" s="2">
        <f t="shared" si="104"/>
        <v>0</v>
      </c>
    </row>
    <row r="687" spans="1:33" ht="19.5" customHeight="1">
      <c r="A687" s="20" t="s">
        <v>1446</v>
      </c>
      <c r="B687" s="164" t="s">
        <v>14055</v>
      </c>
      <c r="C687" s="21" t="s">
        <v>126</v>
      </c>
      <c r="D687" s="109" t="s">
        <v>13207</v>
      </c>
      <c r="E687" s="109" t="s">
        <v>26428</v>
      </c>
      <c r="F687" s="391" t="s">
        <v>14042</v>
      </c>
      <c r="G687" s="23" t="s">
        <v>17521</v>
      </c>
      <c r="H687" s="23" t="s">
        <v>20652</v>
      </c>
      <c r="I687" s="23" t="s">
        <v>14057</v>
      </c>
      <c r="J687" s="23" t="s">
        <v>14058</v>
      </c>
      <c r="K687" s="23" t="s">
        <v>14051</v>
      </c>
      <c r="L687" s="375" t="s">
        <v>7787</v>
      </c>
      <c r="M687" s="351" t="s">
        <v>7787</v>
      </c>
      <c r="N687" s="267">
        <f t="shared" si="105"/>
        <v>0</v>
      </c>
      <c r="O687" s="268">
        <f t="shared" si="106"/>
        <v>1050</v>
      </c>
      <c r="P687" s="239">
        <f>2000-1750+1500-500-500-200+1500-1000-1000+1000</f>
        <v>1050</v>
      </c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 t="s">
        <v>27230</v>
      </c>
      <c r="AC687" s="196">
        <f t="shared" si="100"/>
        <v>1050</v>
      </c>
      <c r="AD687" s="196">
        <f t="shared" si="101"/>
        <v>1050</v>
      </c>
      <c r="AE687" s="196">
        <f t="shared" si="102"/>
        <v>0</v>
      </c>
      <c r="AF687" s="2">
        <f t="shared" si="103"/>
        <v>1050</v>
      </c>
      <c r="AG687" s="2">
        <f t="shared" si="104"/>
        <v>0</v>
      </c>
    </row>
    <row r="688" spans="1:33" ht="19.5" customHeight="1">
      <c r="A688" s="20" t="s">
        <v>7783</v>
      </c>
      <c r="B688" s="150"/>
      <c r="C688" s="21" t="s">
        <v>126</v>
      </c>
      <c r="D688" s="109" t="s">
        <v>13232</v>
      </c>
      <c r="E688" s="109"/>
      <c r="F688" s="391" t="s">
        <v>14042</v>
      </c>
      <c r="G688" s="23" t="s">
        <v>14059</v>
      </c>
      <c r="H688" s="23"/>
      <c r="I688" s="23"/>
      <c r="J688" s="23"/>
      <c r="K688" s="23"/>
      <c r="L688" s="375"/>
      <c r="M688" s="351"/>
      <c r="N688" s="267">
        <f t="shared" si="105"/>
        <v>0</v>
      </c>
      <c r="O688" s="268">
        <f t="shared" si="106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79"/>
      <c r="AB688" s="238"/>
      <c r="AC688" s="196">
        <f t="shared" si="100"/>
        <v>0</v>
      </c>
      <c r="AD688" s="196">
        <f t="shared" si="101"/>
        <v>0</v>
      </c>
      <c r="AE688" s="196">
        <f t="shared" si="102"/>
        <v>0</v>
      </c>
      <c r="AF688" s="2">
        <f t="shared" si="103"/>
        <v>0</v>
      </c>
      <c r="AG688" s="2">
        <f t="shared" si="104"/>
        <v>0</v>
      </c>
    </row>
    <row r="689" spans="1:33">
      <c r="A689" s="20" t="s">
        <v>1448</v>
      </c>
      <c r="B689" s="150"/>
      <c r="C689" s="21" t="s">
        <v>126</v>
      </c>
      <c r="D689" s="109" t="s">
        <v>13232</v>
      </c>
      <c r="E689" s="109" t="s">
        <v>14060</v>
      </c>
      <c r="F689" s="391" t="s">
        <v>14042</v>
      </c>
      <c r="G689" s="23" t="s">
        <v>14044</v>
      </c>
      <c r="H689" s="23"/>
      <c r="I689" s="23"/>
      <c r="J689" s="23"/>
      <c r="K689" s="23"/>
      <c r="L689" s="350"/>
      <c r="M689" s="351"/>
      <c r="N689" s="267">
        <f t="shared" si="105"/>
        <v>0</v>
      </c>
      <c r="O689" s="268">
        <f t="shared" si="106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85"/>
      <c r="AB689" s="238"/>
      <c r="AC689" s="196">
        <f t="shared" si="100"/>
        <v>0</v>
      </c>
      <c r="AD689" s="196">
        <f t="shared" si="101"/>
        <v>0</v>
      </c>
      <c r="AE689" s="196">
        <f t="shared" si="102"/>
        <v>0</v>
      </c>
      <c r="AF689" s="2">
        <f t="shared" si="103"/>
        <v>0</v>
      </c>
      <c r="AG689" s="2">
        <f t="shared" si="104"/>
        <v>0</v>
      </c>
    </row>
    <row r="690" spans="1:33">
      <c r="A690" s="20" t="s">
        <v>1441</v>
      </c>
      <c r="B690" s="150"/>
      <c r="C690" s="21" t="s">
        <v>126</v>
      </c>
      <c r="D690" s="109" t="s">
        <v>14061</v>
      </c>
      <c r="E690" s="109" t="s">
        <v>13210</v>
      </c>
      <c r="F690" s="391" t="s">
        <v>14062</v>
      </c>
      <c r="G690" s="23" t="s">
        <v>14056</v>
      </c>
      <c r="H690" s="23" t="s">
        <v>14063</v>
      </c>
      <c r="I690" s="23"/>
      <c r="J690" s="23"/>
      <c r="K690" s="23"/>
      <c r="L690" s="350"/>
      <c r="M690" s="351"/>
      <c r="N690" s="267">
        <f t="shared" si="105"/>
        <v>0</v>
      </c>
      <c r="O690" s="268">
        <f t="shared" si="106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100"/>
        <v>0</v>
      </c>
      <c r="AD690" s="196">
        <f t="shared" si="101"/>
        <v>0</v>
      </c>
      <c r="AE690" s="196">
        <f t="shared" si="102"/>
        <v>0</v>
      </c>
      <c r="AF690" s="2">
        <f t="shared" si="103"/>
        <v>0</v>
      </c>
      <c r="AG690" s="2">
        <f t="shared" si="104"/>
        <v>0</v>
      </c>
    </row>
    <row r="691" spans="1:33">
      <c r="A691" s="20" t="s">
        <v>1442</v>
      </c>
      <c r="B691" s="150"/>
      <c r="C691" s="21" t="s">
        <v>126</v>
      </c>
      <c r="D691" s="109" t="s">
        <v>14061</v>
      </c>
      <c r="E691" s="109" t="s">
        <v>14064</v>
      </c>
      <c r="F691" s="391" t="s">
        <v>14042</v>
      </c>
      <c r="G691" s="23" t="s">
        <v>14023</v>
      </c>
      <c r="H691" s="23"/>
      <c r="I691" s="23"/>
      <c r="J691" s="23"/>
      <c r="K691" s="23"/>
      <c r="L691" s="350"/>
      <c r="M691" s="351"/>
      <c r="N691" s="267">
        <f t="shared" si="105"/>
        <v>0</v>
      </c>
      <c r="O691" s="268">
        <f t="shared" si="106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100"/>
        <v>0</v>
      </c>
      <c r="AD691" s="196">
        <f t="shared" si="101"/>
        <v>0</v>
      </c>
      <c r="AE691" s="196">
        <f t="shared" si="102"/>
        <v>0</v>
      </c>
      <c r="AF691" s="2">
        <f t="shared" si="103"/>
        <v>0</v>
      </c>
      <c r="AG691" s="2">
        <f t="shared" si="104"/>
        <v>0</v>
      </c>
    </row>
    <row r="692" spans="1:33">
      <c r="A692" s="20" t="s">
        <v>1450</v>
      </c>
      <c r="B692" s="150"/>
      <c r="C692" s="21" t="s">
        <v>127</v>
      </c>
      <c r="D692" s="109" t="s">
        <v>14065</v>
      </c>
      <c r="E692" s="109"/>
      <c r="F692" s="391" t="s">
        <v>14066</v>
      </c>
      <c r="G692" s="23" t="s">
        <v>14067</v>
      </c>
      <c r="H692" s="23"/>
      <c r="I692" s="23"/>
      <c r="J692" s="23"/>
      <c r="K692" s="23"/>
      <c r="L692" s="350"/>
      <c r="M692" s="351"/>
      <c r="N692" s="267">
        <f t="shared" si="105"/>
        <v>0</v>
      </c>
      <c r="O692" s="268">
        <f t="shared" si="106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100"/>
        <v>0</v>
      </c>
      <c r="AD692" s="196">
        <f t="shared" si="101"/>
        <v>0</v>
      </c>
      <c r="AE692" s="196">
        <f t="shared" si="102"/>
        <v>0</v>
      </c>
      <c r="AF692" s="2">
        <f t="shared" si="103"/>
        <v>0</v>
      </c>
      <c r="AG692" s="2">
        <f t="shared" si="104"/>
        <v>0</v>
      </c>
    </row>
    <row r="693" spans="1:33">
      <c r="A693" s="20" t="s">
        <v>1451</v>
      </c>
      <c r="B693" s="150"/>
      <c r="C693" s="21" t="s">
        <v>127</v>
      </c>
      <c r="D693" s="109" t="s">
        <v>13228</v>
      </c>
      <c r="E693" s="109"/>
      <c r="F693" s="391" t="s">
        <v>14066</v>
      </c>
      <c r="G693" s="23" t="s">
        <v>13976</v>
      </c>
      <c r="H693" s="23"/>
      <c r="I693" s="23"/>
      <c r="J693" s="23"/>
      <c r="K693" s="23"/>
      <c r="L693" s="350"/>
      <c r="M693" s="351"/>
      <c r="N693" s="267">
        <f t="shared" si="105"/>
        <v>0</v>
      </c>
      <c r="O693" s="268">
        <f t="shared" si="106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100"/>
        <v>0</v>
      </c>
      <c r="AD693" s="196">
        <f t="shared" si="101"/>
        <v>0</v>
      </c>
      <c r="AE693" s="196">
        <f t="shared" si="102"/>
        <v>0</v>
      </c>
      <c r="AF693" s="2">
        <f t="shared" si="103"/>
        <v>0</v>
      </c>
      <c r="AG693" s="2">
        <f t="shared" si="104"/>
        <v>0</v>
      </c>
    </row>
    <row r="694" spans="1:33">
      <c r="A694" s="20" t="s">
        <v>1452</v>
      </c>
      <c r="B694" s="150"/>
      <c r="C694" s="21" t="s">
        <v>127</v>
      </c>
      <c r="D694" s="109" t="s">
        <v>13228</v>
      </c>
      <c r="E694" s="109"/>
      <c r="F694" s="391" t="s">
        <v>14068</v>
      </c>
      <c r="G694" s="23" t="s">
        <v>13986</v>
      </c>
      <c r="H694" s="23" t="s">
        <v>13970</v>
      </c>
      <c r="I694" s="23"/>
      <c r="J694" s="23"/>
      <c r="K694" s="23"/>
      <c r="L694" s="350"/>
      <c r="M694" s="351"/>
      <c r="N694" s="267">
        <f t="shared" si="105"/>
        <v>0</v>
      </c>
      <c r="O694" s="268">
        <f t="shared" si="106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100"/>
        <v>0</v>
      </c>
      <c r="AD694" s="196">
        <f t="shared" si="101"/>
        <v>0</v>
      </c>
      <c r="AE694" s="196">
        <f t="shared" si="102"/>
        <v>0</v>
      </c>
      <c r="AF694" s="2">
        <f t="shared" si="103"/>
        <v>0</v>
      </c>
      <c r="AG694" s="2">
        <f t="shared" si="104"/>
        <v>0</v>
      </c>
    </row>
    <row r="695" spans="1:33">
      <c r="A695" s="20" t="s">
        <v>1453</v>
      </c>
      <c r="B695" s="150"/>
      <c r="C695" s="21" t="s">
        <v>127</v>
      </c>
      <c r="D695" s="109" t="s">
        <v>13232</v>
      </c>
      <c r="E695" s="109"/>
      <c r="F695" s="391" t="s">
        <v>14066</v>
      </c>
      <c r="G695" s="23" t="s">
        <v>14069</v>
      </c>
      <c r="H695" s="23"/>
      <c r="I695" s="23"/>
      <c r="J695" s="23"/>
      <c r="K695" s="23"/>
      <c r="L695" s="350"/>
      <c r="M695" s="351"/>
      <c r="N695" s="267">
        <f t="shared" si="105"/>
        <v>0</v>
      </c>
      <c r="O695" s="268">
        <f t="shared" si="106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100"/>
        <v>0</v>
      </c>
      <c r="AD695" s="196">
        <f t="shared" si="101"/>
        <v>0</v>
      </c>
      <c r="AE695" s="196">
        <f t="shared" si="102"/>
        <v>0</v>
      </c>
      <c r="AF695" s="2">
        <f t="shared" si="103"/>
        <v>0</v>
      </c>
      <c r="AG695" s="2">
        <f t="shared" si="104"/>
        <v>0</v>
      </c>
    </row>
    <row r="696" spans="1:33">
      <c r="A696" s="20" t="s">
        <v>1755</v>
      </c>
      <c r="B696" s="150"/>
      <c r="C696" s="21" t="s">
        <v>740</v>
      </c>
      <c r="D696" s="109" t="s">
        <v>13228</v>
      </c>
      <c r="E696" s="109"/>
      <c r="F696" s="391" t="s">
        <v>14070</v>
      </c>
      <c r="G696" s="23"/>
      <c r="H696" s="23"/>
      <c r="I696" s="23"/>
      <c r="J696" s="23"/>
      <c r="K696" s="23"/>
      <c r="L696" s="350"/>
      <c r="M696" s="351"/>
      <c r="N696" s="267">
        <f t="shared" si="105"/>
        <v>0</v>
      </c>
      <c r="O696" s="268">
        <f t="shared" si="106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100"/>
        <v>0</v>
      </c>
      <c r="AD696" s="196">
        <f t="shared" si="101"/>
        <v>0</v>
      </c>
      <c r="AE696" s="196">
        <f t="shared" si="102"/>
        <v>0</v>
      </c>
      <c r="AF696" s="2">
        <f t="shared" si="103"/>
        <v>0</v>
      </c>
      <c r="AG696" s="2">
        <f t="shared" si="104"/>
        <v>0</v>
      </c>
    </row>
    <row r="697" spans="1:33">
      <c r="A697" s="20" t="s">
        <v>1456</v>
      </c>
      <c r="B697" s="150"/>
      <c r="C697" s="21" t="s">
        <v>128</v>
      </c>
      <c r="D697" s="109" t="s">
        <v>13991</v>
      </c>
      <c r="E697" s="109" t="s">
        <v>13994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5"/>
        <v>0</v>
      </c>
      <c r="O697" s="268">
        <f t="shared" si="106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100"/>
        <v>0</v>
      </c>
      <c r="AD697" s="196">
        <f t="shared" si="101"/>
        <v>0</v>
      </c>
      <c r="AE697" s="196">
        <f t="shared" si="102"/>
        <v>0</v>
      </c>
      <c r="AF697" s="2">
        <f t="shared" si="103"/>
        <v>0</v>
      </c>
      <c r="AG697" s="2">
        <f t="shared" si="104"/>
        <v>0</v>
      </c>
    </row>
    <row r="698" spans="1:33">
      <c r="A698" s="20" t="s">
        <v>1454</v>
      </c>
      <c r="B698" s="161"/>
      <c r="C698" s="21" t="s">
        <v>128</v>
      </c>
      <c r="D698" s="109" t="s">
        <v>14004</v>
      </c>
      <c r="E698" s="109" t="s">
        <v>13210</v>
      </c>
      <c r="F698" s="391" t="s">
        <v>14071</v>
      </c>
      <c r="G698" s="23"/>
      <c r="H698" s="23"/>
      <c r="I698" s="23"/>
      <c r="J698" s="23"/>
      <c r="K698" s="23"/>
      <c r="L698" s="350"/>
      <c r="M698" s="351"/>
      <c r="N698" s="267">
        <f t="shared" si="105"/>
        <v>0</v>
      </c>
      <c r="O698" s="268">
        <f t="shared" si="106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100"/>
        <v>0</v>
      </c>
      <c r="AD698" s="196">
        <f t="shared" si="101"/>
        <v>0</v>
      </c>
      <c r="AE698" s="196">
        <f t="shared" si="102"/>
        <v>0</v>
      </c>
      <c r="AF698" s="2">
        <f t="shared" si="103"/>
        <v>0</v>
      </c>
      <c r="AG698" s="2">
        <f t="shared" si="104"/>
        <v>0</v>
      </c>
    </row>
    <row r="699" spans="1:33">
      <c r="A699" s="20" t="s">
        <v>1455</v>
      </c>
      <c r="B699" s="150"/>
      <c r="C699" s="21" t="s">
        <v>128</v>
      </c>
      <c r="D699" s="109" t="s">
        <v>13207</v>
      </c>
      <c r="E699" s="109"/>
      <c r="F699" s="391" t="s">
        <v>14071</v>
      </c>
      <c r="G699" s="23" t="s">
        <v>13982</v>
      </c>
      <c r="H699" s="23"/>
      <c r="I699" s="23"/>
      <c r="J699" s="23"/>
      <c r="K699" s="23"/>
      <c r="L699" s="375" t="s">
        <v>7787</v>
      </c>
      <c r="M699" s="351" t="s">
        <v>7787</v>
      </c>
      <c r="N699" s="267">
        <f t="shared" si="105"/>
        <v>0</v>
      </c>
      <c r="O699" s="268">
        <f t="shared" si="106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79"/>
      <c r="AB699" s="238"/>
      <c r="AC699" s="196">
        <f t="shared" si="100"/>
        <v>0</v>
      </c>
      <c r="AD699" s="196">
        <f t="shared" si="101"/>
        <v>0</v>
      </c>
      <c r="AE699" s="196">
        <f t="shared" si="102"/>
        <v>0</v>
      </c>
      <c r="AF699" s="2">
        <f t="shared" si="103"/>
        <v>0</v>
      </c>
      <c r="AG699" s="2">
        <f t="shared" si="104"/>
        <v>0</v>
      </c>
    </row>
    <row r="700" spans="1:33">
      <c r="A700" s="20" t="s">
        <v>1457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14072</v>
      </c>
      <c r="G700" s="23" t="s">
        <v>14073</v>
      </c>
      <c r="H700" s="23"/>
      <c r="I700" s="23"/>
      <c r="J700" s="23"/>
      <c r="K700" s="23"/>
      <c r="L700" s="375" t="s">
        <v>7787</v>
      </c>
      <c r="M700" s="351"/>
      <c r="N700" s="267">
        <f t="shared" si="105"/>
        <v>0</v>
      </c>
      <c r="O700" s="268">
        <f t="shared" si="106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85"/>
      <c r="AB700" s="238"/>
      <c r="AC700" s="196">
        <f t="shared" si="100"/>
        <v>0</v>
      </c>
      <c r="AD700" s="196">
        <f t="shared" si="101"/>
        <v>0</v>
      </c>
      <c r="AE700" s="196">
        <f t="shared" si="102"/>
        <v>0</v>
      </c>
      <c r="AF700" s="2">
        <f t="shared" si="103"/>
        <v>0</v>
      </c>
      <c r="AG700" s="2">
        <f t="shared" si="104"/>
        <v>0</v>
      </c>
    </row>
    <row r="701" spans="1:33">
      <c r="A701" s="20" t="s">
        <v>1458</v>
      </c>
      <c r="B701" s="150"/>
      <c r="C701" s="21" t="s">
        <v>129</v>
      </c>
      <c r="D701" s="109" t="s">
        <v>14004</v>
      </c>
      <c r="E701" s="109" t="s">
        <v>13210</v>
      </c>
      <c r="F701" s="391" t="s">
        <v>14074</v>
      </c>
      <c r="G701" s="23" t="s">
        <v>14056</v>
      </c>
      <c r="H701" s="23"/>
      <c r="I701" s="23"/>
      <c r="J701" s="23"/>
      <c r="K701" s="23"/>
      <c r="L701" s="375"/>
      <c r="M701" s="351" t="s">
        <v>7787</v>
      </c>
      <c r="N701" s="267">
        <f t="shared" si="105"/>
        <v>0</v>
      </c>
      <c r="O701" s="268">
        <f t="shared" si="106"/>
        <v>0</v>
      </c>
      <c r="P701" s="239"/>
      <c r="Q701" s="239"/>
      <c r="R701" s="239"/>
      <c r="S701" s="239"/>
      <c r="T701" s="239"/>
      <c r="U701" s="240"/>
      <c r="V701" s="240"/>
      <c r="W701" s="240"/>
      <c r="X701" s="278"/>
      <c r="Y701" s="237"/>
      <c r="Z701" s="237"/>
      <c r="AA701" s="279"/>
      <c r="AB701" s="238"/>
      <c r="AC701" s="196">
        <f t="shared" si="100"/>
        <v>0</v>
      </c>
      <c r="AD701" s="196">
        <f t="shared" si="101"/>
        <v>0</v>
      </c>
      <c r="AE701" s="196">
        <f t="shared" si="102"/>
        <v>0</v>
      </c>
      <c r="AF701" s="2">
        <f t="shared" si="103"/>
        <v>0</v>
      </c>
      <c r="AG701" s="2">
        <f t="shared" si="104"/>
        <v>0</v>
      </c>
    </row>
    <row r="702" spans="1:33">
      <c r="A702" s="20" t="s">
        <v>1460</v>
      </c>
      <c r="B702" s="152" t="s">
        <v>5820</v>
      </c>
      <c r="C702" s="21" t="s">
        <v>129</v>
      </c>
      <c r="D702" s="109" t="s">
        <v>13207</v>
      </c>
      <c r="E702" s="109" t="s">
        <v>26598</v>
      </c>
      <c r="F702" s="391" t="s">
        <v>14074</v>
      </c>
      <c r="G702" s="23" t="s">
        <v>14076</v>
      </c>
      <c r="H702" s="23" t="s">
        <v>13970</v>
      </c>
      <c r="I702" s="23" t="s">
        <v>13603</v>
      </c>
      <c r="J702" s="23" t="s">
        <v>23190</v>
      </c>
      <c r="K702" s="23"/>
      <c r="L702" s="359" t="s">
        <v>7787</v>
      </c>
      <c r="M702" s="357" t="s">
        <v>7787</v>
      </c>
      <c r="N702" s="267">
        <f t="shared" si="105"/>
        <v>0</v>
      </c>
      <c r="O702" s="268">
        <f t="shared" si="106"/>
        <v>1350</v>
      </c>
      <c r="P702" s="239">
        <f>2000-650</f>
        <v>1350</v>
      </c>
      <c r="Q702" s="239"/>
      <c r="R702" s="239"/>
      <c r="S702" s="239"/>
      <c r="T702" s="239"/>
      <c r="U702" s="240"/>
      <c r="V702" s="240"/>
      <c r="W702" s="240"/>
      <c r="X702" s="278"/>
      <c r="Y702" s="239"/>
      <c r="Z702" s="237"/>
      <c r="AA702" s="279"/>
      <c r="AB702" s="238" t="s">
        <v>26806</v>
      </c>
      <c r="AC702" s="196">
        <f t="shared" si="100"/>
        <v>1350</v>
      </c>
      <c r="AD702" s="196">
        <f t="shared" si="101"/>
        <v>1350</v>
      </c>
      <c r="AE702" s="196">
        <f t="shared" si="102"/>
        <v>0</v>
      </c>
      <c r="AF702" s="2">
        <f t="shared" si="103"/>
        <v>1350</v>
      </c>
      <c r="AG702" s="2">
        <f t="shared" si="104"/>
        <v>0</v>
      </c>
    </row>
    <row r="703" spans="1:33">
      <c r="A703" s="20" t="s">
        <v>1460</v>
      </c>
      <c r="B703" s="152"/>
      <c r="C703" s="21" t="s">
        <v>129</v>
      </c>
      <c r="D703" s="109" t="s">
        <v>4059</v>
      </c>
      <c r="E703" s="109" t="s">
        <v>14077</v>
      </c>
      <c r="F703" s="391" t="s">
        <v>8313</v>
      </c>
      <c r="G703" s="23"/>
      <c r="H703" s="23"/>
      <c r="I703" s="23"/>
      <c r="J703" s="23"/>
      <c r="K703" s="23"/>
      <c r="L703" s="359" t="s">
        <v>7787</v>
      </c>
      <c r="M703" s="357" t="s">
        <v>7787</v>
      </c>
      <c r="N703" s="267">
        <f t="shared" si="105"/>
        <v>0</v>
      </c>
      <c r="O703" s="268">
        <f t="shared" si="106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100"/>
        <v>0</v>
      </c>
      <c r="AD703" s="196">
        <f t="shared" si="101"/>
        <v>0</v>
      </c>
      <c r="AE703" s="196">
        <f t="shared" si="102"/>
        <v>0</v>
      </c>
      <c r="AF703" s="2">
        <f t="shared" si="103"/>
        <v>0</v>
      </c>
      <c r="AG703" s="2">
        <f t="shared" si="104"/>
        <v>0</v>
      </c>
    </row>
    <row r="704" spans="1:33">
      <c r="A704" s="20" t="s">
        <v>1461</v>
      </c>
      <c r="B704" s="161"/>
      <c r="C704" s="21" t="s">
        <v>129</v>
      </c>
      <c r="D704" s="109" t="s">
        <v>13232</v>
      </c>
      <c r="E704" s="109" t="s">
        <v>14075</v>
      </c>
      <c r="F704" s="391" t="s">
        <v>14074</v>
      </c>
      <c r="G704" s="23" t="s">
        <v>14073</v>
      </c>
      <c r="H704" s="23"/>
      <c r="I704" s="23"/>
      <c r="J704" s="23"/>
      <c r="K704" s="23"/>
      <c r="L704" s="350"/>
      <c r="M704" s="351"/>
      <c r="N704" s="267">
        <f t="shared" si="105"/>
        <v>0</v>
      </c>
      <c r="O704" s="268">
        <f t="shared" si="106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100"/>
        <v>0</v>
      </c>
      <c r="AD704" s="196">
        <f t="shared" si="101"/>
        <v>0</v>
      </c>
      <c r="AE704" s="196">
        <f t="shared" si="102"/>
        <v>0</v>
      </c>
      <c r="AF704" s="2">
        <f t="shared" si="103"/>
        <v>0</v>
      </c>
      <c r="AG704" s="2">
        <f t="shared" si="104"/>
        <v>0</v>
      </c>
    </row>
    <row r="705" spans="1:33">
      <c r="A705" s="20" t="s">
        <v>1459</v>
      </c>
      <c r="B705" s="150"/>
      <c r="C705" s="21" t="s">
        <v>129</v>
      </c>
      <c r="D705" s="109" t="s">
        <v>14061</v>
      </c>
      <c r="E705" s="109" t="s">
        <v>13210</v>
      </c>
      <c r="F705" s="391" t="s">
        <v>14074</v>
      </c>
      <c r="G705" s="23" t="s">
        <v>14078</v>
      </c>
      <c r="H705" s="23"/>
      <c r="I705" s="23"/>
      <c r="J705" s="23"/>
      <c r="K705" s="23"/>
      <c r="L705" s="350"/>
      <c r="M705" s="351"/>
      <c r="N705" s="267">
        <f t="shared" si="105"/>
        <v>0</v>
      </c>
      <c r="O705" s="268">
        <f t="shared" si="106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100"/>
        <v>0</v>
      </c>
      <c r="AD705" s="196">
        <f t="shared" si="101"/>
        <v>0</v>
      </c>
      <c r="AE705" s="196">
        <f t="shared" si="102"/>
        <v>0</v>
      </c>
      <c r="AF705" s="2">
        <f t="shared" si="103"/>
        <v>0</v>
      </c>
      <c r="AG705" s="2">
        <f t="shared" si="104"/>
        <v>0</v>
      </c>
    </row>
    <row r="706" spans="1:33">
      <c r="A706" s="20" t="s">
        <v>1462</v>
      </c>
      <c r="B706" s="150"/>
      <c r="C706" s="21" t="s">
        <v>130</v>
      </c>
      <c r="D706" s="109" t="s">
        <v>13991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50"/>
      <c r="M706" s="351"/>
      <c r="N706" s="267">
        <f t="shared" si="105"/>
        <v>0</v>
      </c>
      <c r="O706" s="268">
        <f t="shared" si="106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79"/>
      <c r="AB706" s="238"/>
      <c r="AC706" s="196">
        <f t="shared" si="100"/>
        <v>0</v>
      </c>
      <c r="AD706" s="196">
        <f t="shared" si="101"/>
        <v>0</v>
      </c>
      <c r="AE706" s="196">
        <f t="shared" si="102"/>
        <v>0</v>
      </c>
      <c r="AF706" s="2">
        <f t="shared" si="103"/>
        <v>0</v>
      </c>
      <c r="AG706" s="2">
        <f t="shared" si="104"/>
        <v>0</v>
      </c>
    </row>
    <row r="707" spans="1:33">
      <c r="A707" s="20" t="s">
        <v>1463</v>
      </c>
      <c r="B707" s="150"/>
      <c r="C707" s="21" t="s">
        <v>130</v>
      </c>
      <c r="D707" s="109" t="s">
        <v>14004</v>
      </c>
      <c r="E707" s="109" t="s">
        <v>13210</v>
      </c>
      <c r="F707" s="391" t="s">
        <v>14079</v>
      </c>
      <c r="G707" s="23"/>
      <c r="H707" s="23"/>
      <c r="I707" s="23"/>
      <c r="J707" s="23"/>
      <c r="K707" s="23"/>
      <c r="L707" s="375"/>
      <c r="M707" s="351"/>
      <c r="N707" s="267">
        <f t="shared" si="105"/>
        <v>0</v>
      </c>
      <c r="O707" s="268">
        <f t="shared" si="106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37"/>
      <c r="Z707" s="237"/>
      <c r="AA707" s="285"/>
      <c r="AB707" s="238"/>
      <c r="AC707" s="196">
        <f t="shared" si="100"/>
        <v>0</v>
      </c>
      <c r="AD707" s="196">
        <f t="shared" si="101"/>
        <v>0</v>
      </c>
      <c r="AE707" s="196">
        <f t="shared" si="102"/>
        <v>0</v>
      </c>
      <c r="AF707" s="2">
        <f t="shared" si="103"/>
        <v>0</v>
      </c>
      <c r="AG707" s="2">
        <f t="shared" si="104"/>
        <v>0</v>
      </c>
    </row>
    <row r="708" spans="1:33">
      <c r="A708" s="20" t="s">
        <v>1468</v>
      </c>
      <c r="B708" s="150"/>
      <c r="C708" s="21" t="s">
        <v>130</v>
      </c>
      <c r="D708" s="109" t="s">
        <v>13207</v>
      </c>
      <c r="E708" s="109" t="s">
        <v>14077</v>
      </c>
      <c r="F708" s="391" t="s">
        <v>14079</v>
      </c>
      <c r="G708" s="23"/>
      <c r="H708" s="23"/>
      <c r="I708" s="23"/>
      <c r="J708" s="23"/>
      <c r="K708" s="23"/>
      <c r="L708" s="350"/>
      <c r="M708" s="351"/>
      <c r="N708" s="267">
        <f t="shared" si="105"/>
        <v>0</v>
      </c>
      <c r="O708" s="268">
        <f t="shared" si="106"/>
        <v>0</v>
      </c>
      <c r="P708" s="239"/>
      <c r="Q708" s="239"/>
      <c r="R708" s="239"/>
      <c r="S708" s="239"/>
      <c r="T708" s="239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100"/>
        <v>0</v>
      </c>
      <c r="AD708" s="196">
        <f t="shared" si="101"/>
        <v>0</v>
      </c>
      <c r="AE708" s="196">
        <f t="shared" si="102"/>
        <v>0</v>
      </c>
      <c r="AF708" s="2">
        <f t="shared" si="103"/>
        <v>0</v>
      </c>
      <c r="AG708" s="2">
        <f t="shared" si="104"/>
        <v>0</v>
      </c>
    </row>
    <row r="709" spans="1:33">
      <c r="A709" s="20" t="s">
        <v>1464</v>
      </c>
      <c r="B709" s="162" t="s">
        <v>5821</v>
      </c>
      <c r="C709" s="21" t="s">
        <v>130</v>
      </c>
      <c r="D709" s="109" t="s">
        <v>13207</v>
      </c>
      <c r="E709" s="109" t="s">
        <v>14075</v>
      </c>
      <c r="F709" s="391" t="s">
        <v>14080</v>
      </c>
      <c r="G709" s="23" t="s">
        <v>22530</v>
      </c>
      <c r="H709" s="23"/>
      <c r="I709" s="23"/>
      <c r="J709" s="23"/>
      <c r="K709" s="23"/>
      <c r="L709" s="375"/>
      <c r="M709" s="351" t="s">
        <v>7787</v>
      </c>
      <c r="N709" s="267">
        <f t="shared" si="105"/>
        <v>0</v>
      </c>
      <c r="O709" s="268">
        <f t="shared" si="106"/>
        <v>0</v>
      </c>
      <c r="P709" s="241"/>
      <c r="Q709" s="241"/>
      <c r="R709" s="241"/>
      <c r="S709" s="241"/>
      <c r="T709" s="241"/>
      <c r="U709" s="240"/>
      <c r="V709" s="240"/>
      <c r="W709" s="240"/>
      <c r="X709" s="278"/>
      <c r="Y709" s="241"/>
      <c r="Z709" s="237"/>
      <c r="AA709" s="279"/>
      <c r="AB709" s="238"/>
      <c r="AC709" s="196">
        <f t="shared" si="100"/>
        <v>0</v>
      </c>
      <c r="AD709" s="196">
        <f t="shared" si="101"/>
        <v>0</v>
      </c>
      <c r="AE709" s="196">
        <f t="shared" si="102"/>
        <v>0</v>
      </c>
      <c r="AF709" s="2">
        <f t="shared" si="103"/>
        <v>0</v>
      </c>
      <c r="AG709" s="2">
        <f t="shared" si="104"/>
        <v>0</v>
      </c>
    </row>
    <row r="710" spans="1:33">
      <c r="A710" s="20" t="s">
        <v>22478</v>
      </c>
      <c r="B710" s="162" t="s">
        <v>5821</v>
      </c>
      <c r="C710" s="21" t="s">
        <v>130</v>
      </c>
      <c r="D710" s="109" t="s">
        <v>3096</v>
      </c>
      <c r="E710" s="109" t="s">
        <v>22730</v>
      </c>
      <c r="F710" s="391" t="s">
        <v>14080</v>
      </c>
      <c r="G710" s="23" t="s">
        <v>13902</v>
      </c>
      <c r="H710" s="23" t="s">
        <v>13271</v>
      </c>
      <c r="I710" s="23" t="s">
        <v>19281</v>
      </c>
      <c r="J710" s="23" t="s">
        <v>18959</v>
      </c>
      <c r="K710" s="23" t="s">
        <v>17184</v>
      </c>
      <c r="L710" s="375" t="s">
        <v>27791</v>
      </c>
      <c r="M710" s="351"/>
      <c r="N710" s="267">
        <f t="shared" si="105"/>
        <v>0</v>
      </c>
      <c r="O710" s="268">
        <f t="shared" si="106"/>
        <v>100</v>
      </c>
      <c r="P710" s="240"/>
      <c r="Q710" s="241"/>
      <c r="R710" s="241"/>
      <c r="S710" s="241"/>
      <c r="T710" s="241"/>
      <c r="U710" s="240">
        <f>600-500</f>
        <v>100</v>
      </c>
      <c r="V710" s="240"/>
      <c r="W710" s="240"/>
      <c r="X710" s="278"/>
      <c r="Y710" s="241"/>
      <c r="Z710" s="237"/>
      <c r="AA710" s="279"/>
      <c r="AB710" s="238" t="s">
        <v>27779</v>
      </c>
      <c r="AC710" s="196">
        <f t="shared" si="100"/>
        <v>100</v>
      </c>
      <c r="AD710" s="196">
        <f t="shared" si="101"/>
        <v>100</v>
      </c>
      <c r="AE710" s="196">
        <f t="shared" si="102"/>
        <v>0</v>
      </c>
      <c r="AF710" s="2">
        <f t="shared" si="103"/>
        <v>100</v>
      </c>
      <c r="AG710" s="2">
        <f t="shared" si="104"/>
        <v>0</v>
      </c>
    </row>
    <row r="711" spans="1:33">
      <c r="A711" s="20" t="s">
        <v>1465</v>
      </c>
      <c r="B711" s="162" t="s">
        <v>5822</v>
      </c>
      <c r="C711" s="21" t="s">
        <v>130</v>
      </c>
      <c r="D711" s="109" t="s">
        <v>13207</v>
      </c>
      <c r="E711" s="109" t="s">
        <v>22621</v>
      </c>
      <c r="F711" s="391" t="s">
        <v>14080</v>
      </c>
      <c r="G711" s="23" t="s">
        <v>14076</v>
      </c>
      <c r="H711" s="23" t="s">
        <v>13970</v>
      </c>
      <c r="I711" s="23" t="s">
        <v>14083</v>
      </c>
      <c r="J711" s="23" t="s">
        <v>25691</v>
      </c>
      <c r="K711" s="23" t="s">
        <v>27008</v>
      </c>
      <c r="L711" s="375" t="s">
        <v>45</v>
      </c>
      <c r="M711" s="351" t="s">
        <v>45</v>
      </c>
      <c r="N711" s="267">
        <f t="shared" si="105"/>
        <v>0</v>
      </c>
      <c r="O711" s="268">
        <f t="shared" si="106"/>
        <v>150</v>
      </c>
      <c r="P711" s="241">
        <f>2250-1900-200</f>
        <v>150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 t="s">
        <v>26983</v>
      </c>
      <c r="AC711" s="196">
        <f t="shared" si="100"/>
        <v>150</v>
      </c>
      <c r="AD711" s="196">
        <f t="shared" si="101"/>
        <v>150</v>
      </c>
      <c r="AE711" s="196">
        <f t="shared" si="102"/>
        <v>0</v>
      </c>
      <c r="AF711" s="2">
        <f t="shared" si="103"/>
        <v>150</v>
      </c>
      <c r="AG711" s="2">
        <f t="shared" si="104"/>
        <v>0</v>
      </c>
    </row>
    <row r="712" spans="1:33">
      <c r="A712" s="20" t="s">
        <v>26880</v>
      </c>
      <c r="B712" s="162"/>
      <c r="C712" s="21" t="s">
        <v>130</v>
      </c>
      <c r="D712" s="109" t="s">
        <v>4059</v>
      </c>
      <c r="E712" s="109" t="s">
        <v>26959</v>
      </c>
      <c r="F712" s="391" t="s">
        <v>26449</v>
      </c>
      <c r="G712" s="23" t="s">
        <v>7858</v>
      </c>
      <c r="H712" s="23" t="s">
        <v>26450</v>
      </c>
      <c r="I712" s="23" t="s">
        <v>24860</v>
      </c>
      <c r="J712" s="23"/>
      <c r="K712" s="23"/>
      <c r="L712" s="375"/>
      <c r="M712" s="351" t="s">
        <v>7787</v>
      </c>
      <c r="N712" s="267">
        <f t="shared" ref="N712" si="109">SUM(L712:M712)</f>
        <v>0</v>
      </c>
      <c r="O712" s="268">
        <f t="shared" ref="O712" si="110">SUM(P712:Z712)</f>
        <v>2750</v>
      </c>
      <c r="P712" s="241">
        <f>5000-850-1400</f>
        <v>2750</v>
      </c>
      <c r="Q712" s="239"/>
      <c r="R712" s="239"/>
      <c r="S712" s="241"/>
      <c r="T712" s="239"/>
      <c r="U712" s="240"/>
      <c r="V712" s="240"/>
      <c r="W712" s="240"/>
      <c r="X712" s="278"/>
      <c r="Y712" s="241"/>
      <c r="Z712" s="237"/>
      <c r="AA712" s="279"/>
      <c r="AB712" s="238"/>
      <c r="AC712" s="196">
        <f t="shared" ref="AC712" si="111">SUM(P712:AA712)</f>
        <v>2750</v>
      </c>
      <c r="AD712" s="196">
        <f t="shared" ref="AD712" si="112">SUM(P712:AB712)</f>
        <v>2750</v>
      </c>
      <c r="AE712" s="196">
        <f t="shared" ref="AE712" si="113">SUM(AC712-AD712)</f>
        <v>0</v>
      </c>
      <c r="AF712" s="2">
        <f t="shared" ref="AF712" si="114">+AC712</f>
        <v>2750</v>
      </c>
      <c r="AG712" s="2">
        <f t="shared" ref="AG712" si="115">+AC712-AF712</f>
        <v>0</v>
      </c>
    </row>
    <row r="713" spans="1:33">
      <c r="A713" s="20" t="s">
        <v>26881</v>
      </c>
      <c r="B713" s="162"/>
      <c r="C713" s="21" t="s">
        <v>130</v>
      </c>
      <c r="D713" s="109" t="s">
        <v>4059</v>
      </c>
      <c r="E713" s="109" t="s">
        <v>26556</v>
      </c>
      <c r="F713" s="391" t="s">
        <v>26449</v>
      </c>
      <c r="G713" s="23" t="s">
        <v>7858</v>
      </c>
      <c r="H713" s="23" t="s">
        <v>26450</v>
      </c>
      <c r="I713" s="23" t="s">
        <v>24860</v>
      </c>
      <c r="J713" s="23"/>
      <c r="K713" s="23"/>
      <c r="L713" s="375"/>
      <c r="M713" s="351" t="s">
        <v>7787</v>
      </c>
      <c r="N713" s="267">
        <f t="shared" ref="N713" si="116">SUM(L713:M713)</f>
        <v>0</v>
      </c>
      <c r="O713" s="268">
        <f t="shared" ref="O713" si="117">SUM(P713:Z713)</f>
        <v>15696</v>
      </c>
      <c r="P713" s="241">
        <f>6900-6200+3900+3250-500</f>
        <v>7350</v>
      </c>
      <c r="Q713" s="239"/>
      <c r="R713" s="239"/>
      <c r="S713" s="241"/>
      <c r="T713" s="239"/>
      <c r="U713" s="240"/>
      <c r="V713" s="240"/>
      <c r="W713" s="240"/>
      <c r="X713" s="278"/>
      <c r="Y713" s="241">
        <f>9396-200-850</f>
        <v>8346</v>
      </c>
      <c r="Z713" s="237"/>
      <c r="AA713" s="279"/>
      <c r="AB713" s="238" t="s">
        <v>26518</v>
      </c>
      <c r="AC713" s="196">
        <f t="shared" si="100"/>
        <v>15696</v>
      </c>
      <c r="AD713" s="196">
        <f t="shared" si="101"/>
        <v>15696</v>
      </c>
      <c r="AE713" s="196">
        <f t="shared" si="102"/>
        <v>0</v>
      </c>
      <c r="AF713" s="2">
        <f t="shared" si="103"/>
        <v>15696</v>
      </c>
      <c r="AG713" s="2">
        <f t="shared" si="104"/>
        <v>0</v>
      </c>
    </row>
    <row r="714" spans="1:33">
      <c r="A714" s="20" t="s">
        <v>1466</v>
      </c>
      <c r="B714" s="162"/>
      <c r="C714" s="21" t="s">
        <v>130</v>
      </c>
      <c r="D714" s="109" t="s">
        <v>13207</v>
      </c>
      <c r="E714" s="109" t="s">
        <v>25738</v>
      </c>
      <c r="F714" s="391" t="s">
        <v>14084</v>
      </c>
      <c r="G714" s="23" t="s">
        <v>13976</v>
      </c>
      <c r="H714" s="23" t="s">
        <v>14083</v>
      </c>
      <c r="I714" s="23" t="s">
        <v>25691</v>
      </c>
      <c r="J714" s="23"/>
      <c r="K714" s="23"/>
      <c r="L714" s="375" t="s">
        <v>45</v>
      </c>
      <c r="M714" s="351" t="s">
        <v>7787</v>
      </c>
      <c r="N714" s="267">
        <f t="shared" si="105"/>
        <v>0</v>
      </c>
      <c r="O714" s="268">
        <f t="shared" si="106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ref="AC714:AC777" si="118">SUM(P714:AA714)</f>
        <v>0</v>
      </c>
      <c r="AD714" s="196">
        <f t="shared" ref="AD714:AD777" si="119">SUM(P714:AB714)</f>
        <v>0</v>
      </c>
      <c r="AE714" s="196">
        <f t="shared" ref="AE714:AE777" si="120">SUM(AC714-AD714)</f>
        <v>0</v>
      </c>
      <c r="AF714" s="2">
        <f t="shared" ref="AF714:AF777" si="121">+AC714</f>
        <v>0</v>
      </c>
      <c r="AG714" s="2">
        <f t="shared" ref="AG714:AG777" si="122">+AC714-AF714</f>
        <v>0</v>
      </c>
    </row>
    <row r="715" spans="1:33">
      <c r="A715" s="20" t="s">
        <v>1467</v>
      </c>
      <c r="B715" s="150"/>
      <c r="C715" s="21" t="s">
        <v>130</v>
      </c>
      <c r="D715" s="109" t="s">
        <v>13207</v>
      </c>
      <c r="E715" s="109"/>
      <c r="F715" s="391" t="s">
        <v>14079</v>
      </c>
      <c r="G715" s="23" t="s">
        <v>14085</v>
      </c>
      <c r="H715" s="23"/>
      <c r="I715" s="23"/>
      <c r="J715" s="23"/>
      <c r="K715" s="23"/>
      <c r="L715" s="350"/>
      <c r="M715" s="351"/>
      <c r="N715" s="267">
        <f t="shared" si="105"/>
        <v>0</v>
      </c>
      <c r="O715" s="268">
        <f t="shared" si="106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8"/>
        <v>0</v>
      </c>
      <c r="AD715" s="196">
        <f t="shared" si="119"/>
        <v>0</v>
      </c>
      <c r="AE715" s="196">
        <f t="shared" si="120"/>
        <v>0</v>
      </c>
      <c r="AF715" s="2">
        <f t="shared" si="121"/>
        <v>0</v>
      </c>
      <c r="AG715" s="2">
        <f t="shared" si="122"/>
        <v>0</v>
      </c>
    </row>
    <row r="716" spans="1:33">
      <c r="A716" s="20" t="s">
        <v>8839</v>
      </c>
      <c r="B716" s="150"/>
      <c r="C716" s="21" t="s">
        <v>130</v>
      </c>
      <c r="D716" s="109" t="s">
        <v>13232</v>
      </c>
      <c r="E716" s="109" t="s">
        <v>14075</v>
      </c>
      <c r="F716" s="391" t="s">
        <v>14079</v>
      </c>
      <c r="G716" s="23" t="s">
        <v>14081</v>
      </c>
      <c r="H716" s="23" t="s">
        <v>14086</v>
      </c>
      <c r="I716" s="23"/>
      <c r="J716" s="23"/>
      <c r="K716" s="23"/>
      <c r="L716" s="375" t="s">
        <v>7787</v>
      </c>
      <c r="M716" s="351"/>
      <c r="N716" s="267">
        <f t="shared" si="105"/>
        <v>0</v>
      </c>
      <c r="O716" s="268">
        <f t="shared" si="106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8"/>
        <v>0</v>
      </c>
      <c r="AD716" s="196">
        <f t="shared" si="119"/>
        <v>0</v>
      </c>
      <c r="AE716" s="196">
        <f t="shared" si="120"/>
        <v>0</v>
      </c>
      <c r="AF716" s="2">
        <f t="shared" si="121"/>
        <v>0</v>
      </c>
      <c r="AG716" s="2">
        <f t="shared" si="122"/>
        <v>0</v>
      </c>
    </row>
    <row r="717" spans="1:33">
      <c r="A717" s="20" t="s">
        <v>1471</v>
      </c>
      <c r="B717" s="150"/>
      <c r="C717" s="21" t="s">
        <v>131</v>
      </c>
      <c r="D717" s="109" t="s">
        <v>13991</v>
      </c>
      <c r="E717" s="109" t="s">
        <v>13992</v>
      </c>
      <c r="F717" s="391" t="s">
        <v>14087</v>
      </c>
      <c r="G717" s="23"/>
      <c r="H717" s="23"/>
      <c r="I717" s="23"/>
      <c r="J717" s="23"/>
      <c r="K717" s="23"/>
      <c r="L717" s="350"/>
      <c r="M717" s="351"/>
      <c r="N717" s="267">
        <f t="shared" si="105"/>
        <v>0</v>
      </c>
      <c r="O717" s="268">
        <f t="shared" si="106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8"/>
        <v>0</v>
      </c>
      <c r="AD717" s="196">
        <f t="shared" si="119"/>
        <v>0</v>
      </c>
      <c r="AE717" s="196">
        <f t="shared" si="120"/>
        <v>0</v>
      </c>
      <c r="AF717" s="2">
        <f t="shared" si="121"/>
        <v>0</v>
      </c>
      <c r="AG717" s="2">
        <f t="shared" si="122"/>
        <v>0</v>
      </c>
    </row>
    <row r="718" spans="1:33">
      <c r="A718" s="20" t="s">
        <v>1472</v>
      </c>
      <c r="B718" s="150"/>
      <c r="C718" s="21" t="s">
        <v>131</v>
      </c>
      <c r="D718" s="109" t="s">
        <v>13991</v>
      </c>
      <c r="E718" s="109" t="s">
        <v>13994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5"/>
        <v>0</v>
      </c>
      <c r="O718" s="268">
        <f t="shared" si="106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8"/>
        <v>0</v>
      </c>
      <c r="AD718" s="196">
        <f t="shared" si="119"/>
        <v>0</v>
      </c>
      <c r="AE718" s="196">
        <f t="shared" si="120"/>
        <v>0</v>
      </c>
      <c r="AF718" s="2">
        <f t="shared" si="121"/>
        <v>0</v>
      </c>
      <c r="AG718" s="2">
        <f t="shared" si="122"/>
        <v>0</v>
      </c>
    </row>
    <row r="719" spans="1:33">
      <c r="A719" s="20" t="s">
        <v>1470</v>
      </c>
      <c r="B719" s="150"/>
      <c r="C719" s="21" t="s">
        <v>131</v>
      </c>
      <c r="D719" s="109" t="s">
        <v>13991</v>
      </c>
      <c r="E719" s="109" t="s">
        <v>13210</v>
      </c>
      <c r="F719" s="391" t="s">
        <v>14087</v>
      </c>
      <c r="G719" s="23"/>
      <c r="H719" s="23"/>
      <c r="I719" s="23"/>
      <c r="J719" s="23"/>
      <c r="K719" s="23"/>
      <c r="L719" s="375" t="s">
        <v>7787</v>
      </c>
      <c r="M719" s="351" t="s">
        <v>7787</v>
      </c>
      <c r="N719" s="267">
        <f t="shared" si="105"/>
        <v>0</v>
      </c>
      <c r="O719" s="268">
        <f t="shared" si="106"/>
        <v>0</v>
      </c>
      <c r="P719" s="239"/>
      <c r="Q719" s="239"/>
      <c r="R719" s="239"/>
      <c r="S719" s="239"/>
      <c r="T719" s="239"/>
      <c r="U719" s="240"/>
      <c r="V719" s="240"/>
      <c r="W719" s="240"/>
      <c r="X719" s="278"/>
      <c r="Y719" s="237"/>
      <c r="Z719" s="237"/>
      <c r="AA719" s="279"/>
      <c r="AB719" s="238"/>
      <c r="AC719" s="196">
        <f t="shared" si="118"/>
        <v>0</v>
      </c>
      <c r="AD719" s="196">
        <f t="shared" si="119"/>
        <v>0</v>
      </c>
      <c r="AE719" s="196">
        <f t="shared" si="120"/>
        <v>0</v>
      </c>
      <c r="AF719" s="2">
        <f t="shared" si="121"/>
        <v>0</v>
      </c>
      <c r="AG719" s="2">
        <f t="shared" si="122"/>
        <v>0</v>
      </c>
    </row>
    <row r="720" spans="1:33">
      <c r="A720" s="20" t="s">
        <v>1469</v>
      </c>
      <c r="B720" s="161"/>
      <c r="C720" s="21" t="s">
        <v>131</v>
      </c>
      <c r="D720" s="109" t="s">
        <v>13207</v>
      </c>
      <c r="E720" s="109" t="s">
        <v>26446</v>
      </c>
      <c r="F720" s="391" t="s">
        <v>14087</v>
      </c>
      <c r="G720" s="23" t="s">
        <v>14025</v>
      </c>
      <c r="H720" s="23" t="s">
        <v>13997</v>
      </c>
      <c r="I720" s="23" t="s">
        <v>13996</v>
      </c>
      <c r="J720" s="23" t="s">
        <v>14002</v>
      </c>
      <c r="K720" s="23" t="s">
        <v>19363</v>
      </c>
      <c r="L720" s="375" t="s">
        <v>7787</v>
      </c>
      <c r="M720" s="351"/>
      <c r="N720" s="267">
        <f t="shared" si="105"/>
        <v>0</v>
      </c>
      <c r="O720" s="268">
        <f t="shared" si="106"/>
        <v>500</v>
      </c>
      <c r="P720" s="239"/>
      <c r="Q720" s="239"/>
      <c r="R720" s="239"/>
      <c r="S720" s="239"/>
      <c r="T720" s="239"/>
      <c r="U720" s="240">
        <f>1500-1000</f>
        <v>500</v>
      </c>
      <c r="V720" s="240"/>
      <c r="W720" s="240"/>
      <c r="X720" s="278"/>
      <c r="Y720" s="237"/>
      <c r="Z720" s="237"/>
      <c r="AA720" s="279"/>
      <c r="AB720" s="238" t="s">
        <v>26684</v>
      </c>
      <c r="AC720" s="196">
        <f t="shared" si="118"/>
        <v>500</v>
      </c>
      <c r="AD720" s="196">
        <f t="shared" si="119"/>
        <v>500</v>
      </c>
      <c r="AE720" s="196">
        <f t="shared" si="120"/>
        <v>0</v>
      </c>
      <c r="AF720" s="2">
        <f t="shared" si="121"/>
        <v>500</v>
      </c>
      <c r="AG720" s="2">
        <f t="shared" si="122"/>
        <v>0</v>
      </c>
    </row>
    <row r="721" spans="1:33">
      <c r="A721" s="20" t="s">
        <v>1473</v>
      </c>
      <c r="B721" s="150"/>
      <c r="C721" s="21" t="s">
        <v>132</v>
      </c>
      <c r="D721" s="109" t="s">
        <v>14004</v>
      </c>
      <c r="E721" s="109" t="s">
        <v>13210</v>
      </c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5"/>
        <v>0</v>
      </c>
      <c r="O721" s="268">
        <f t="shared" si="106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8"/>
        <v>0</v>
      </c>
      <c r="AD721" s="196">
        <f t="shared" si="119"/>
        <v>0</v>
      </c>
      <c r="AE721" s="196">
        <f t="shared" si="120"/>
        <v>0</v>
      </c>
      <c r="AF721" s="2">
        <f t="shared" si="121"/>
        <v>0</v>
      </c>
      <c r="AG721" s="2">
        <f t="shared" si="122"/>
        <v>0</v>
      </c>
    </row>
    <row r="722" spans="1:33">
      <c r="A722" s="20" t="s">
        <v>1474</v>
      </c>
      <c r="B722" s="150"/>
      <c r="C722" s="21" t="s">
        <v>132</v>
      </c>
      <c r="D722" s="109" t="s">
        <v>13228</v>
      </c>
      <c r="E722" s="109"/>
      <c r="F722" s="391" t="s">
        <v>14088</v>
      </c>
      <c r="G722" s="23"/>
      <c r="H722" s="23"/>
      <c r="I722" s="23"/>
      <c r="J722" s="23"/>
      <c r="K722" s="23"/>
      <c r="L722" s="350"/>
      <c r="M722" s="351"/>
      <c r="N722" s="267">
        <f t="shared" si="105"/>
        <v>0</v>
      </c>
      <c r="O722" s="268">
        <f t="shared" si="106"/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8"/>
        <v>0</v>
      </c>
      <c r="AD722" s="196">
        <f t="shared" si="119"/>
        <v>0</v>
      </c>
      <c r="AE722" s="196">
        <f t="shared" si="120"/>
        <v>0</v>
      </c>
      <c r="AF722" s="2">
        <f t="shared" si="121"/>
        <v>0</v>
      </c>
      <c r="AG722" s="2">
        <f t="shared" si="122"/>
        <v>0</v>
      </c>
    </row>
    <row r="723" spans="1:33">
      <c r="A723" s="20" t="s">
        <v>1760</v>
      </c>
      <c r="B723" s="150"/>
      <c r="C723" s="21" t="s">
        <v>741</v>
      </c>
      <c r="D723" s="109" t="s">
        <v>14041</v>
      </c>
      <c r="E723" s="109" t="s">
        <v>14043</v>
      </c>
      <c r="F723" s="391" t="s">
        <v>14089</v>
      </c>
      <c r="G723" s="23" t="s">
        <v>14023</v>
      </c>
      <c r="H723" s="23"/>
      <c r="I723" s="23"/>
      <c r="J723" s="23"/>
      <c r="K723" s="23"/>
      <c r="L723" s="350"/>
      <c r="M723" s="351"/>
      <c r="N723" s="267">
        <f t="shared" ref="N723:N790" si="123">SUM(L723:M723)</f>
        <v>0</v>
      </c>
      <c r="O723" s="268">
        <f t="shared" ref="O723:O790" si="124">SUM(P723:Z723)</f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8"/>
        <v>0</v>
      </c>
      <c r="AD723" s="196">
        <f t="shared" si="119"/>
        <v>0</v>
      </c>
      <c r="AE723" s="196">
        <f t="shared" si="120"/>
        <v>0</v>
      </c>
      <c r="AF723" s="2">
        <f t="shared" si="121"/>
        <v>0</v>
      </c>
      <c r="AG723" s="2">
        <f t="shared" si="122"/>
        <v>0</v>
      </c>
    </row>
    <row r="724" spans="1:33">
      <c r="A724" s="20" t="s">
        <v>1756</v>
      </c>
      <c r="B724" s="161"/>
      <c r="C724" s="21" t="s">
        <v>741</v>
      </c>
      <c r="D724" s="109" t="s">
        <v>14004</v>
      </c>
      <c r="E724" s="109" t="s">
        <v>13210</v>
      </c>
      <c r="F724" s="391" t="s">
        <v>14089</v>
      </c>
      <c r="G724" s="23"/>
      <c r="H724" s="23"/>
      <c r="I724" s="23"/>
      <c r="J724" s="23"/>
      <c r="K724" s="23"/>
      <c r="L724" s="350"/>
      <c r="M724" s="351"/>
      <c r="N724" s="267">
        <f t="shared" si="123"/>
        <v>0</v>
      </c>
      <c r="O724" s="268">
        <f t="shared" si="124"/>
        <v>0</v>
      </c>
      <c r="P724" s="239"/>
      <c r="Q724" s="239"/>
      <c r="R724" s="239"/>
      <c r="S724" s="239"/>
      <c r="T724" s="239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8"/>
        <v>0</v>
      </c>
      <c r="AD724" s="196">
        <f t="shared" si="119"/>
        <v>0</v>
      </c>
      <c r="AE724" s="196">
        <f t="shared" si="120"/>
        <v>0</v>
      </c>
      <c r="AF724" s="2">
        <f t="shared" si="121"/>
        <v>0</v>
      </c>
      <c r="AG724" s="2">
        <f t="shared" si="122"/>
        <v>0</v>
      </c>
    </row>
    <row r="725" spans="1:33">
      <c r="A725" s="20" t="s">
        <v>1757</v>
      </c>
      <c r="B725" s="161"/>
      <c r="C725" s="21" t="s">
        <v>741</v>
      </c>
      <c r="D725" s="109" t="s">
        <v>13228</v>
      </c>
      <c r="E725" s="109"/>
      <c r="F725" s="391" t="s">
        <v>14089</v>
      </c>
      <c r="G725" s="23" t="s">
        <v>14090</v>
      </c>
      <c r="H725" s="23"/>
      <c r="I725" s="23"/>
      <c r="J725" s="23"/>
      <c r="K725" s="23"/>
      <c r="L725" s="350"/>
      <c r="M725" s="351"/>
      <c r="N725" s="267">
        <f t="shared" si="123"/>
        <v>0</v>
      </c>
      <c r="O725" s="268">
        <f t="shared" si="124"/>
        <v>0</v>
      </c>
      <c r="P725" s="242"/>
      <c r="Q725" s="242"/>
      <c r="R725" s="242"/>
      <c r="S725" s="242"/>
      <c r="T725" s="242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8"/>
        <v>0</v>
      </c>
      <c r="AD725" s="196">
        <f t="shared" si="119"/>
        <v>0</v>
      </c>
      <c r="AE725" s="196">
        <f t="shared" si="120"/>
        <v>0</v>
      </c>
      <c r="AF725" s="2">
        <f t="shared" si="121"/>
        <v>0</v>
      </c>
      <c r="AG725" s="2">
        <f t="shared" si="122"/>
        <v>0</v>
      </c>
    </row>
    <row r="726" spans="1:33">
      <c r="A726" s="20" t="s">
        <v>1758</v>
      </c>
      <c r="B726" s="161"/>
      <c r="C726" s="21" t="s">
        <v>741</v>
      </c>
      <c r="D726" s="109" t="s">
        <v>13207</v>
      </c>
      <c r="E726" s="109"/>
      <c r="F726" s="391" t="s">
        <v>14089</v>
      </c>
      <c r="G726" s="23"/>
      <c r="H726" s="23"/>
      <c r="I726" s="23"/>
      <c r="J726" s="23"/>
      <c r="K726" s="23"/>
      <c r="L726" s="350"/>
      <c r="M726" s="351"/>
      <c r="N726" s="267">
        <f t="shared" si="123"/>
        <v>0</v>
      </c>
      <c r="O726" s="268">
        <f t="shared" si="124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79"/>
      <c r="AB726" s="238"/>
      <c r="AC726" s="196">
        <f t="shared" si="118"/>
        <v>0</v>
      </c>
      <c r="AD726" s="196">
        <f t="shared" si="119"/>
        <v>0</v>
      </c>
      <c r="AE726" s="196">
        <f t="shared" si="120"/>
        <v>0</v>
      </c>
      <c r="AF726" s="2">
        <f t="shared" si="121"/>
        <v>0</v>
      </c>
      <c r="AG726" s="2">
        <f t="shared" si="122"/>
        <v>0</v>
      </c>
    </row>
    <row r="727" spans="1:33">
      <c r="A727" s="20" t="s">
        <v>1759</v>
      </c>
      <c r="B727" s="161"/>
      <c r="C727" s="21" t="s">
        <v>741</v>
      </c>
      <c r="D727" s="109" t="s">
        <v>13232</v>
      </c>
      <c r="E727" s="109"/>
      <c r="F727" s="391" t="s">
        <v>14089</v>
      </c>
      <c r="G727" s="23" t="s">
        <v>14091</v>
      </c>
      <c r="H727" s="23"/>
      <c r="I727" s="23"/>
      <c r="J727" s="23"/>
      <c r="K727" s="23"/>
      <c r="L727" s="350"/>
      <c r="M727" s="351"/>
      <c r="N727" s="267">
        <f t="shared" si="123"/>
        <v>0</v>
      </c>
      <c r="O727" s="268">
        <f t="shared" si="124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85"/>
      <c r="AB727" s="238"/>
      <c r="AC727" s="196">
        <f t="shared" si="118"/>
        <v>0</v>
      </c>
      <c r="AD727" s="196">
        <f t="shared" si="119"/>
        <v>0</v>
      </c>
      <c r="AE727" s="196">
        <f t="shared" si="120"/>
        <v>0</v>
      </c>
      <c r="AF727" s="2">
        <f t="shared" si="121"/>
        <v>0</v>
      </c>
      <c r="AG727" s="2">
        <f t="shared" si="122"/>
        <v>0</v>
      </c>
    </row>
    <row r="728" spans="1:33">
      <c r="A728" s="20" t="s">
        <v>1475</v>
      </c>
      <c r="B728" s="150"/>
      <c r="C728" s="21" t="s">
        <v>133</v>
      </c>
      <c r="D728" s="109" t="s">
        <v>13991</v>
      </c>
      <c r="E728" s="109" t="s">
        <v>13210</v>
      </c>
      <c r="F728" s="391" t="s">
        <v>14092</v>
      </c>
      <c r="G728" s="23" t="s">
        <v>14025</v>
      </c>
      <c r="H728" s="23"/>
      <c r="I728" s="23"/>
      <c r="J728" s="23"/>
      <c r="K728" s="23"/>
      <c r="L728" s="350"/>
      <c r="M728" s="351"/>
      <c r="N728" s="267">
        <f t="shared" si="123"/>
        <v>0</v>
      </c>
      <c r="O728" s="268">
        <f t="shared" si="124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8"/>
        <v>0</v>
      </c>
      <c r="AD728" s="196">
        <f t="shared" si="119"/>
        <v>0</v>
      </c>
      <c r="AE728" s="196">
        <f t="shared" si="120"/>
        <v>0</v>
      </c>
      <c r="AF728" s="2">
        <f t="shared" si="121"/>
        <v>0</v>
      </c>
      <c r="AG728" s="2">
        <f t="shared" si="122"/>
        <v>0</v>
      </c>
    </row>
    <row r="729" spans="1:33">
      <c r="A729" s="20" t="s">
        <v>1476</v>
      </c>
      <c r="B729" s="150"/>
      <c r="C729" s="21" t="s">
        <v>133</v>
      </c>
      <c r="D729" s="109" t="s">
        <v>13207</v>
      </c>
      <c r="E729" s="109"/>
      <c r="F729" s="391" t="s">
        <v>14092</v>
      </c>
      <c r="G729" s="23" t="s">
        <v>14025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3"/>
        <v>0</v>
      </c>
      <c r="O729" s="268">
        <f t="shared" si="124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8"/>
        <v>0</v>
      </c>
      <c r="AD729" s="196">
        <f t="shared" si="119"/>
        <v>0</v>
      </c>
      <c r="AE729" s="196">
        <f t="shared" si="120"/>
        <v>0</v>
      </c>
      <c r="AF729" s="2">
        <f t="shared" si="121"/>
        <v>0</v>
      </c>
      <c r="AG729" s="2">
        <f t="shared" si="122"/>
        <v>0</v>
      </c>
    </row>
    <row r="730" spans="1:33">
      <c r="A730" s="20" t="s">
        <v>18918</v>
      </c>
      <c r="B730" s="150"/>
      <c r="C730" s="21" t="s">
        <v>133</v>
      </c>
      <c r="D730" s="109" t="s">
        <v>3137</v>
      </c>
      <c r="E730" s="109"/>
      <c r="F730" s="391" t="s">
        <v>4366</v>
      </c>
      <c r="G730" s="23" t="s">
        <v>19222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3"/>
        <v>0</v>
      </c>
      <c r="O730" s="268">
        <f t="shared" si="124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8"/>
        <v>0</v>
      </c>
      <c r="AD730" s="196">
        <f t="shared" si="119"/>
        <v>0</v>
      </c>
      <c r="AE730" s="196">
        <f t="shared" si="120"/>
        <v>0</v>
      </c>
      <c r="AF730" s="2">
        <f t="shared" si="121"/>
        <v>0</v>
      </c>
      <c r="AG730" s="2">
        <f t="shared" si="122"/>
        <v>0</v>
      </c>
    </row>
    <row r="731" spans="1:33">
      <c r="A731" s="20" t="s">
        <v>1479</v>
      </c>
      <c r="B731" s="161"/>
      <c r="C731" s="21" t="s">
        <v>134</v>
      </c>
      <c r="D731" s="109" t="s">
        <v>14041</v>
      </c>
      <c r="E731" s="109" t="s">
        <v>13994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3"/>
        <v>0</v>
      </c>
      <c r="O731" s="268">
        <f t="shared" si="124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8"/>
        <v>0</v>
      </c>
      <c r="AD731" s="196">
        <f t="shared" si="119"/>
        <v>0</v>
      </c>
      <c r="AE731" s="196">
        <f t="shared" si="120"/>
        <v>0</v>
      </c>
      <c r="AF731" s="2">
        <f t="shared" si="121"/>
        <v>0</v>
      </c>
      <c r="AG731" s="2">
        <f t="shared" si="122"/>
        <v>0</v>
      </c>
    </row>
    <row r="732" spans="1:33">
      <c r="A732" s="20" t="s">
        <v>6787</v>
      </c>
      <c r="B732" s="173" t="s">
        <v>6518</v>
      </c>
      <c r="C732" s="21" t="s">
        <v>134</v>
      </c>
      <c r="D732" s="109" t="s">
        <v>14041</v>
      </c>
      <c r="E732" s="109" t="s">
        <v>14043</v>
      </c>
      <c r="F732" s="391" t="s">
        <v>14093</v>
      </c>
      <c r="G732" s="23" t="s">
        <v>14023</v>
      </c>
      <c r="H732" s="23"/>
      <c r="I732" s="23"/>
      <c r="J732" s="23"/>
      <c r="K732" s="23"/>
      <c r="L732" s="375" t="s">
        <v>7787</v>
      </c>
      <c r="M732" s="351" t="s">
        <v>7787</v>
      </c>
      <c r="N732" s="267">
        <f t="shared" si="123"/>
        <v>0</v>
      </c>
      <c r="O732" s="268">
        <f t="shared" si="124"/>
        <v>0</v>
      </c>
      <c r="P732" s="239"/>
      <c r="Q732" s="239"/>
      <c r="R732" s="239"/>
      <c r="S732" s="239"/>
      <c r="T732" s="239"/>
      <c r="U732" s="240"/>
      <c r="V732" s="240"/>
      <c r="W732" s="240"/>
      <c r="X732" s="278"/>
      <c r="Y732" s="237"/>
      <c r="Z732" s="237"/>
      <c r="AA732" s="279"/>
      <c r="AB732" s="238"/>
      <c r="AC732" s="196">
        <f t="shared" si="118"/>
        <v>0</v>
      </c>
      <c r="AD732" s="196">
        <f t="shared" si="119"/>
        <v>0</v>
      </c>
      <c r="AE732" s="196">
        <f t="shared" si="120"/>
        <v>0</v>
      </c>
      <c r="AF732" s="2">
        <f t="shared" si="121"/>
        <v>0</v>
      </c>
      <c r="AG732" s="2">
        <f t="shared" si="122"/>
        <v>0</v>
      </c>
    </row>
    <row r="733" spans="1:33">
      <c r="A733" s="20" t="s">
        <v>1477</v>
      </c>
      <c r="B733" s="162" t="s">
        <v>5823</v>
      </c>
      <c r="C733" s="21" t="s">
        <v>134</v>
      </c>
      <c r="D733" s="109" t="s">
        <v>13228</v>
      </c>
      <c r="E733" s="109"/>
      <c r="F733" s="391" t="s">
        <v>14093</v>
      </c>
      <c r="G733" s="23" t="s">
        <v>24169</v>
      </c>
      <c r="H733" s="23" t="s">
        <v>24467</v>
      </c>
      <c r="I733" s="23" t="s">
        <v>23764</v>
      </c>
      <c r="J733" s="23" t="s">
        <v>14013</v>
      </c>
      <c r="K733" s="23" t="s">
        <v>13989</v>
      </c>
      <c r="L733" s="375" t="s">
        <v>27835</v>
      </c>
      <c r="M733" s="351" t="s">
        <v>45</v>
      </c>
      <c r="N733" s="267">
        <f t="shared" si="123"/>
        <v>0</v>
      </c>
      <c r="O733" s="268">
        <f t="shared" si="124"/>
        <v>100</v>
      </c>
      <c r="P733" s="239"/>
      <c r="Q733" s="239">
        <f>350-250</f>
        <v>100</v>
      </c>
      <c r="R733" s="239"/>
      <c r="S733" s="239"/>
      <c r="T733" s="239"/>
      <c r="U733" s="240"/>
      <c r="V733" s="240"/>
      <c r="W733" s="240">
        <v>0</v>
      </c>
      <c r="X733" s="278"/>
      <c r="Y733" s="237"/>
      <c r="Z733" s="237"/>
      <c r="AA733" s="279"/>
      <c r="AB733" s="238" t="s">
        <v>27829</v>
      </c>
      <c r="AC733" s="196">
        <f t="shared" si="118"/>
        <v>100</v>
      </c>
      <c r="AD733" s="196">
        <f t="shared" si="119"/>
        <v>100</v>
      </c>
      <c r="AE733" s="196">
        <f t="shared" si="120"/>
        <v>0</v>
      </c>
      <c r="AF733" s="2">
        <f t="shared" si="121"/>
        <v>100</v>
      </c>
      <c r="AG733" s="2">
        <f t="shared" si="122"/>
        <v>0</v>
      </c>
    </row>
    <row r="734" spans="1:33">
      <c r="A734" s="20" t="s">
        <v>1478</v>
      </c>
      <c r="B734" s="150"/>
      <c r="C734" s="21" t="s">
        <v>134</v>
      </c>
      <c r="D734" s="109" t="s">
        <v>13207</v>
      </c>
      <c r="E734" s="109"/>
      <c r="F734" s="391" t="s">
        <v>14093</v>
      </c>
      <c r="G734" s="23" t="s">
        <v>14095</v>
      </c>
      <c r="H734" s="23"/>
      <c r="I734" s="23"/>
      <c r="J734" s="23"/>
      <c r="K734" s="23"/>
      <c r="L734" s="350"/>
      <c r="M734" s="351"/>
      <c r="N734" s="267">
        <f t="shared" si="123"/>
        <v>0</v>
      </c>
      <c r="O734" s="268">
        <f t="shared" si="124"/>
        <v>0</v>
      </c>
      <c r="P734" s="239"/>
      <c r="Q734" s="248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8"/>
        <v>0</v>
      </c>
      <c r="AD734" s="196">
        <f t="shared" si="119"/>
        <v>0</v>
      </c>
      <c r="AE734" s="196">
        <f t="shared" si="120"/>
        <v>0</v>
      </c>
      <c r="AF734" s="2">
        <f t="shared" si="121"/>
        <v>0</v>
      </c>
      <c r="AG734" s="2">
        <f t="shared" si="122"/>
        <v>0</v>
      </c>
    </row>
    <row r="735" spans="1:33">
      <c r="A735" s="20" t="s">
        <v>1480</v>
      </c>
      <c r="B735" s="150"/>
      <c r="C735" s="21" t="s">
        <v>135</v>
      </c>
      <c r="D735" s="109" t="s">
        <v>14004</v>
      </c>
      <c r="E735" s="109" t="s">
        <v>13210</v>
      </c>
      <c r="F735" s="391" t="s">
        <v>14096</v>
      </c>
      <c r="G735" s="23" t="s">
        <v>14047</v>
      </c>
      <c r="H735" s="23" t="s">
        <v>14056</v>
      </c>
      <c r="I735" s="23"/>
      <c r="J735" s="23"/>
      <c r="K735" s="23"/>
      <c r="L735" s="350"/>
      <c r="M735" s="351"/>
      <c r="N735" s="267">
        <f t="shared" si="123"/>
        <v>0</v>
      </c>
      <c r="O735" s="268">
        <f t="shared" si="124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8"/>
        <v>0</v>
      </c>
      <c r="AD735" s="196">
        <f t="shared" si="119"/>
        <v>0</v>
      </c>
      <c r="AE735" s="196">
        <f t="shared" si="120"/>
        <v>0</v>
      </c>
      <c r="AF735" s="2">
        <f t="shared" si="121"/>
        <v>0</v>
      </c>
      <c r="AG735" s="2">
        <f t="shared" si="122"/>
        <v>0</v>
      </c>
    </row>
    <row r="736" spans="1:33">
      <c r="A736" s="20" t="s">
        <v>1481</v>
      </c>
      <c r="B736" s="162"/>
      <c r="C736" s="21" t="s">
        <v>135</v>
      </c>
      <c r="D736" s="109" t="s">
        <v>13228</v>
      </c>
      <c r="E736" s="109" t="s">
        <v>26041</v>
      </c>
      <c r="F736" s="391" t="s">
        <v>14097</v>
      </c>
      <c r="G736" s="23" t="s">
        <v>26042</v>
      </c>
      <c r="H736" s="23" t="s">
        <v>26043</v>
      </c>
      <c r="I736" s="23"/>
      <c r="J736" s="23"/>
      <c r="K736" s="23"/>
      <c r="L736" s="375"/>
      <c r="M736" s="351" t="s">
        <v>7787</v>
      </c>
      <c r="N736" s="267">
        <f t="shared" si="123"/>
        <v>0</v>
      </c>
      <c r="O736" s="268">
        <f t="shared" si="124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8"/>
        <v>0</v>
      </c>
      <c r="AD736" s="196">
        <f t="shared" si="119"/>
        <v>0</v>
      </c>
      <c r="AE736" s="196">
        <f t="shared" si="120"/>
        <v>0</v>
      </c>
      <c r="AF736" s="2">
        <f t="shared" si="121"/>
        <v>0</v>
      </c>
      <c r="AG736" s="2">
        <f t="shared" si="122"/>
        <v>0</v>
      </c>
    </row>
    <row r="737" spans="1:33">
      <c r="A737" s="20" t="s">
        <v>1483</v>
      </c>
      <c r="B737" s="162"/>
      <c r="C737" s="21" t="s">
        <v>135</v>
      </c>
      <c r="D737" s="109" t="s">
        <v>13228</v>
      </c>
      <c r="E737" s="109" t="s">
        <v>13969</v>
      </c>
      <c r="F737" s="391" t="s">
        <v>14098</v>
      </c>
      <c r="G737" s="23" t="s">
        <v>21199</v>
      </c>
      <c r="H737" s="23" t="s">
        <v>14047</v>
      </c>
      <c r="I737" s="23" t="s">
        <v>14099</v>
      </c>
      <c r="J737" s="23" t="s">
        <v>14100</v>
      </c>
      <c r="K737" s="23" t="s">
        <v>14198</v>
      </c>
      <c r="L737" s="375"/>
      <c r="M737" s="351" t="s">
        <v>7787</v>
      </c>
      <c r="N737" s="267">
        <f t="shared" si="123"/>
        <v>0</v>
      </c>
      <c r="O737" s="268">
        <f t="shared" si="124"/>
        <v>0</v>
      </c>
      <c r="P737" s="239"/>
      <c r="Q737" s="239"/>
      <c r="R737" s="239"/>
      <c r="S737" s="239"/>
      <c r="T737" s="239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8"/>
        <v>0</v>
      </c>
      <c r="AD737" s="196">
        <f t="shared" si="119"/>
        <v>0</v>
      </c>
      <c r="AE737" s="196">
        <f t="shared" si="120"/>
        <v>0</v>
      </c>
      <c r="AF737" s="2">
        <f t="shared" si="121"/>
        <v>0</v>
      </c>
      <c r="AG737" s="2">
        <f t="shared" si="122"/>
        <v>0</v>
      </c>
    </row>
    <row r="738" spans="1:33">
      <c r="A738" s="20" t="s">
        <v>1482</v>
      </c>
      <c r="B738" s="152"/>
      <c r="C738" s="21" t="s">
        <v>135</v>
      </c>
      <c r="D738" s="109" t="s">
        <v>13228</v>
      </c>
      <c r="E738" s="109" t="s">
        <v>13971</v>
      </c>
      <c r="F738" s="391" t="s">
        <v>14096</v>
      </c>
      <c r="G738" s="23" t="s">
        <v>13215</v>
      </c>
      <c r="H738" s="23"/>
      <c r="I738" s="23"/>
      <c r="J738" s="23"/>
      <c r="K738" s="23"/>
      <c r="L738" s="350"/>
      <c r="M738" s="351"/>
      <c r="N738" s="267">
        <f t="shared" si="123"/>
        <v>0</v>
      </c>
      <c r="O738" s="268">
        <f t="shared" si="124"/>
        <v>0</v>
      </c>
      <c r="P738" s="243"/>
      <c r="Q738" s="243"/>
      <c r="R738" s="243"/>
      <c r="S738" s="243"/>
      <c r="T738" s="243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8"/>
        <v>0</v>
      </c>
      <c r="AD738" s="196">
        <f t="shared" si="119"/>
        <v>0</v>
      </c>
      <c r="AE738" s="196">
        <f t="shared" si="120"/>
        <v>0</v>
      </c>
      <c r="AF738" s="2">
        <f t="shared" si="121"/>
        <v>0</v>
      </c>
      <c r="AG738" s="2">
        <f t="shared" si="122"/>
        <v>0</v>
      </c>
    </row>
    <row r="739" spans="1:33">
      <c r="A739" s="20" t="s">
        <v>1484</v>
      </c>
      <c r="B739" s="162" t="s">
        <v>5824</v>
      </c>
      <c r="C739" s="21" t="s">
        <v>135</v>
      </c>
      <c r="D739" s="109" t="s">
        <v>13207</v>
      </c>
      <c r="E739" s="109" t="s">
        <v>25270</v>
      </c>
      <c r="F739" s="391" t="s">
        <v>14096</v>
      </c>
      <c r="G739" s="23" t="s">
        <v>14047</v>
      </c>
      <c r="H739" s="23" t="s">
        <v>13215</v>
      </c>
      <c r="I739" s="23" t="s">
        <v>13972</v>
      </c>
      <c r="J739" s="23" t="s">
        <v>17234</v>
      </c>
      <c r="K739" s="23" t="s">
        <v>13603</v>
      </c>
      <c r="L739" s="375" t="s">
        <v>7787</v>
      </c>
      <c r="M739" s="351" t="s">
        <v>7787</v>
      </c>
      <c r="N739" s="267">
        <f t="shared" si="123"/>
        <v>0</v>
      </c>
      <c r="O739" s="268">
        <f t="shared" si="124"/>
        <v>0</v>
      </c>
      <c r="P739" s="239"/>
      <c r="Q739" s="241"/>
      <c r="R739" s="239"/>
      <c r="S739" s="239"/>
      <c r="T739" s="239"/>
      <c r="U739" s="240"/>
      <c r="V739" s="240"/>
      <c r="W739" s="240"/>
      <c r="X739" s="278"/>
      <c r="Y739" s="237"/>
      <c r="Z739" s="237"/>
      <c r="AA739" s="279"/>
      <c r="AB739" s="238"/>
      <c r="AC739" s="196">
        <f t="shared" si="118"/>
        <v>0</v>
      </c>
      <c r="AD739" s="196">
        <f t="shared" si="119"/>
        <v>0</v>
      </c>
      <c r="AE739" s="196">
        <f t="shared" si="120"/>
        <v>0</v>
      </c>
      <c r="AF739" s="2">
        <f t="shared" si="121"/>
        <v>0</v>
      </c>
      <c r="AG739" s="2">
        <f t="shared" si="122"/>
        <v>0</v>
      </c>
    </row>
    <row r="740" spans="1:33">
      <c r="A740" s="20" t="s">
        <v>26882</v>
      </c>
      <c r="B740" s="162"/>
      <c r="C740" s="21" t="s">
        <v>135</v>
      </c>
      <c r="D740" s="109" t="s">
        <v>4059</v>
      </c>
      <c r="E740" s="109" t="s">
        <v>25986</v>
      </c>
      <c r="F740" s="391" t="s">
        <v>25984</v>
      </c>
      <c r="G740" s="23" t="s">
        <v>25985</v>
      </c>
      <c r="H740" s="23" t="s">
        <v>5333</v>
      </c>
      <c r="I740" s="23" t="s">
        <v>6774</v>
      </c>
      <c r="J740" s="23" t="s">
        <v>25980</v>
      </c>
      <c r="K740" s="23" t="s">
        <v>25893</v>
      </c>
      <c r="L740" s="375" t="s">
        <v>7787</v>
      </c>
      <c r="M740" s="351" t="s">
        <v>7787</v>
      </c>
      <c r="N740" s="267">
        <f t="shared" ref="N740" si="125">SUM(L740:M740)</f>
        <v>0</v>
      </c>
      <c r="O740" s="268">
        <f t="shared" ref="O740" si="126">SUM(P740:Z740)</f>
        <v>1200</v>
      </c>
      <c r="P740" s="239">
        <f>1000-300-500+3000-2000+2000-2000+2000-1000-1000</f>
        <v>1200</v>
      </c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 t="s">
        <v>27316</v>
      </c>
      <c r="AC740" s="196">
        <f t="shared" si="118"/>
        <v>1200</v>
      </c>
      <c r="AD740" s="196">
        <f t="shared" si="119"/>
        <v>1200</v>
      </c>
      <c r="AE740" s="196">
        <f t="shared" si="120"/>
        <v>0</v>
      </c>
      <c r="AF740" s="2">
        <f t="shared" si="121"/>
        <v>1200</v>
      </c>
      <c r="AG740" s="2">
        <f t="shared" si="122"/>
        <v>0</v>
      </c>
    </row>
    <row r="741" spans="1:33">
      <c r="A741" s="20" t="s">
        <v>20201</v>
      </c>
      <c r="B741" s="162"/>
      <c r="C741" s="21" t="s">
        <v>135</v>
      </c>
      <c r="D741" s="109" t="s">
        <v>20345</v>
      </c>
      <c r="E741" s="109"/>
      <c r="F741" s="391" t="s">
        <v>4368</v>
      </c>
      <c r="G741" s="23" t="s">
        <v>13469</v>
      </c>
      <c r="H741" s="23"/>
      <c r="I741" s="23"/>
      <c r="J741" s="23"/>
      <c r="K741" s="23"/>
      <c r="L741" s="375" t="s">
        <v>7787</v>
      </c>
      <c r="M741" s="351"/>
      <c r="N741" s="267">
        <f t="shared" si="123"/>
        <v>0</v>
      </c>
      <c r="O741" s="268">
        <f t="shared" si="124"/>
        <v>0</v>
      </c>
      <c r="P741" s="239"/>
      <c r="Q741" s="241"/>
      <c r="R741" s="239"/>
      <c r="S741" s="239"/>
      <c r="T741" s="239"/>
      <c r="U741" s="240"/>
      <c r="V741" s="244"/>
      <c r="W741" s="240"/>
      <c r="X741" s="278"/>
      <c r="Y741" s="237"/>
      <c r="Z741" s="237"/>
      <c r="AA741" s="279"/>
      <c r="AB741" s="238"/>
      <c r="AC741" s="196">
        <f t="shared" si="118"/>
        <v>0</v>
      </c>
      <c r="AD741" s="196">
        <f t="shared" si="119"/>
        <v>0</v>
      </c>
      <c r="AE741" s="196">
        <f t="shared" si="120"/>
        <v>0</v>
      </c>
      <c r="AF741" s="2">
        <f t="shared" si="121"/>
        <v>0</v>
      </c>
      <c r="AG741" s="2">
        <f t="shared" si="122"/>
        <v>0</v>
      </c>
    </row>
    <row r="742" spans="1:33">
      <c r="A742" s="20" t="s">
        <v>1485</v>
      </c>
      <c r="B742" s="150"/>
      <c r="C742" s="21" t="s">
        <v>136</v>
      </c>
      <c r="D742" s="109" t="s">
        <v>13207</v>
      </c>
      <c r="E742" s="109"/>
      <c r="F742" s="391" t="s">
        <v>14101</v>
      </c>
      <c r="G742" s="23" t="s">
        <v>14059</v>
      </c>
      <c r="H742" s="23"/>
      <c r="I742" s="23"/>
      <c r="J742" s="23"/>
      <c r="K742" s="23"/>
      <c r="L742" s="375" t="s">
        <v>7787</v>
      </c>
      <c r="M742" s="351"/>
      <c r="N742" s="267">
        <f t="shared" si="123"/>
        <v>0</v>
      </c>
      <c r="O742" s="268">
        <f t="shared" si="124"/>
        <v>0</v>
      </c>
      <c r="P742" s="239"/>
      <c r="Q742" s="239"/>
      <c r="R742" s="239"/>
      <c r="S742" s="239"/>
      <c r="T742" s="239"/>
      <c r="U742" s="240"/>
      <c r="V742" s="239"/>
      <c r="W742" s="240"/>
      <c r="X742" s="278"/>
      <c r="Y742" s="237"/>
      <c r="Z742" s="237"/>
      <c r="AA742" s="279"/>
      <c r="AB742" s="238"/>
      <c r="AC742" s="196">
        <f t="shared" si="118"/>
        <v>0</v>
      </c>
      <c r="AD742" s="196">
        <f t="shared" si="119"/>
        <v>0</v>
      </c>
      <c r="AE742" s="196">
        <f t="shared" si="120"/>
        <v>0</v>
      </c>
      <c r="AF742" s="2">
        <f t="shared" si="121"/>
        <v>0</v>
      </c>
      <c r="AG742" s="2">
        <f t="shared" si="122"/>
        <v>0</v>
      </c>
    </row>
    <row r="743" spans="1:33">
      <c r="A743" s="20" t="s">
        <v>1486</v>
      </c>
      <c r="B743" s="150"/>
      <c r="C743" s="21" t="s">
        <v>137</v>
      </c>
      <c r="D743" s="109" t="s">
        <v>13228</v>
      </c>
      <c r="E743" s="109"/>
      <c r="F743" s="391" t="s">
        <v>14102</v>
      </c>
      <c r="G743" s="23" t="s">
        <v>13215</v>
      </c>
      <c r="H743" s="23"/>
      <c r="I743" s="23"/>
      <c r="J743" s="23"/>
      <c r="K743" s="23"/>
      <c r="L743" s="350"/>
      <c r="M743" s="351"/>
      <c r="N743" s="267">
        <f t="shared" si="123"/>
        <v>0</v>
      </c>
      <c r="O743" s="268">
        <f t="shared" si="124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8"/>
        <v>0</v>
      </c>
      <c r="AD743" s="196">
        <f t="shared" si="119"/>
        <v>0</v>
      </c>
      <c r="AE743" s="196">
        <f t="shared" si="120"/>
        <v>0</v>
      </c>
      <c r="AF743" s="2">
        <f t="shared" si="121"/>
        <v>0</v>
      </c>
      <c r="AG743" s="2">
        <f t="shared" si="122"/>
        <v>0</v>
      </c>
    </row>
    <row r="744" spans="1:33">
      <c r="A744" s="20" t="s">
        <v>1763</v>
      </c>
      <c r="B744" s="161"/>
      <c r="C744" s="21" t="s">
        <v>742</v>
      </c>
      <c r="D744" s="109" t="s">
        <v>14041</v>
      </c>
      <c r="E744" s="109" t="s">
        <v>14043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3"/>
        <v>0</v>
      </c>
      <c r="O744" s="268">
        <f t="shared" si="124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8"/>
        <v>0</v>
      </c>
      <c r="AD744" s="196">
        <f t="shared" si="119"/>
        <v>0</v>
      </c>
      <c r="AE744" s="196">
        <f t="shared" si="120"/>
        <v>0</v>
      </c>
      <c r="AF744" s="2">
        <f t="shared" si="121"/>
        <v>0</v>
      </c>
      <c r="AG744" s="2">
        <f t="shared" si="122"/>
        <v>0</v>
      </c>
    </row>
    <row r="745" spans="1:33">
      <c r="A745" s="20" t="s">
        <v>1764</v>
      </c>
      <c r="B745" s="150"/>
      <c r="C745" s="21" t="s">
        <v>742</v>
      </c>
      <c r="D745" s="109" t="s">
        <v>14041</v>
      </c>
      <c r="E745" s="109" t="s">
        <v>13210</v>
      </c>
      <c r="F745" s="391" t="s">
        <v>14103</v>
      </c>
      <c r="G745" s="23"/>
      <c r="H745" s="23"/>
      <c r="I745" s="23"/>
      <c r="J745" s="23"/>
      <c r="K745" s="23"/>
      <c r="L745" s="350"/>
      <c r="M745" s="351"/>
      <c r="N745" s="267">
        <f t="shared" si="123"/>
        <v>0</v>
      </c>
      <c r="O745" s="268">
        <f t="shared" si="124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8"/>
        <v>0</v>
      </c>
      <c r="AD745" s="196">
        <f t="shared" si="119"/>
        <v>0</v>
      </c>
      <c r="AE745" s="196">
        <f t="shared" si="120"/>
        <v>0</v>
      </c>
      <c r="AF745" s="2">
        <f t="shared" si="121"/>
        <v>0</v>
      </c>
      <c r="AG745" s="2">
        <f t="shared" si="122"/>
        <v>0</v>
      </c>
    </row>
    <row r="746" spans="1:33">
      <c r="A746" s="20" t="s">
        <v>21776</v>
      </c>
      <c r="B746" s="150"/>
      <c r="C746" s="21" t="s">
        <v>742</v>
      </c>
      <c r="D746" s="109" t="s">
        <v>3091</v>
      </c>
      <c r="E746" s="109"/>
      <c r="F746" s="391" t="s">
        <v>4543</v>
      </c>
      <c r="G746" s="23"/>
      <c r="H746" s="23"/>
      <c r="I746" s="23"/>
      <c r="J746" s="23"/>
      <c r="K746" s="23"/>
      <c r="L746" s="375" t="s">
        <v>7787</v>
      </c>
      <c r="M746" s="351"/>
      <c r="N746" s="267">
        <f t="shared" si="123"/>
        <v>0</v>
      </c>
      <c r="O746" s="268">
        <f t="shared" si="124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8"/>
        <v>0</v>
      </c>
      <c r="AD746" s="196">
        <f t="shared" si="119"/>
        <v>0</v>
      </c>
      <c r="AE746" s="196">
        <f t="shared" si="120"/>
        <v>0</v>
      </c>
      <c r="AF746" s="2">
        <f t="shared" si="121"/>
        <v>0</v>
      </c>
      <c r="AG746" s="2">
        <f t="shared" si="122"/>
        <v>0</v>
      </c>
    </row>
    <row r="747" spans="1:33">
      <c r="A747" s="20" t="s">
        <v>1761</v>
      </c>
      <c r="B747" s="150"/>
      <c r="C747" s="21" t="s">
        <v>742</v>
      </c>
      <c r="D747" s="109" t="s">
        <v>14004</v>
      </c>
      <c r="E747" s="109" t="s">
        <v>13210</v>
      </c>
      <c r="F747" s="391" t="s">
        <v>14103</v>
      </c>
      <c r="G747" s="23"/>
      <c r="H747" s="23"/>
      <c r="I747" s="23"/>
      <c r="J747" s="23"/>
      <c r="K747" s="23"/>
      <c r="L747" s="350"/>
      <c r="M747" s="351"/>
      <c r="N747" s="267">
        <f t="shared" si="123"/>
        <v>0</v>
      </c>
      <c r="O747" s="268">
        <f t="shared" si="124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8"/>
        <v>0</v>
      </c>
      <c r="AD747" s="196">
        <f t="shared" si="119"/>
        <v>0</v>
      </c>
      <c r="AE747" s="196">
        <f t="shared" si="120"/>
        <v>0</v>
      </c>
      <c r="AF747" s="2">
        <f t="shared" si="121"/>
        <v>0</v>
      </c>
      <c r="AG747" s="2">
        <f t="shared" si="122"/>
        <v>0</v>
      </c>
    </row>
    <row r="748" spans="1:33">
      <c r="A748" s="20" t="s">
        <v>10749</v>
      </c>
      <c r="B748" s="150"/>
      <c r="C748" s="21" t="s">
        <v>742</v>
      </c>
      <c r="D748" s="109" t="s">
        <v>14104</v>
      </c>
      <c r="E748" s="109" t="s">
        <v>14105</v>
      </c>
      <c r="F748" s="391" t="s">
        <v>14106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3"/>
        <v>0</v>
      </c>
      <c r="O748" s="268">
        <f t="shared" si="124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8"/>
        <v>0</v>
      </c>
      <c r="AD748" s="196">
        <f t="shared" si="119"/>
        <v>0</v>
      </c>
      <c r="AE748" s="196">
        <f t="shared" si="120"/>
        <v>0</v>
      </c>
      <c r="AF748" s="2">
        <f t="shared" si="121"/>
        <v>0</v>
      </c>
      <c r="AG748" s="2">
        <f t="shared" si="122"/>
        <v>0</v>
      </c>
    </row>
    <row r="749" spans="1:33">
      <c r="A749" s="20" t="s">
        <v>1762</v>
      </c>
      <c r="B749" s="150"/>
      <c r="C749" s="21" t="s">
        <v>742</v>
      </c>
      <c r="D749" s="109" t="s">
        <v>13228</v>
      </c>
      <c r="E749" s="109"/>
      <c r="F749" s="391" t="s">
        <v>14103</v>
      </c>
      <c r="G749" s="23" t="s">
        <v>13440</v>
      </c>
      <c r="H749" s="23"/>
      <c r="I749" s="23"/>
      <c r="J749" s="23"/>
      <c r="K749" s="23"/>
      <c r="L749" s="375" t="s">
        <v>7787</v>
      </c>
      <c r="M749" s="351"/>
      <c r="N749" s="267">
        <f t="shared" si="123"/>
        <v>0</v>
      </c>
      <c r="O749" s="268">
        <f t="shared" si="124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79"/>
      <c r="AB749" s="238"/>
      <c r="AC749" s="196">
        <f t="shared" si="118"/>
        <v>0</v>
      </c>
      <c r="AD749" s="196">
        <f t="shared" si="119"/>
        <v>0</v>
      </c>
      <c r="AE749" s="196">
        <f t="shared" si="120"/>
        <v>0</v>
      </c>
      <c r="AF749" s="2">
        <f t="shared" si="121"/>
        <v>0</v>
      </c>
      <c r="AG749" s="2">
        <f t="shared" si="122"/>
        <v>0</v>
      </c>
    </row>
    <row r="750" spans="1:33">
      <c r="A750" s="20" t="s">
        <v>1489</v>
      </c>
      <c r="B750" s="150"/>
      <c r="C750" s="21" t="s">
        <v>138</v>
      </c>
      <c r="D750" s="109" t="s">
        <v>13991</v>
      </c>
      <c r="E750" s="109" t="s">
        <v>13994</v>
      </c>
      <c r="F750" s="391" t="s">
        <v>14107</v>
      </c>
      <c r="G750" s="23"/>
      <c r="H750" s="23"/>
      <c r="I750" s="23"/>
      <c r="J750" s="23"/>
      <c r="K750" s="23"/>
      <c r="L750" s="350"/>
      <c r="M750" s="351"/>
      <c r="N750" s="267">
        <f t="shared" si="123"/>
        <v>0</v>
      </c>
      <c r="O750" s="268">
        <f t="shared" si="124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8"/>
        <v>0</v>
      </c>
      <c r="AD750" s="196">
        <f t="shared" si="119"/>
        <v>0</v>
      </c>
      <c r="AE750" s="196">
        <f t="shared" si="120"/>
        <v>0</v>
      </c>
      <c r="AF750" s="2">
        <f t="shared" si="121"/>
        <v>0</v>
      </c>
      <c r="AG750" s="2">
        <f t="shared" si="122"/>
        <v>0</v>
      </c>
    </row>
    <row r="751" spans="1:33">
      <c r="A751" s="20" t="s">
        <v>1488</v>
      </c>
      <c r="B751" s="161"/>
      <c r="C751" s="21" t="s">
        <v>138</v>
      </c>
      <c r="D751" s="109" t="s">
        <v>13991</v>
      </c>
      <c r="E751" s="109" t="s">
        <v>13210</v>
      </c>
      <c r="F751" s="391" t="s">
        <v>14108</v>
      </c>
      <c r="G751" s="23" t="s">
        <v>22665</v>
      </c>
      <c r="H751" s="23"/>
      <c r="I751" s="23"/>
      <c r="J751" s="23"/>
      <c r="K751" s="23"/>
      <c r="L751" s="350"/>
      <c r="M751" s="351"/>
      <c r="N751" s="267">
        <f t="shared" si="123"/>
        <v>0</v>
      </c>
      <c r="O751" s="268">
        <f t="shared" si="124"/>
        <v>0</v>
      </c>
      <c r="P751" s="239"/>
      <c r="Q751" s="239"/>
      <c r="R751" s="239"/>
      <c r="S751" s="239"/>
      <c r="T751" s="239"/>
      <c r="U751" s="240"/>
      <c r="V751" s="240"/>
      <c r="W751" s="240"/>
      <c r="X751" s="278"/>
      <c r="Y751" s="237"/>
      <c r="Z751" s="237"/>
      <c r="AA751" s="285"/>
      <c r="AB751" s="238"/>
      <c r="AC751" s="196">
        <f t="shared" si="118"/>
        <v>0</v>
      </c>
      <c r="AD751" s="196">
        <f t="shared" si="119"/>
        <v>0</v>
      </c>
      <c r="AE751" s="196">
        <f t="shared" si="120"/>
        <v>0</v>
      </c>
      <c r="AF751" s="2">
        <f t="shared" si="121"/>
        <v>0</v>
      </c>
      <c r="AG751" s="2">
        <f t="shared" si="122"/>
        <v>0</v>
      </c>
    </row>
    <row r="752" spans="1:33">
      <c r="A752" s="20" t="s">
        <v>1487</v>
      </c>
      <c r="B752" s="156" t="s">
        <v>14109</v>
      </c>
      <c r="C752" s="21" t="s">
        <v>138</v>
      </c>
      <c r="D752" s="109" t="s">
        <v>13207</v>
      </c>
      <c r="E752" s="109" t="s">
        <v>3128</v>
      </c>
      <c r="F752" s="391" t="s">
        <v>14108</v>
      </c>
      <c r="G752" s="23" t="s">
        <v>14025</v>
      </c>
      <c r="H752" s="23" t="s">
        <v>13996</v>
      </c>
      <c r="I752" s="23" t="s">
        <v>13997</v>
      </c>
      <c r="J752" s="23" t="s">
        <v>13301</v>
      </c>
      <c r="K752" s="23"/>
      <c r="L752" s="375"/>
      <c r="M752" s="351" t="s">
        <v>45</v>
      </c>
      <c r="N752" s="267">
        <f t="shared" si="123"/>
        <v>0</v>
      </c>
      <c r="O752" s="268">
        <f t="shared" si="124"/>
        <v>100</v>
      </c>
      <c r="P752" s="239"/>
      <c r="Q752" s="239"/>
      <c r="R752" s="239"/>
      <c r="S752" s="239"/>
      <c r="T752" s="239"/>
      <c r="U752" s="240">
        <f>650-550</f>
        <v>100</v>
      </c>
      <c r="V752" s="239"/>
      <c r="W752" s="240"/>
      <c r="X752" s="278"/>
      <c r="Y752" s="237"/>
      <c r="Z752" s="237"/>
      <c r="AA752" s="279"/>
      <c r="AB752" s="238" t="s">
        <v>27877</v>
      </c>
      <c r="AC752" s="196">
        <f t="shared" si="118"/>
        <v>100</v>
      </c>
      <c r="AD752" s="196">
        <f t="shared" si="119"/>
        <v>100</v>
      </c>
      <c r="AE752" s="196">
        <f t="shared" si="120"/>
        <v>0</v>
      </c>
      <c r="AF752" s="2">
        <f t="shared" si="121"/>
        <v>100</v>
      </c>
      <c r="AG752" s="2">
        <f t="shared" si="122"/>
        <v>0</v>
      </c>
    </row>
    <row r="753" spans="1:33">
      <c r="A753" s="20" t="s">
        <v>26883</v>
      </c>
      <c r="B753" s="156" t="s">
        <v>6212</v>
      </c>
      <c r="C753" s="21" t="s">
        <v>138</v>
      </c>
      <c r="D753" s="109" t="s">
        <v>12849</v>
      </c>
      <c r="E753" s="109" t="s">
        <v>26691</v>
      </c>
      <c r="F753" s="391" t="s">
        <v>4371</v>
      </c>
      <c r="G753" s="23" t="s">
        <v>13349</v>
      </c>
      <c r="H753" s="23"/>
      <c r="I753" s="23"/>
      <c r="J753" s="23"/>
      <c r="K753" s="23"/>
      <c r="L753" s="375" t="s">
        <v>45</v>
      </c>
      <c r="M753" s="351" t="s">
        <v>45</v>
      </c>
      <c r="N753" s="267">
        <f t="shared" ref="N753" si="127">SUM(L753:M753)</f>
        <v>0</v>
      </c>
      <c r="O753" s="268">
        <f t="shared" ref="O753" si="128">SUM(P753:Z753)</f>
        <v>0</v>
      </c>
      <c r="P753" s="239"/>
      <c r="Q753" s="239"/>
      <c r="R753" s="239"/>
      <c r="S753" s="239"/>
      <c r="T753" s="239"/>
      <c r="U753" s="240"/>
      <c r="V753" s="239"/>
      <c r="W753" s="240"/>
      <c r="X753" s="278"/>
      <c r="Y753" s="237"/>
      <c r="Z753" s="237"/>
      <c r="AA753" s="279"/>
      <c r="AB753" s="238"/>
      <c r="AC753" s="196">
        <f t="shared" si="118"/>
        <v>0</v>
      </c>
      <c r="AD753" s="196">
        <f t="shared" si="119"/>
        <v>0</v>
      </c>
      <c r="AE753" s="196">
        <f t="shared" si="120"/>
        <v>0</v>
      </c>
      <c r="AF753" s="2">
        <f t="shared" si="121"/>
        <v>0</v>
      </c>
      <c r="AG753" s="2">
        <f t="shared" si="122"/>
        <v>0</v>
      </c>
    </row>
    <row r="754" spans="1:33">
      <c r="A754" s="20" t="s">
        <v>1490</v>
      </c>
      <c r="B754" s="161"/>
      <c r="C754" s="21" t="s">
        <v>139</v>
      </c>
      <c r="D754" s="109" t="s">
        <v>13228</v>
      </c>
      <c r="E754" s="109"/>
      <c r="F754" s="391" t="s">
        <v>14110</v>
      </c>
      <c r="G754" s="23"/>
      <c r="H754" s="23"/>
      <c r="I754" s="23"/>
      <c r="J754" s="23"/>
      <c r="K754" s="23"/>
      <c r="L754" s="350"/>
      <c r="M754" s="351"/>
      <c r="N754" s="267">
        <f t="shared" si="123"/>
        <v>0</v>
      </c>
      <c r="O754" s="268">
        <f t="shared" si="124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85"/>
      <c r="AB754" s="238"/>
      <c r="AC754" s="196">
        <f t="shared" si="118"/>
        <v>0</v>
      </c>
      <c r="AD754" s="196">
        <f t="shared" si="119"/>
        <v>0</v>
      </c>
      <c r="AE754" s="196">
        <f t="shared" si="120"/>
        <v>0</v>
      </c>
      <c r="AF754" s="2">
        <f t="shared" si="121"/>
        <v>0</v>
      </c>
      <c r="AG754" s="2">
        <f t="shared" si="122"/>
        <v>0</v>
      </c>
    </row>
    <row r="755" spans="1:33">
      <c r="A755" s="20" t="s">
        <v>1491</v>
      </c>
      <c r="B755" s="161"/>
      <c r="C755" s="21" t="s">
        <v>139</v>
      </c>
      <c r="D755" s="109" t="s">
        <v>13207</v>
      </c>
      <c r="E755" s="109"/>
      <c r="F755" s="391" t="s">
        <v>14110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3"/>
        <v>0</v>
      </c>
      <c r="O755" s="268">
        <f t="shared" si="124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8"/>
        <v>0</v>
      </c>
      <c r="AD755" s="196">
        <f t="shared" si="119"/>
        <v>0</v>
      </c>
      <c r="AE755" s="196">
        <f t="shared" si="120"/>
        <v>0</v>
      </c>
      <c r="AF755" s="2">
        <f t="shared" si="121"/>
        <v>0</v>
      </c>
      <c r="AG755" s="2">
        <f t="shared" si="122"/>
        <v>0</v>
      </c>
    </row>
    <row r="756" spans="1:33">
      <c r="A756" s="20" t="s">
        <v>1492</v>
      </c>
      <c r="B756" s="161"/>
      <c r="C756" s="21" t="s">
        <v>140</v>
      </c>
      <c r="D756" s="109" t="s">
        <v>13207</v>
      </c>
      <c r="E756" s="109"/>
      <c r="F756" s="391" t="s">
        <v>14111</v>
      </c>
      <c r="G756" s="23" t="s">
        <v>13215</v>
      </c>
      <c r="H756" s="23"/>
      <c r="I756" s="23"/>
      <c r="J756" s="23"/>
      <c r="K756" s="23"/>
      <c r="L756" s="350"/>
      <c r="M756" s="351"/>
      <c r="N756" s="267">
        <f t="shared" si="123"/>
        <v>0</v>
      </c>
      <c r="O756" s="268">
        <f t="shared" si="124"/>
        <v>0</v>
      </c>
      <c r="P756" s="239"/>
      <c r="Q756" s="239"/>
      <c r="R756" s="239"/>
      <c r="S756" s="239"/>
      <c r="T756" s="239"/>
      <c r="U756" s="240"/>
      <c r="V756" s="240"/>
      <c r="W756" s="240"/>
      <c r="X756" s="278"/>
      <c r="Y756" s="237"/>
      <c r="Z756" s="237"/>
      <c r="AA756" s="279"/>
      <c r="AB756" s="238"/>
      <c r="AC756" s="196">
        <f t="shared" si="118"/>
        <v>0</v>
      </c>
      <c r="AD756" s="196">
        <f t="shared" si="119"/>
        <v>0</v>
      </c>
      <c r="AE756" s="196">
        <f t="shared" si="120"/>
        <v>0</v>
      </c>
      <c r="AF756" s="2">
        <f t="shared" si="121"/>
        <v>0</v>
      </c>
      <c r="AG756" s="2">
        <f t="shared" si="122"/>
        <v>0</v>
      </c>
    </row>
    <row r="757" spans="1:33">
      <c r="A757" s="20" t="s">
        <v>1493</v>
      </c>
      <c r="B757" s="152" t="s">
        <v>5825</v>
      </c>
      <c r="C757" s="21" t="s">
        <v>141</v>
      </c>
      <c r="D757" s="109" t="s">
        <v>13207</v>
      </c>
      <c r="E757" s="109" t="s">
        <v>25263</v>
      </c>
      <c r="F757" s="391" t="s">
        <v>14112</v>
      </c>
      <c r="G757" s="23" t="s">
        <v>14076</v>
      </c>
      <c r="H757" s="23" t="s">
        <v>13970</v>
      </c>
      <c r="I757" s="23" t="s">
        <v>14113</v>
      </c>
      <c r="J757" s="23" t="s">
        <v>14020</v>
      </c>
      <c r="K757" s="23" t="s">
        <v>25262</v>
      </c>
      <c r="L757" s="375" t="s">
        <v>7787</v>
      </c>
      <c r="M757" s="351" t="s">
        <v>7787</v>
      </c>
      <c r="N757" s="267">
        <f t="shared" si="123"/>
        <v>0</v>
      </c>
      <c r="O757" s="268">
        <f t="shared" si="124"/>
        <v>100</v>
      </c>
      <c r="P757" s="239"/>
      <c r="Q757" s="239"/>
      <c r="R757" s="239"/>
      <c r="S757" s="239"/>
      <c r="T757" s="239">
        <f>1000-100-200-100-200-300</f>
        <v>100</v>
      </c>
      <c r="U757" s="240"/>
      <c r="V757" s="240"/>
      <c r="W757" s="240"/>
      <c r="X757" s="278"/>
      <c r="Y757" s="239"/>
      <c r="Z757" s="237"/>
      <c r="AA757" s="239"/>
      <c r="AB757" s="238" t="s">
        <v>25264</v>
      </c>
      <c r="AC757" s="196">
        <f t="shared" si="118"/>
        <v>100</v>
      </c>
      <c r="AD757" s="196">
        <f t="shared" si="119"/>
        <v>100</v>
      </c>
      <c r="AE757" s="196">
        <f t="shared" si="120"/>
        <v>0</v>
      </c>
      <c r="AF757" s="2">
        <f t="shared" si="121"/>
        <v>100</v>
      </c>
      <c r="AG757" s="2">
        <f t="shared" si="122"/>
        <v>0</v>
      </c>
    </row>
    <row r="758" spans="1:33">
      <c r="A758" s="20" t="s">
        <v>11989</v>
      </c>
      <c r="B758" s="162"/>
      <c r="C758" s="21" t="s">
        <v>141</v>
      </c>
      <c r="D758" s="109" t="s">
        <v>14004</v>
      </c>
      <c r="E758" s="109" t="s">
        <v>14114</v>
      </c>
      <c r="F758" s="391" t="s">
        <v>14112</v>
      </c>
      <c r="G758" s="23" t="s">
        <v>14059</v>
      </c>
      <c r="H758" s="23"/>
      <c r="I758" s="23"/>
      <c r="J758" s="23"/>
      <c r="K758" s="23"/>
      <c r="L758" s="375" t="s">
        <v>7787</v>
      </c>
      <c r="M758" s="351"/>
      <c r="N758" s="267">
        <f t="shared" si="123"/>
        <v>0</v>
      </c>
      <c r="O758" s="268">
        <f t="shared" si="124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8"/>
        <v>0</v>
      </c>
      <c r="AD758" s="196">
        <f t="shared" si="119"/>
        <v>0</v>
      </c>
      <c r="AE758" s="196">
        <f t="shared" si="120"/>
        <v>0</v>
      </c>
      <c r="AF758" s="2">
        <f t="shared" si="121"/>
        <v>0</v>
      </c>
      <c r="AG758" s="2">
        <f t="shared" si="122"/>
        <v>0</v>
      </c>
    </row>
    <row r="759" spans="1:33">
      <c r="A759" s="20" t="s">
        <v>11990</v>
      </c>
      <c r="B759" s="162"/>
      <c r="C759" s="21" t="s">
        <v>141</v>
      </c>
      <c r="D759" s="109" t="s">
        <v>14004</v>
      </c>
      <c r="E759" s="109" t="s">
        <v>14115</v>
      </c>
      <c r="F759" s="391" t="s">
        <v>14112</v>
      </c>
      <c r="G759" s="23" t="s">
        <v>14020</v>
      </c>
      <c r="H759" s="23"/>
      <c r="I759" s="23"/>
      <c r="J759" s="23"/>
      <c r="K759" s="23"/>
      <c r="L759" s="375" t="s">
        <v>7787</v>
      </c>
      <c r="M759" s="351"/>
      <c r="N759" s="267">
        <f t="shared" si="123"/>
        <v>0</v>
      </c>
      <c r="O759" s="268">
        <f t="shared" si="124"/>
        <v>0</v>
      </c>
      <c r="P759" s="239"/>
      <c r="Q759" s="239"/>
      <c r="R759" s="239"/>
      <c r="S759" s="239"/>
      <c r="T759" s="239"/>
      <c r="U759" s="240"/>
      <c r="V759" s="240"/>
      <c r="W759" s="240"/>
      <c r="X759" s="278"/>
      <c r="Y759" s="239"/>
      <c r="Z759" s="237"/>
      <c r="AA759" s="279"/>
      <c r="AB759" s="238"/>
      <c r="AC759" s="196">
        <f t="shared" si="118"/>
        <v>0</v>
      </c>
      <c r="AD759" s="196">
        <f t="shared" si="119"/>
        <v>0</v>
      </c>
      <c r="AE759" s="196">
        <f t="shared" si="120"/>
        <v>0</v>
      </c>
      <c r="AF759" s="2">
        <f t="shared" si="121"/>
        <v>0</v>
      </c>
      <c r="AG759" s="2">
        <f t="shared" si="122"/>
        <v>0</v>
      </c>
    </row>
    <row r="760" spans="1:33">
      <c r="A760" s="20" t="s">
        <v>1494</v>
      </c>
      <c r="B760" s="150"/>
      <c r="C760" s="21" t="s">
        <v>142</v>
      </c>
      <c r="D760" s="109" t="s">
        <v>13228</v>
      </c>
      <c r="E760" s="109"/>
      <c r="F760" s="391" t="s">
        <v>14116</v>
      </c>
      <c r="G760" s="23" t="s">
        <v>13215</v>
      </c>
      <c r="H760" s="23" t="s">
        <v>14117</v>
      </c>
      <c r="I760" s="23"/>
      <c r="J760" s="23"/>
      <c r="K760" s="23"/>
      <c r="L760" s="375" t="s">
        <v>7787</v>
      </c>
      <c r="M760" s="351"/>
      <c r="N760" s="267">
        <f t="shared" si="123"/>
        <v>0</v>
      </c>
      <c r="O760" s="268">
        <f t="shared" si="124"/>
        <v>0</v>
      </c>
      <c r="P760" s="239"/>
      <c r="Q760" s="239"/>
      <c r="R760" s="239"/>
      <c r="S760" s="239"/>
      <c r="T760" s="239"/>
      <c r="U760" s="240"/>
      <c r="V760" s="239"/>
      <c r="W760" s="240"/>
      <c r="X760" s="278"/>
      <c r="Y760" s="237"/>
      <c r="Z760" s="237"/>
      <c r="AA760" s="279"/>
      <c r="AB760" s="238"/>
      <c r="AC760" s="196">
        <f t="shared" si="118"/>
        <v>0</v>
      </c>
      <c r="AD760" s="196">
        <f t="shared" si="119"/>
        <v>0</v>
      </c>
      <c r="AE760" s="196">
        <f t="shared" si="120"/>
        <v>0</v>
      </c>
      <c r="AF760" s="2">
        <f t="shared" si="121"/>
        <v>0</v>
      </c>
      <c r="AG760" s="2">
        <f t="shared" si="122"/>
        <v>0</v>
      </c>
    </row>
    <row r="761" spans="1:33">
      <c r="A761" s="20" t="s">
        <v>1495</v>
      </c>
      <c r="B761" s="150"/>
      <c r="C761" s="21" t="s">
        <v>143</v>
      </c>
      <c r="D761" s="109" t="s">
        <v>13228</v>
      </c>
      <c r="E761" s="109"/>
      <c r="F761" s="391" t="s">
        <v>14118</v>
      </c>
      <c r="G761" s="23" t="s">
        <v>14119</v>
      </c>
      <c r="H761" s="23" t="s">
        <v>14120</v>
      </c>
      <c r="I761" s="23" t="s">
        <v>14121</v>
      </c>
      <c r="J761" s="23" t="s">
        <v>13997</v>
      </c>
      <c r="K761" s="23" t="s">
        <v>13999</v>
      </c>
      <c r="L761" s="375" t="s">
        <v>7787</v>
      </c>
      <c r="M761" s="351" t="s">
        <v>7787</v>
      </c>
      <c r="N761" s="267">
        <f t="shared" si="123"/>
        <v>0</v>
      </c>
      <c r="O761" s="268">
        <f t="shared" si="124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8"/>
        <v>0</v>
      </c>
      <c r="AD761" s="196">
        <f t="shared" si="119"/>
        <v>0</v>
      </c>
      <c r="AE761" s="196">
        <f t="shared" si="120"/>
        <v>0</v>
      </c>
      <c r="AF761" s="2">
        <f t="shared" si="121"/>
        <v>0</v>
      </c>
      <c r="AG761" s="2">
        <f t="shared" si="122"/>
        <v>0</v>
      </c>
    </row>
    <row r="762" spans="1:33">
      <c r="A762" s="20" t="s">
        <v>1496</v>
      </c>
      <c r="B762" s="150"/>
      <c r="C762" s="21" t="s">
        <v>144</v>
      </c>
      <c r="D762" s="109" t="s">
        <v>14004</v>
      </c>
      <c r="E762" s="109" t="s">
        <v>13210</v>
      </c>
      <c r="F762" s="391" t="s">
        <v>14122</v>
      </c>
      <c r="G762" s="23"/>
      <c r="H762" s="23"/>
      <c r="I762" s="23"/>
      <c r="J762" s="23"/>
      <c r="K762" s="23"/>
      <c r="L762" s="350"/>
      <c r="M762" s="351"/>
      <c r="N762" s="267">
        <f t="shared" si="123"/>
        <v>0</v>
      </c>
      <c r="O762" s="268">
        <f t="shared" si="124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8"/>
        <v>0</v>
      </c>
      <c r="AD762" s="196">
        <f t="shared" si="119"/>
        <v>0</v>
      </c>
      <c r="AE762" s="196">
        <f t="shared" si="120"/>
        <v>0</v>
      </c>
      <c r="AF762" s="2">
        <f t="shared" si="121"/>
        <v>0</v>
      </c>
      <c r="AG762" s="2">
        <f t="shared" si="122"/>
        <v>0</v>
      </c>
    </row>
    <row r="763" spans="1:33">
      <c r="A763" s="20" t="s">
        <v>1497</v>
      </c>
      <c r="B763" s="162" t="s">
        <v>5826</v>
      </c>
      <c r="C763" s="21" t="s">
        <v>144</v>
      </c>
      <c r="D763" s="109" t="s">
        <v>13228</v>
      </c>
      <c r="E763" s="109"/>
      <c r="F763" s="391" t="s">
        <v>14123</v>
      </c>
      <c r="G763" s="23" t="s">
        <v>13215</v>
      </c>
      <c r="H763" s="23" t="s">
        <v>14002</v>
      </c>
      <c r="I763" s="23"/>
      <c r="J763" s="23"/>
      <c r="K763" s="23"/>
      <c r="L763" s="356" t="s">
        <v>7787</v>
      </c>
      <c r="M763" s="351" t="s">
        <v>7787</v>
      </c>
      <c r="N763" s="267">
        <f t="shared" si="123"/>
        <v>0</v>
      </c>
      <c r="O763" s="268">
        <f t="shared" si="124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8"/>
        <v>0</v>
      </c>
      <c r="AD763" s="196">
        <f t="shared" si="119"/>
        <v>0</v>
      </c>
      <c r="AE763" s="196">
        <f t="shared" si="120"/>
        <v>0</v>
      </c>
      <c r="AF763" s="2">
        <f t="shared" si="121"/>
        <v>0</v>
      </c>
      <c r="AG763" s="2">
        <f t="shared" si="122"/>
        <v>0</v>
      </c>
    </row>
    <row r="764" spans="1:33">
      <c r="A764" s="20" t="s">
        <v>7725</v>
      </c>
      <c r="B764" s="162" t="s">
        <v>7741</v>
      </c>
      <c r="C764" s="21" t="s">
        <v>144</v>
      </c>
      <c r="D764" s="109" t="s">
        <v>13207</v>
      </c>
      <c r="E764" s="109"/>
      <c r="F764" s="391" t="s">
        <v>14123</v>
      </c>
      <c r="G764" s="23" t="s">
        <v>14124</v>
      </c>
      <c r="H764" s="23"/>
      <c r="I764" s="23"/>
      <c r="J764" s="23"/>
      <c r="K764" s="23"/>
      <c r="L764" s="356"/>
      <c r="M764" s="351" t="s">
        <v>7787</v>
      </c>
      <c r="N764" s="267">
        <f t="shared" si="123"/>
        <v>0</v>
      </c>
      <c r="O764" s="268">
        <f t="shared" si="124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8"/>
        <v>0</v>
      </c>
      <c r="AD764" s="196">
        <f t="shared" si="119"/>
        <v>0</v>
      </c>
      <c r="AE764" s="196">
        <f t="shared" si="120"/>
        <v>0</v>
      </c>
      <c r="AF764" s="2">
        <f t="shared" si="121"/>
        <v>0</v>
      </c>
      <c r="AG764" s="2">
        <f t="shared" si="122"/>
        <v>0</v>
      </c>
    </row>
    <row r="765" spans="1:33">
      <c r="A765" s="20" t="s">
        <v>1499</v>
      </c>
      <c r="B765" s="150"/>
      <c r="C765" s="21" t="s">
        <v>145</v>
      </c>
      <c r="D765" s="109" t="s">
        <v>14004</v>
      </c>
      <c r="E765" s="109" t="s">
        <v>13210</v>
      </c>
      <c r="F765" s="391" t="s">
        <v>14125</v>
      </c>
      <c r="G765" s="23" t="s">
        <v>14056</v>
      </c>
      <c r="H765" s="23"/>
      <c r="I765" s="23"/>
      <c r="J765" s="23"/>
      <c r="K765" s="23"/>
      <c r="L765" s="350"/>
      <c r="M765" s="351"/>
      <c r="N765" s="267">
        <f t="shared" si="123"/>
        <v>0</v>
      </c>
      <c r="O765" s="268">
        <f t="shared" si="124"/>
        <v>0</v>
      </c>
      <c r="P765" s="239"/>
      <c r="Q765" s="239"/>
      <c r="R765" s="239"/>
      <c r="S765" s="239"/>
      <c r="T765" s="239"/>
      <c r="U765" s="240"/>
      <c r="V765" s="240"/>
      <c r="W765" s="240"/>
      <c r="X765" s="278"/>
      <c r="Y765" s="237"/>
      <c r="Z765" s="237"/>
      <c r="AA765" s="279"/>
      <c r="AB765" s="238"/>
      <c r="AC765" s="196">
        <f t="shared" si="118"/>
        <v>0</v>
      </c>
      <c r="AD765" s="196">
        <f t="shared" si="119"/>
        <v>0</v>
      </c>
      <c r="AE765" s="196">
        <f t="shared" si="120"/>
        <v>0</v>
      </c>
      <c r="AF765" s="2">
        <f t="shared" si="121"/>
        <v>0</v>
      </c>
      <c r="AG765" s="2">
        <f t="shared" si="122"/>
        <v>0</v>
      </c>
    </row>
    <row r="766" spans="1:33">
      <c r="A766" s="20" t="s">
        <v>1501</v>
      </c>
      <c r="B766" s="150"/>
      <c r="C766" s="21" t="s">
        <v>145</v>
      </c>
      <c r="D766" s="109" t="s">
        <v>14126</v>
      </c>
      <c r="E766" s="109"/>
      <c r="F766" s="391" t="s">
        <v>14125</v>
      </c>
      <c r="G766" s="23" t="s">
        <v>14076</v>
      </c>
      <c r="H766" s="23" t="s">
        <v>13968</v>
      </c>
      <c r="I766" s="23"/>
      <c r="J766" s="23"/>
      <c r="K766" s="23"/>
      <c r="L766" s="375" t="s">
        <v>7787</v>
      </c>
      <c r="M766" s="351" t="s">
        <v>7787</v>
      </c>
      <c r="N766" s="267">
        <f t="shared" si="123"/>
        <v>0</v>
      </c>
      <c r="O766" s="268">
        <f t="shared" si="124"/>
        <v>0</v>
      </c>
      <c r="P766" s="239"/>
      <c r="Q766" s="241"/>
      <c r="R766" s="239"/>
      <c r="S766" s="239"/>
      <c r="T766" s="239"/>
      <c r="U766" s="240"/>
      <c r="V766" s="240"/>
      <c r="W766" s="240"/>
      <c r="X766" s="278"/>
      <c r="Y766" s="239"/>
      <c r="Z766" s="237"/>
      <c r="AA766" s="279"/>
      <c r="AB766" s="238"/>
      <c r="AC766" s="196">
        <f t="shared" si="118"/>
        <v>0</v>
      </c>
      <c r="AD766" s="196">
        <f t="shared" si="119"/>
        <v>0</v>
      </c>
      <c r="AE766" s="196">
        <f t="shared" si="120"/>
        <v>0</v>
      </c>
      <c r="AF766" s="2">
        <f t="shared" si="121"/>
        <v>0</v>
      </c>
      <c r="AG766" s="2">
        <f t="shared" si="122"/>
        <v>0</v>
      </c>
    </row>
    <row r="767" spans="1:33">
      <c r="A767" s="20" t="s">
        <v>1502</v>
      </c>
      <c r="B767" s="162" t="s">
        <v>5827</v>
      </c>
      <c r="C767" s="21" t="s">
        <v>145</v>
      </c>
      <c r="D767" s="109" t="s">
        <v>14126</v>
      </c>
      <c r="E767" s="109" t="s">
        <v>25654</v>
      </c>
      <c r="F767" s="391" t="s">
        <v>14127</v>
      </c>
      <c r="G767" s="23" t="s">
        <v>14076</v>
      </c>
      <c r="H767" s="23" t="s">
        <v>24807</v>
      </c>
      <c r="I767" s="23"/>
      <c r="J767" s="23"/>
      <c r="K767" s="23"/>
      <c r="L767" s="350"/>
      <c r="M767" s="351"/>
      <c r="N767" s="267">
        <f t="shared" si="123"/>
        <v>0</v>
      </c>
      <c r="O767" s="268">
        <f t="shared" si="124"/>
        <v>0</v>
      </c>
      <c r="P767" s="239"/>
      <c r="Q767" s="239"/>
      <c r="R767" s="239"/>
      <c r="S767" s="239"/>
      <c r="T767" s="239"/>
      <c r="U767" s="240"/>
      <c r="V767" s="240"/>
      <c r="W767" s="240"/>
      <c r="X767" s="278"/>
      <c r="Y767" s="237"/>
      <c r="Z767" s="237"/>
      <c r="AA767" s="279"/>
      <c r="AB767" s="238"/>
      <c r="AC767" s="196">
        <f t="shared" si="118"/>
        <v>0</v>
      </c>
      <c r="AD767" s="196">
        <f t="shared" si="119"/>
        <v>0</v>
      </c>
      <c r="AE767" s="196">
        <f t="shared" si="120"/>
        <v>0</v>
      </c>
      <c r="AF767" s="2">
        <f t="shared" si="121"/>
        <v>0</v>
      </c>
      <c r="AG767" s="2">
        <f t="shared" si="122"/>
        <v>0</v>
      </c>
    </row>
    <row r="768" spans="1:33">
      <c r="A768" s="20" t="s">
        <v>25158</v>
      </c>
      <c r="B768" s="162"/>
      <c r="C768" s="21" t="s">
        <v>145</v>
      </c>
      <c r="D768" s="109" t="s">
        <v>3137</v>
      </c>
      <c r="E768" s="109" t="s">
        <v>22402</v>
      </c>
      <c r="F768" s="391" t="s">
        <v>25208</v>
      </c>
      <c r="G768" s="23" t="s">
        <v>25207</v>
      </c>
      <c r="H768" s="23"/>
      <c r="I768" s="23"/>
      <c r="J768" s="23"/>
      <c r="K768" s="23"/>
      <c r="L768" s="375" t="s">
        <v>45</v>
      </c>
      <c r="M768" s="351" t="s">
        <v>45</v>
      </c>
      <c r="N768" s="267">
        <f t="shared" ref="N768" si="129">SUM(L768:M768)</f>
        <v>0</v>
      </c>
      <c r="O768" s="268">
        <f t="shared" ref="O768" si="130">SUM(P768:Z768)</f>
        <v>1600</v>
      </c>
      <c r="P768" s="239"/>
      <c r="Q768" s="239"/>
      <c r="R768" s="239"/>
      <c r="S768" s="239"/>
      <c r="T768" s="239"/>
      <c r="U768" s="240">
        <f>1300-500+400+400</f>
        <v>1600</v>
      </c>
      <c r="V768" s="240"/>
      <c r="W768" s="240"/>
      <c r="X768" s="278"/>
      <c r="Y768" s="243"/>
      <c r="Z768" s="237"/>
      <c r="AA768" s="279"/>
      <c r="AB768" s="238" t="s">
        <v>26996</v>
      </c>
      <c r="AC768" s="196">
        <f t="shared" si="118"/>
        <v>1600</v>
      </c>
      <c r="AD768" s="196">
        <f t="shared" si="119"/>
        <v>1600</v>
      </c>
      <c r="AE768" s="196">
        <f t="shared" si="120"/>
        <v>0</v>
      </c>
      <c r="AF768" s="2">
        <f t="shared" si="121"/>
        <v>1600</v>
      </c>
      <c r="AG768" s="2">
        <f t="shared" si="122"/>
        <v>0</v>
      </c>
    </row>
    <row r="769" spans="1:33">
      <c r="A769" s="20" t="s">
        <v>11411</v>
      </c>
      <c r="B769" s="162"/>
      <c r="C769" s="21" t="s">
        <v>145</v>
      </c>
      <c r="D769" s="109" t="s">
        <v>14128</v>
      </c>
      <c r="E769" s="109"/>
      <c r="F769" s="391" t="s">
        <v>14125</v>
      </c>
      <c r="G769" s="23" t="s">
        <v>14076</v>
      </c>
      <c r="H769" s="23" t="s">
        <v>14059</v>
      </c>
      <c r="I769" s="23"/>
      <c r="J769" s="23"/>
      <c r="K769" s="23"/>
      <c r="L769" s="375" t="s">
        <v>7787</v>
      </c>
      <c r="M769" s="351" t="s">
        <v>7787</v>
      </c>
      <c r="N769" s="267">
        <f t="shared" si="123"/>
        <v>0</v>
      </c>
      <c r="O769" s="268">
        <f t="shared" si="124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9"/>
      <c r="Z769" s="237"/>
      <c r="AA769" s="279"/>
      <c r="AB769" s="238"/>
      <c r="AC769" s="196">
        <f t="shared" si="118"/>
        <v>0</v>
      </c>
      <c r="AD769" s="196">
        <f t="shared" si="119"/>
        <v>0</v>
      </c>
      <c r="AE769" s="196">
        <f t="shared" si="120"/>
        <v>0</v>
      </c>
      <c r="AF769" s="2">
        <f t="shared" si="121"/>
        <v>0</v>
      </c>
      <c r="AG769" s="2">
        <f t="shared" si="122"/>
        <v>0</v>
      </c>
    </row>
    <row r="770" spans="1:33">
      <c r="A770" s="20" t="s">
        <v>1498</v>
      </c>
      <c r="B770" s="161"/>
      <c r="C770" s="21" t="s">
        <v>145</v>
      </c>
      <c r="D770" s="109" t="s">
        <v>13228</v>
      </c>
      <c r="E770" s="109"/>
      <c r="F770" s="391" t="s">
        <v>14125</v>
      </c>
      <c r="G770" s="23" t="s">
        <v>13231</v>
      </c>
      <c r="H770" s="23" t="s">
        <v>14129</v>
      </c>
      <c r="I770" s="23" t="s">
        <v>13231</v>
      </c>
      <c r="J770" s="23"/>
      <c r="K770" s="23"/>
      <c r="L770" s="375" t="s">
        <v>7787</v>
      </c>
      <c r="M770" s="351" t="s">
        <v>7787</v>
      </c>
      <c r="N770" s="267">
        <f t="shared" si="123"/>
        <v>0</v>
      </c>
      <c r="O770" s="268">
        <f t="shared" si="124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8"/>
        <v>0</v>
      </c>
      <c r="AD770" s="196">
        <f t="shared" si="119"/>
        <v>0</v>
      </c>
      <c r="AE770" s="196">
        <f t="shared" si="120"/>
        <v>0</v>
      </c>
      <c r="AF770" s="2">
        <f t="shared" si="121"/>
        <v>0</v>
      </c>
      <c r="AG770" s="2">
        <f t="shared" si="122"/>
        <v>0</v>
      </c>
    </row>
    <row r="771" spans="1:33">
      <c r="A771" s="20" t="s">
        <v>22990</v>
      </c>
      <c r="B771" s="161"/>
      <c r="C771" s="21" t="s">
        <v>145</v>
      </c>
      <c r="D771" s="109" t="s">
        <v>3101</v>
      </c>
      <c r="E771" s="109" t="s">
        <v>19813</v>
      </c>
      <c r="F771" s="391" t="s">
        <v>4380</v>
      </c>
      <c r="G771" s="23" t="s">
        <v>13231</v>
      </c>
      <c r="H771" s="23"/>
      <c r="I771" s="23"/>
      <c r="J771" s="23"/>
      <c r="K771" s="23"/>
      <c r="L771" s="375"/>
      <c r="M771" s="351"/>
      <c r="N771" s="267">
        <f t="shared" si="123"/>
        <v>0</v>
      </c>
      <c r="O771" s="268">
        <f t="shared" si="124"/>
        <v>0</v>
      </c>
      <c r="P771" s="239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8"/>
        <v>0</v>
      </c>
      <c r="AD771" s="196">
        <f t="shared" si="119"/>
        <v>0</v>
      </c>
      <c r="AE771" s="196">
        <f t="shared" si="120"/>
        <v>0</v>
      </c>
      <c r="AF771" s="2">
        <f t="shared" si="121"/>
        <v>0</v>
      </c>
      <c r="AG771" s="2">
        <f t="shared" si="122"/>
        <v>0</v>
      </c>
    </row>
    <row r="772" spans="1:33">
      <c r="A772" s="20" t="s">
        <v>1504</v>
      </c>
      <c r="B772" s="151" t="s">
        <v>14130</v>
      </c>
      <c r="C772" s="21" t="s">
        <v>145</v>
      </c>
      <c r="D772" s="109" t="s">
        <v>13207</v>
      </c>
      <c r="E772" s="109" t="s">
        <v>14131</v>
      </c>
      <c r="F772" s="391" t="s">
        <v>14125</v>
      </c>
      <c r="G772" s="23" t="s">
        <v>17652</v>
      </c>
      <c r="H772" s="23" t="s">
        <v>14047</v>
      </c>
      <c r="I772" s="23" t="s">
        <v>14002</v>
      </c>
      <c r="J772" s="23" t="s">
        <v>13999</v>
      </c>
      <c r="K772" s="23" t="s">
        <v>14099</v>
      </c>
      <c r="L772" s="375" t="s">
        <v>7787</v>
      </c>
      <c r="M772" s="351" t="s">
        <v>7787</v>
      </c>
      <c r="N772" s="267">
        <f t="shared" si="123"/>
        <v>0</v>
      </c>
      <c r="O772" s="268">
        <f t="shared" si="124"/>
        <v>0</v>
      </c>
      <c r="P772" s="240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8"/>
        <v>0</v>
      </c>
      <c r="AD772" s="196">
        <f t="shared" si="119"/>
        <v>0</v>
      </c>
      <c r="AE772" s="196">
        <f t="shared" si="120"/>
        <v>0</v>
      </c>
      <c r="AF772" s="2">
        <f t="shared" si="121"/>
        <v>0</v>
      </c>
      <c r="AG772" s="2">
        <f t="shared" si="122"/>
        <v>0</v>
      </c>
    </row>
    <row r="773" spans="1:33">
      <c r="A773" s="20" t="s">
        <v>1503</v>
      </c>
      <c r="B773" s="150"/>
      <c r="C773" s="21" t="s">
        <v>145</v>
      </c>
      <c r="D773" s="109" t="s">
        <v>13207</v>
      </c>
      <c r="E773" s="109" t="s">
        <v>14131</v>
      </c>
      <c r="F773" s="391" t="s">
        <v>14132</v>
      </c>
      <c r="G773" s="23" t="s">
        <v>14059</v>
      </c>
      <c r="H773" s="23" t="s">
        <v>14047</v>
      </c>
      <c r="I773" s="23"/>
      <c r="J773" s="23"/>
      <c r="K773" s="23"/>
      <c r="L773" s="375" t="s">
        <v>7787</v>
      </c>
      <c r="M773" s="351" t="s">
        <v>7787</v>
      </c>
      <c r="N773" s="267">
        <f t="shared" si="123"/>
        <v>0</v>
      </c>
      <c r="O773" s="268">
        <f t="shared" si="124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8"/>
        <v>0</v>
      </c>
      <c r="AD773" s="196">
        <f t="shared" si="119"/>
        <v>0</v>
      </c>
      <c r="AE773" s="196">
        <f t="shared" si="120"/>
        <v>0</v>
      </c>
      <c r="AF773" s="2">
        <f t="shared" si="121"/>
        <v>0</v>
      </c>
      <c r="AG773" s="2">
        <f t="shared" si="122"/>
        <v>0</v>
      </c>
    </row>
    <row r="774" spans="1:33">
      <c r="A774" s="20" t="s">
        <v>1505</v>
      </c>
      <c r="B774" s="162" t="s">
        <v>14133</v>
      </c>
      <c r="C774" s="21" t="s">
        <v>145</v>
      </c>
      <c r="D774" s="109" t="s">
        <v>13207</v>
      </c>
      <c r="E774" s="109" t="s">
        <v>14131</v>
      </c>
      <c r="F774" s="391" t="s">
        <v>14134</v>
      </c>
      <c r="G774" s="23" t="s">
        <v>14135</v>
      </c>
      <c r="H774" s="23"/>
      <c r="I774" s="23"/>
      <c r="J774" s="23"/>
      <c r="K774" s="23"/>
      <c r="L774" s="375" t="s">
        <v>7787</v>
      </c>
      <c r="M774" s="351"/>
      <c r="N774" s="267">
        <f t="shared" si="123"/>
        <v>0</v>
      </c>
      <c r="O774" s="268">
        <f t="shared" si="124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8"/>
        <v>0</v>
      </c>
      <c r="AD774" s="196">
        <f t="shared" si="119"/>
        <v>0</v>
      </c>
      <c r="AE774" s="196">
        <f t="shared" si="120"/>
        <v>0</v>
      </c>
      <c r="AF774" s="2">
        <f t="shared" si="121"/>
        <v>0</v>
      </c>
      <c r="AG774" s="2">
        <f t="shared" si="122"/>
        <v>0</v>
      </c>
    </row>
    <row r="775" spans="1:33">
      <c r="A775" s="20" t="s">
        <v>10037</v>
      </c>
      <c r="B775" s="162"/>
      <c r="C775" s="213" t="s">
        <v>14136</v>
      </c>
      <c r="D775" s="109" t="s">
        <v>13207</v>
      </c>
      <c r="E775" s="158" t="s">
        <v>22155</v>
      </c>
      <c r="F775" s="393" t="s">
        <v>14125</v>
      </c>
      <c r="G775" s="380" t="s">
        <v>14054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3"/>
        <v>0</v>
      </c>
      <c r="O775" s="268">
        <f t="shared" si="124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8"/>
        <v>0</v>
      </c>
      <c r="AD775" s="196">
        <f t="shared" si="119"/>
        <v>0</v>
      </c>
      <c r="AE775" s="196">
        <f t="shared" si="120"/>
        <v>0</v>
      </c>
      <c r="AF775" s="2">
        <f t="shared" si="121"/>
        <v>0</v>
      </c>
      <c r="AG775" s="2">
        <f t="shared" si="122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66" t="s">
        <v>14137</v>
      </c>
      <c r="F776" s="391" t="s">
        <v>14138</v>
      </c>
      <c r="G776" s="23" t="s">
        <v>13972</v>
      </c>
      <c r="H776" s="23"/>
      <c r="I776" s="23"/>
      <c r="J776" s="23"/>
      <c r="K776" s="23"/>
      <c r="L776" s="375" t="s">
        <v>7787</v>
      </c>
      <c r="M776" s="351" t="s">
        <v>7787</v>
      </c>
      <c r="N776" s="267">
        <f t="shared" si="123"/>
        <v>0</v>
      </c>
      <c r="O776" s="268">
        <f t="shared" si="124"/>
        <v>0</v>
      </c>
      <c r="P776" s="239"/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/>
      <c r="AC776" s="196">
        <f t="shared" si="118"/>
        <v>0</v>
      </c>
      <c r="AD776" s="196">
        <f t="shared" si="119"/>
        <v>0</v>
      </c>
      <c r="AE776" s="196">
        <f t="shared" si="120"/>
        <v>0</v>
      </c>
      <c r="AF776" s="2">
        <f t="shared" si="121"/>
        <v>0</v>
      </c>
      <c r="AG776" s="2">
        <f t="shared" si="122"/>
        <v>0</v>
      </c>
    </row>
    <row r="777" spans="1:33">
      <c r="A777" s="20" t="s">
        <v>1506</v>
      </c>
      <c r="B777" s="162"/>
      <c r="C777" s="21" t="s">
        <v>145</v>
      </c>
      <c r="D777" s="109" t="s">
        <v>14049</v>
      </c>
      <c r="E777" s="109" t="s">
        <v>26418</v>
      </c>
      <c r="F777" s="391" t="s">
        <v>14139</v>
      </c>
      <c r="G777" s="23" t="s">
        <v>13972</v>
      </c>
      <c r="H777" s="23"/>
      <c r="I777" s="23"/>
      <c r="J777" s="23"/>
      <c r="K777" s="23"/>
      <c r="L777" s="350"/>
      <c r="M777" s="351"/>
      <c r="N777" s="267">
        <f t="shared" si="123"/>
        <v>0</v>
      </c>
      <c r="O777" s="268">
        <f t="shared" si="124"/>
        <v>3700</v>
      </c>
      <c r="P777" s="239">
        <f>5000-1300-900-700-1000-1000+3600</f>
        <v>3700</v>
      </c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 t="s">
        <v>27472</v>
      </c>
      <c r="AC777" s="196">
        <f t="shared" si="118"/>
        <v>3700</v>
      </c>
      <c r="AD777" s="196">
        <f t="shared" si="119"/>
        <v>3700</v>
      </c>
      <c r="AE777" s="196">
        <f t="shared" si="120"/>
        <v>0</v>
      </c>
      <c r="AF777" s="2">
        <f t="shared" si="121"/>
        <v>3700</v>
      </c>
      <c r="AG777" s="2">
        <f t="shared" si="122"/>
        <v>0</v>
      </c>
    </row>
    <row r="778" spans="1:33">
      <c r="A778" s="20" t="s">
        <v>26884</v>
      </c>
      <c r="B778" s="162"/>
      <c r="C778" s="21" t="s">
        <v>145</v>
      </c>
      <c r="D778" s="109" t="s">
        <v>26416</v>
      </c>
      <c r="E778" s="109" t="s">
        <v>26419</v>
      </c>
      <c r="F778" s="391" t="s">
        <v>26417</v>
      </c>
      <c r="G778" s="23" t="s">
        <v>6774</v>
      </c>
      <c r="H778" s="23"/>
      <c r="I778" s="23"/>
      <c r="J778" s="23"/>
      <c r="K778" s="23"/>
      <c r="L778" s="350"/>
      <c r="M778" s="351"/>
      <c r="N778" s="267">
        <f t="shared" ref="N778" si="131">SUM(L778:M778)</f>
        <v>0</v>
      </c>
      <c r="O778" s="268">
        <f t="shared" ref="O778" si="132">SUM(P778:Z778)</f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ref="AC778:AC841" si="133">SUM(P778:AA778)</f>
        <v>0</v>
      </c>
      <c r="AD778" s="196">
        <f t="shared" ref="AD778:AD841" si="134">SUM(P778:AB778)</f>
        <v>0</v>
      </c>
      <c r="AE778" s="196">
        <f t="shared" ref="AE778:AE841" si="135">SUM(AC778-AD778)</f>
        <v>0</v>
      </c>
      <c r="AF778" s="2">
        <f t="shared" ref="AF778:AF841" si="136">+AC778</f>
        <v>0</v>
      </c>
      <c r="AG778" s="2">
        <f t="shared" ref="AG778:AG841" si="137">+AC778-AF778</f>
        <v>0</v>
      </c>
    </row>
    <row r="779" spans="1:33">
      <c r="A779" s="20" t="s">
        <v>1500</v>
      </c>
      <c r="B779" s="150"/>
      <c r="C779" s="21" t="s">
        <v>145</v>
      </c>
      <c r="D779" s="109" t="s">
        <v>14061</v>
      </c>
      <c r="E779" s="109" t="s">
        <v>13210</v>
      </c>
      <c r="F779" s="391" t="s">
        <v>14125</v>
      </c>
      <c r="G779" s="23" t="s">
        <v>14063</v>
      </c>
      <c r="H779" s="23" t="s">
        <v>7853</v>
      </c>
      <c r="I779" s="23"/>
      <c r="J779" s="23"/>
      <c r="K779" s="23"/>
      <c r="L779" s="350"/>
      <c r="M779" s="351"/>
      <c r="N779" s="267">
        <f t="shared" si="123"/>
        <v>0</v>
      </c>
      <c r="O779" s="268">
        <f t="shared" si="124"/>
        <v>0</v>
      </c>
      <c r="P779" s="239"/>
      <c r="Q779" s="239"/>
      <c r="R779" s="239"/>
      <c r="S779" s="239"/>
      <c r="T779" s="239"/>
      <c r="U779" s="240"/>
      <c r="V779" s="240"/>
      <c r="W779" s="240"/>
      <c r="X779" s="278"/>
      <c r="Y779" s="237"/>
      <c r="Z779" s="237"/>
      <c r="AA779" s="279"/>
      <c r="AB779" s="238"/>
      <c r="AC779" s="196">
        <f t="shared" si="133"/>
        <v>0</v>
      </c>
      <c r="AD779" s="196">
        <f t="shared" si="134"/>
        <v>0</v>
      </c>
      <c r="AE779" s="196">
        <f t="shared" si="135"/>
        <v>0</v>
      </c>
      <c r="AF779" s="2">
        <f t="shared" si="136"/>
        <v>0</v>
      </c>
      <c r="AG779" s="2">
        <f t="shared" si="137"/>
        <v>0</v>
      </c>
    </row>
    <row r="780" spans="1:33">
      <c r="A780" s="20" t="s">
        <v>9859</v>
      </c>
      <c r="B780" s="150"/>
      <c r="C780" s="21" t="s">
        <v>145</v>
      </c>
      <c r="D780" s="109" t="s">
        <v>13232</v>
      </c>
      <c r="E780" s="109"/>
      <c r="F780" s="391" t="s">
        <v>14125</v>
      </c>
      <c r="G780" s="23" t="s">
        <v>14002</v>
      </c>
      <c r="H780" s="23" t="s">
        <v>17170</v>
      </c>
      <c r="I780" s="23"/>
      <c r="J780" s="23"/>
      <c r="K780" s="23"/>
      <c r="L780" s="375" t="s">
        <v>27591</v>
      </c>
      <c r="M780" s="351"/>
      <c r="N780" s="267">
        <f t="shared" si="123"/>
        <v>0</v>
      </c>
      <c r="O780" s="268">
        <f t="shared" si="124"/>
        <v>200</v>
      </c>
      <c r="P780" s="239"/>
      <c r="Q780" s="239"/>
      <c r="R780" s="239"/>
      <c r="S780" s="239"/>
      <c r="T780" s="239"/>
      <c r="U780" s="240">
        <f>1200-1000</f>
        <v>200</v>
      </c>
      <c r="V780" s="240"/>
      <c r="W780" s="240"/>
      <c r="X780" s="278"/>
      <c r="Y780" s="237"/>
      <c r="Z780" s="237"/>
      <c r="AA780" s="279"/>
      <c r="AB780" s="238" t="s">
        <v>27588</v>
      </c>
      <c r="AC780" s="196">
        <f t="shared" si="133"/>
        <v>200</v>
      </c>
      <c r="AD780" s="196">
        <f t="shared" si="134"/>
        <v>200</v>
      </c>
      <c r="AE780" s="196">
        <f t="shared" si="135"/>
        <v>0</v>
      </c>
      <c r="AF780" s="2">
        <f t="shared" si="136"/>
        <v>200</v>
      </c>
      <c r="AG780" s="2">
        <f t="shared" si="137"/>
        <v>0</v>
      </c>
    </row>
    <row r="781" spans="1:33">
      <c r="A781" s="20" t="s">
        <v>6788</v>
      </c>
      <c r="B781" s="150"/>
      <c r="C781" s="21" t="s">
        <v>146</v>
      </c>
      <c r="D781" s="109" t="s">
        <v>14126</v>
      </c>
      <c r="E781" s="109"/>
      <c r="F781" s="391" t="s">
        <v>14140</v>
      </c>
      <c r="G781" s="23" t="s">
        <v>13215</v>
      </c>
      <c r="H781" s="23" t="s">
        <v>24998</v>
      </c>
      <c r="I781" s="23"/>
      <c r="J781" s="23"/>
      <c r="K781" s="23"/>
      <c r="L781" s="375" t="s">
        <v>45</v>
      </c>
      <c r="M781" s="351" t="s">
        <v>7787</v>
      </c>
      <c r="N781" s="267">
        <f t="shared" si="123"/>
        <v>0</v>
      </c>
      <c r="O781" s="268">
        <f t="shared" si="124"/>
        <v>200</v>
      </c>
      <c r="P781" s="239"/>
      <c r="Q781" s="239"/>
      <c r="R781" s="239"/>
      <c r="S781" s="239"/>
      <c r="T781" s="239"/>
      <c r="U781" s="240">
        <f>1000-800</f>
        <v>200</v>
      </c>
      <c r="V781" s="240"/>
      <c r="W781" s="240"/>
      <c r="X781" s="278"/>
      <c r="Y781" s="237"/>
      <c r="Z781" s="237"/>
      <c r="AA781" s="279"/>
      <c r="AB781" s="238" t="s">
        <v>26187</v>
      </c>
      <c r="AC781" s="196">
        <f t="shared" si="133"/>
        <v>200</v>
      </c>
      <c r="AD781" s="196">
        <f t="shared" si="134"/>
        <v>200</v>
      </c>
      <c r="AE781" s="196">
        <f t="shared" si="135"/>
        <v>0</v>
      </c>
      <c r="AF781" s="2">
        <f t="shared" si="136"/>
        <v>200</v>
      </c>
      <c r="AG781" s="2">
        <f t="shared" si="137"/>
        <v>0</v>
      </c>
    </row>
    <row r="782" spans="1:33">
      <c r="A782" s="20" t="s">
        <v>1507</v>
      </c>
      <c r="B782" s="162" t="s">
        <v>14141</v>
      </c>
      <c r="C782" s="21" t="s">
        <v>146</v>
      </c>
      <c r="D782" s="109" t="s">
        <v>13228</v>
      </c>
      <c r="E782" s="109"/>
      <c r="F782" s="391" t="s">
        <v>14140</v>
      </c>
      <c r="G782" s="23" t="s">
        <v>14002</v>
      </c>
      <c r="H782" s="23"/>
      <c r="I782" s="23"/>
      <c r="J782" s="23"/>
      <c r="K782" s="23"/>
      <c r="L782" s="375" t="s">
        <v>7787</v>
      </c>
      <c r="M782" s="351"/>
      <c r="N782" s="267">
        <f t="shared" si="123"/>
        <v>0</v>
      </c>
      <c r="O782" s="268">
        <f t="shared" si="124"/>
        <v>0</v>
      </c>
      <c r="P782" s="239"/>
      <c r="Q782" s="239"/>
      <c r="R782" s="239"/>
      <c r="S782" s="239"/>
      <c r="T782" s="239"/>
      <c r="U782" s="240"/>
      <c r="V782" s="239"/>
      <c r="W782" s="240"/>
      <c r="X782" s="278"/>
      <c r="Y782" s="237"/>
      <c r="Z782" s="237"/>
      <c r="AA782" s="237"/>
      <c r="AB782" s="238"/>
      <c r="AC782" s="196">
        <f t="shared" si="133"/>
        <v>0</v>
      </c>
      <c r="AD782" s="196">
        <f t="shared" si="134"/>
        <v>0</v>
      </c>
      <c r="AE782" s="196">
        <f t="shared" si="135"/>
        <v>0</v>
      </c>
      <c r="AF782" s="2">
        <f t="shared" si="136"/>
        <v>0</v>
      </c>
      <c r="AG782" s="2">
        <f t="shared" si="137"/>
        <v>0</v>
      </c>
    </row>
    <row r="783" spans="1:33">
      <c r="A783" s="20" t="s">
        <v>1508</v>
      </c>
      <c r="B783" s="161"/>
      <c r="C783" s="21" t="s">
        <v>146</v>
      </c>
      <c r="D783" s="109" t="s">
        <v>13207</v>
      </c>
      <c r="E783" s="109"/>
      <c r="F783" s="391" t="s">
        <v>14140</v>
      </c>
      <c r="G783" s="23" t="s">
        <v>7857</v>
      </c>
      <c r="H783" s="23"/>
      <c r="I783" s="23"/>
      <c r="J783" s="23"/>
      <c r="K783" s="23"/>
      <c r="L783" s="350"/>
      <c r="M783" s="351"/>
      <c r="N783" s="267">
        <f t="shared" si="123"/>
        <v>0</v>
      </c>
      <c r="O783" s="268">
        <f t="shared" si="124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3"/>
        <v>0</v>
      </c>
      <c r="AD783" s="196">
        <f t="shared" si="134"/>
        <v>0</v>
      </c>
      <c r="AE783" s="196">
        <f t="shared" si="135"/>
        <v>0</v>
      </c>
      <c r="AF783" s="2">
        <f t="shared" si="136"/>
        <v>0</v>
      </c>
      <c r="AG783" s="2">
        <f t="shared" si="137"/>
        <v>0</v>
      </c>
    </row>
    <row r="784" spans="1:33">
      <c r="A784" s="20" t="s">
        <v>7875</v>
      </c>
      <c r="B784" s="150"/>
      <c r="C784" s="21" t="s">
        <v>146</v>
      </c>
      <c r="D784" s="109" t="s">
        <v>14142</v>
      </c>
      <c r="E784" s="109" t="s">
        <v>14143</v>
      </c>
      <c r="F784" s="391" t="s">
        <v>14140</v>
      </c>
      <c r="G784" s="23" t="s">
        <v>14144</v>
      </c>
      <c r="H784" s="23"/>
      <c r="I784" s="23"/>
      <c r="J784" s="23"/>
      <c r="K784" s="23"/>
      <c r="L784" s="375" t="s">
        <v>7787</v>
      </c>
      <c r="M784" s="351" t="s">
        <v>7787</v>
      </c>
      <c r="N784" s="267">
        <f t="shared" si="123"/>
        <v>0</v>
      </c>
      <c r="O784" s="268">
        <f t="shared" si="124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3"/>
        <v>0</v>
      </c>
      <c r="AD784" s="196">
        <f t="shared" si="134"/>
        <v>0</v>
      </c>
      <c r="AE784" s="196">
        <f t="shared" si="135"/>
        <v>0</v>
      </c>
      <c r="AF784" s="2">
        <f t="shared" si="136"/>
        <v>0</v>
      </c>
      <c r="AG784" s="2">
        <f t="shared" si="137"/>
        <v>0</v>
      </c>
    </row>
    <row r="785" spans="1:33">
      <c r="A785" s="20" t="s">
        <v>1509</v>
      </c>
      <c r="B785" s="150"/>
      <c r="C785" s="21" t="s">
        <v>147</v>
      </c>
      <c r="D785" s="109" t="s">
        <v>14004</v>
      </c>
      <c r="E785" s="109" t="s">
        <v>13210</v>
      </c>
      <c r="F785" s="391" t="s">
        <v>14145</v>
      </c>
      <c r="G785" s="23"/>
      <c r="H785" s="23"/>
      <c r="I785" s="23"/>
      <c r="J785" s="23"/>
      <c r="K785" s="23"/>
      <c r="L785" s="350"/>
      <c r="M785" s="351"/>
      <c r="N785" s="267">
        <f t="shared" si="123"/>
        <v>0</v>
      </c>
      <c r="O785" s="268">
        <f t="shared" si="124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3"/>
        <v>0</v>
      </c>
      <c r="AD785" s="196">
        <f t="shared" si="134"/>
        <v>0</v>
      </c>
      <c r="AE785" s="196">
        <f t="shared" si="135"/>
        <v>0</v>
      </c>
      <c r="AF785" s="2">
        <f t="shared" si="136"/>
        <v>0</v>
      </c>
      <c r="AG785" s="2">
        <f t="shared" si="137"/>
        <v>0</v>
      </c>
    </row>
    <row r="786" spans="1:33">
      <c r="A786" s="20" t="s">
        <v>1510</v>
      </c>
      <c r="B786" s="161"/>
      <c r="C786" s="21" t="s">
        <v>147</v>
      </c>
      <c r="D786" s="109" t="s">
        <v>13228</v>
      </c>
      <c r="E786" s="109"/>
      <c r="F786" s="391" t="s">
        <v>14145</v>
      </c>
      <c r="G786" s="23" t="s">
        <v>14013</v>
      </c>
      <c r="H786" s="23"/>
      <c r="I786" s="23"/>
      <c r="J786" s="23"/>
      <c r="K786" s="23"/>
      <c r="L786" s="350"/>
      <c r="M786" s="351"/>
      <c r="N786" s="267">
        <f t="shared" si="123"/>
        <v>0</v>
      </c>
      <c r="O786" s="268">
        <f t="shared" si="124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79"/>
      <c r="AB786" s="238"/>
      <c r="AC786" s="196">
        <f t="shared" si="133"/>
        <v>0</v>
      </c>
      <c r="AD786" s="196">
        <f t="shared" si="134"/>
        <v>0</v>
      </c>
      <c r="AE786" s="196">
        <f t="shared" si="135"/>
        <v>0</v>
      </c>
      <c r="AF786" s="2">
        <f t="shared" si="136"/>
        <v>0</v>
      </c>
      <c r="AG786" s="2">
        <f t="shared" si="137"/>
        <v>0</v>
      </c>
    </row>
    <row r="787" spans="1:33">
      <c r="A787" s="20" t="s">
        <v>1511</v>
      </c>
      <c r="B787" s="150"/>
      <c r="C787" s="21" t="s">
        <v>147</v>
      </c>
      <c r="D787" s="109" t="s">
        <v>13207</v>
      </c>
      <c r="E787" s="109"/>
      <c r="F787" s="391" t="s">
        <v>14145</v>
      </c>
      <c r="G787" s="23"/>
      <c r="H787" s="23"/>
      <c r="I787" s="23"/>
      <c r="J787" s="23"/>
      <c r="K787" s="23"/>
      <c r="L787" s="350"/>
      <c r="M787" s="351"/>
      <c r="N787" s="267">
        <f t="shared" si="123"/>
        <v>0</v>
      </c>
      <c r="O787" s="268">
        <f t="shared" si="124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3"/>
        <v>0</v>
      </c>
      <c r="AD787" s="196">
        <f t="shared" si="134"/>
        <v>0</v>
      </c>
      <c r="AE787" s="196">
        <f t="shared" si="135"/>
        <v>0</v>
      </c>
      <c r="AF787" s="2">
        <f t="shared" si="136"/>
        <v>0</v>
      </c>
      <c r="AG787" s="2">
        <f t="shared" si="137"/>
        <v>0</v>
      </c>
    </row>
    <row r="788" spans="1:33">
      <c r="A788" s="20" t="s">
        <v>7034</v>
      </c>
      <c r="B788" s="150"/>
      <c r="C788" s="21" t="s">
        <v>148</v>
      </c>
      <c r="D788" s="109" t="s">
        <v>14146</v>
      </c>
      <c r="E788" s="109" t="s">
        <v>13210</v>
      </c>
      <c r="F788" s="391" t="s">
        <v>14147</v>
      </c>
      <c r="G788" s="23" t="s">
        <v>14059</v>
      </c>
      <c r="H788" s="23"/>
      <c r="I788" s="23"/>
      <c r="J788" s="23"/>
      <c r="K788" s="23"/>
      <c r="L788" s="350"/>
      <c r="M788" s="351"/>
      <c r="N788" s="267">
        <f t="shared" si="123"/>
        <v>0</v>
      </c>
      <c r="O788" s="268">
        <f t="shared" si="124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3"/>
        <v>0</v>
      </c>
      <c r="AD788" s="196">
        <f t="shared" si="134"/>
        <v>0</v>
      </c>
      <c r="AE788" s="196">
        <f t="shared" si="135"/>
        <v>0</v>
      </c>
      <c r="AF788" s="2">
        <f t="shared" si="136"/>
        <v>0</v>
      </c>
      <c r="AG788" s="2">
        <f t="shared" si="137"/>
        <v>0</v>
      </c>
    </row>
    <row r="789" spans="1:33">
      <c r="A789" s="20" t="s">
        <v>20499</v>
      </c>
      <c r="B789" s="150"/>
      <c r="C789" s="21" t="s">
        <v>148</v>
      </c>
      <c r="D789" s="109" t="s">
        <v>5742</v>
      </c>
      <c r="E789" s="109" t="s">
        <v>20634</v>
      </c>
      <c r="F789" s="391" t="s">
        <v>4384</v>
      </c>
      <c r="G789" s="23"/>
      <c r="H789" s="23"/>
      <c r="I789" s="23"/>
      <c r="J789" s="23"/>
      <c r="K789" s="23"/>
      <c r="L789" s="375" t="s">
        <v>7787</v>
      </c>
      <c r="M789" s="351"/>
      <c r="N789" s="267">
        <f t="shared" si="123"/>
        <v>0</v>
      </c>
      <c r="O789" s="268">
        <f t="shared" si="124"/>
        <v>0</v>
      </c>
      <c r="P789" s="239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85"/>
      <c r="AB789" s="238"/>
      <c r="AC789" s="196">
        <f t="shared" si="133"/>
        <v>0</v>
      </c>
      <c r="AD789" s="196">
        <f t="shared" si="134"/>
        <v>0</v>
      </c>
      <c r="AE789" s="196">
        <f t="shared" si="135"/>
        <v>0</v>
      </c>
      <c r="AF789" s="2">
        <f t="shared" si="136"/>
        <v>0</v>
      </c>
      <c r="AG789" s="2">
        <f t="shared" si="137"/>
        <v>0</v>
      </c>
    </row>
    <row r="790" spans="1:33">
      <c r="A790" s="20" t="s">
        <v>1512</v>
      </c>
      <c r="B790" s="150"/>
      <c r="C790" s="21" t="s">
        <v>148</v>
      </c>
      <c r="D790" s="109" t="s">
        <v>13228</v>
      </c>
      <c r="E790" s="109"/>
      <c r="F790" s="391" t="s">
        <v>14147</v>
      </c>
      <c r="G790" s="23" t="s">
        <v>14059</v>
      </c>
      <c r="H790" s="23"/>
      <c r="I790" s="23"/>
      <c r="J790" s="23"/>
      <c r="K790" s="23"/>
      <c r="L790" s="375" t="s">
        <v>7787</v>
      </c>
      <c r="M790" s="351" t="s">
        <v>7787</v>
      </c>
      <c r="N790" s="267">
        <f t="shared" si="123"/>
        <v>0</v>
      </c>
      <c r="O790" s="268">
        <f t="shared" si="124"/>
        <v>0</v>
      </c>
      <c r="P790" s="248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3"/>
        <v>0</v>
      </c>
      <c r="AD790" s="196">
        <f t="shared" si="134"/>
        <v>0</v>
      </c>
      <c r="AE790" s="196">
        <f t="shared" si="135"/>
        <v>0</v>
      </c>
      <c r="AF790" s="2">
        <f t="shared" si="136"/>
        <v>0</v>
      </c>
      <c r="AG790" s="2">
        <f t="shared" si="137"/>
        <v>0</v>
      </c>
    </row>
    <row r="791" spans="1:33">
      <c r="A791" s="20" t="s">
        <v>1513</v>
      </c>
      <c r="B791" s="150"/>
      <c r="C791" s="21" t="s">
        <v>149</v>
      </c>
      <c r="D791" s="109" t="s">
        <v>13207</v>
      </c>
      <c r="E791" s="109"/>
      <c r="F791" s="391" t="s">
        <v>14148</v>
      </c>
      <c r="G791" s="23"/>
      <c r="H791" s="23"/>
      <c r="I791" s="23"/>
      <c r="J791" s="23"/>
      <c r="K791" s="23"/>
      <c r="L791" s="350"/>
      <c r="M791" s="351"/>
      <c r="N791" s="267">
        <f t="shared" ref="N791:N856" si="138">SUM(L791:M791)</f>
        <v>0</v>
      </c>
      <c r="O791" s="268">
        <f t="shared" ref="O791:O856" si="139">SUM(P791:Z791)</f>
        <v>0</v>
      </c>
      <c r="P791" s="239"/>
      <c r="Q791" s="239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3"/>
        <v>0</v>
      </c>
      <c r="AD791" s="196">
        <f t="shared" si="134"/>
        <v>0</v>
      </c>
      <c r="AE791" s="196">
        <f t="shared" si="135"/>
        <v>0</v>
      </c>
      <c r="AF791" s="2">
        <f t="shared" si="136"/>
        <v>0</v>
      </c>
      <c r="AG791" s="2">
        <f t="shared" si="137"/>
        <v>0</v>
      </c>
    </row>
    <row r="792" spans="1:33">
      <c r="A792" s="20" t="s">
        <v>1515</v>
      </c>
      <c r="B792" s="162" t="s">
        <v>5829</v>
      </c>
      <c r="C792" s="21" t="s">
        <v>150</v>
      </c>
      <c r="D792" s="109" t="s">
        <v>13207</v>
      </c>
      <c r="E792" s="109" t="s">
        <v>14075</v>
      </c>
      <c r="F792" s="391" t="s">
        <v>14149</v>
      </c>
      <c r="G792" s="23" t="s">
        <v>14076</v>
      </c>
      <c r="H792" s="23" t="s">
        <v>14059</v>
      </c>
      <c r="I792" s="23"/>
      <c r="J792" s="23"/>
      <c r="K792" s="23"/>
      <c r="L792" s="375"/>
      <c r="M792" s="351" t="s">
        <v>7787</v>
      </c>
      <c r="N792" s="267">
        <f t="shared" si="138"/>
        <v>0</v>
      </c>
      <c r="O792" s="268">
        <f t="shared" si="139"/>
        <v>0</v>
      </c>
      <c r="P792" s="239"/>
      <c r="Q792" s="237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3"/>
        <v>0</v>
      </c>
      <c r="AD792" s="196">
        <f t="shared" si="134"/>
        <v>0</v>
      </c>
      <c r="AE792" s="196">
        <f t="shared" si="135"/>
        <v>0</v>
      </c>
      <c r="AF792" s="2">
        <f t="shared" si="136"/>
        <v>0</v>
      </c>
      <c r="AG792" s="2">
        <f t="shared" si="137"/>
        <v>0</v>
      </c>
    </row>
    <row r="793" spans="1:33">
      <c r="A793" s="20" t="s">
        <v>1514</v>
      </c>
      <c r="B793" s="162" t="s">
        <v>5828</v>
      </c>
      <c r="C793" s="21" t="s">
        <v>150</v>
      </c>
      <c r="D793" s="109" t="s">
        <v>13207</v>
      </c>
      <c r="E793" s="109"/>
      <c r="F793" s="391" t="s">
        <v>14149</v>
      </c>
      <c r="G793" s="23" t="s">
        <v>22057</v>
      </c>
      <c r="H793" s="23" t="s">
        <v>20879</v>
      </c>
      <c r="I793" s="23" t="s">
        <v>14144</v>
      </c>
      <c r="J793" s="23" t="s">
        <v>13571</v>
      </c>
      <c r="K793" s="23" t="s">
        <v>13970</v>
      </c>
      <c r="L793" s="375"/>
      <c r="M793" s="351" t="s">
        <v>7787</v>
      </c>
      <c r="N793" s="267">
        <f t="shared" si="138"/>
        <v>0</v>
      </c>
      <c r="O793" s="268">
        <f t="shared" si="139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3"/>
        <v>0</v>
      </c>
      <c r="AD793" s="196">
        <f t="shared" si="134"/>
        <v>0</v>
      </c>
      <c r="AE793" s="196">
        <f t="shared" si="135"/>
        <v>0</v>
      </c>
      <c r="AF793" s="2">
        <f t="shared" si="136"/>
        <v>0</v>
      </c>
      <c r="AG793" s="2">
        <f t="shared" si="137"/>
        <v>0</v>
      </c>
    </row>
    <row r="794" spans="1:33">
      <c r="A794" s="20" t="s">
        <v>20202</v>
      </c>
      <c r="B794" s="162"/>
      <c r="C794" s="21" t="s">
        <v>150</v>
      </c>
      <c r="D794" s="109" t="s">
        <v>20305</v>
      </c>
      <c r="E794" s="109" t="s">
        <v>20306</v>
      </c>
      <c r="F794" s="391" t="s">
        <v>4386</v>
      </c>
      <c r="G794" s="23" t="s">
        <v>20304</v>
      </c>
      <c r="H794" s="23"/>
      <c r="I794" s="23"/>
      <c r="J794" s="23"/>
      <c r="K794" s="23"/>
      <c r="L794" s="375" t="s">
        <v>7787</v>
      </c>
      <c r="M794" s="351" t="s">
        <v>7787</v>
      </c>
      <c r="N794" s="267">
        <f t="shared" si="138"/>
        <v>0</v>
      </c>
      <c r="O794" s="268">
        <f t="shared" si="139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3"/>
        <v>0</v>
      </c>
      <c r="AD794" s="196">
        <f t="shared" si="134"/>
        <v>0</v>
      </c>
      <c r="AE794" s="196">
        <f t="shared" si="135"/>
        <v>0</v>
      </c>
      <c r="AF794" s="2">
        <f t="shared" si="136"/>
        <v>0</v>
      </c>
      <c r="AG794" s="2">
        <f t="shared" si="137"/>
        <v>0</v>
      </c>
    </row>
    <row r="795" spans="1:33">
      <c r="A795" s="20" t="s">
        <v>1517</v>
      </c>
      <c r="B795" s="150"/>
      <c r="C795" s="21" t="s">
        <v>151</v>
      </c>
      <c r="D795" s="109" t="s">
        <v>13228</v>
      </c>
      <c r="E795" s="109"/>
      <c r="F795" s="391" t="s">
        <v>14150</v>
      </c>
      <c r="G795" s="23" t="s">
        <v>14006</v>
      </c>
      <c r="H795" s="23"/>
      <c r="I795" s="23"/>
      <c r="J795" s="23"/>
      <c r="K795" s="23"/>
      <c r="L795" s="375"/>
      <c r="M795" s="351"/>
      <c r="N795" s="267">
        <f t="shared" si="138"/>
        <v>0</v>
      </c>
      <c r="O795" s="268">
        <f t="shared" si="139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3"/>
        <v>0</v>
      </c>
      <c r="AD795" s="196">
        <f t="shared" si="134"/>
        <v>0</v>
      </c>
      <c r="AE795" s="196">
        <f t="shared" si="135"/>
        <v>0</v>
      </c>
      <c r="AF795" s="2">
        <f t="shared" si="136"/>
        <v>0</v>
      </c>
      <c r="AG795" s="2">
        <f t="shared" si="137"/>
        <v>0</v>
      </c>
    </row>
    <row r="796" spans="1:33">
      <c r="A796" s="20" t="s">
        <v>1516</v>
      </c>
      <c r="B796" s="150"/>
      <c r="C796" s="21" t="s">
        <v>151</v>
      </c>
      <c r="D796" s="109" t="s">
        <v>14061</v>
      </c>
      <c r="E796" s="109" t="s">
        <v>13210</v>
      </c>
      <c r="F796" s="391" t="s">
        <v>14150</v>
      </c>
      <c r="G796" s="23" t="s">
        <v>7852</v>
      </c>
      <c r="H796" s="23"/>
      <c r="I796" s="23"/>
      <c r="J796" s="23"/>
      <c r="K796" s="23"/>
      <c r="L796" s="350"/>
      <c r="M796" s="351"/>
      <c r="N796" s="267">
        <f t="shared" si="138"/>
        <v>0</v>
      </c>
      <c r="O796" s="268">
        <f t="shared" si="139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3"/>
        <v>0</v>
      </c>
      <c r="AD796" s="196">
        <f t="shared" si="134"/>
        <v>0</v>
      </c>
      <c r="AE796" s="196">
        <f t="shared" si="135"/>
        <v>0</v>
      </c>
      <c r="AF796" s="2">
        <f t="shared" si="136"/>
        <v>0</v>
      </c>
      <c r="AG796" s="2">
        <f t="shared" si="137"/>
        <v>0</v>
      </c>
    </row>
    <row r="797" spans="1:33">
      <c r="A797" s="20" t="s">
        <v>11991</v>
      </c>
      <c r="B797" s="150"/>
      <c r="C797" s="21" t="s">
        <v>152</v>
      </c>
      <c r="D797" s="109" t="s">
        <v>14146</v>
      </c>
      <c r="E797" s="109" t="s">
        <v>13210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 t="s">
        <v>7787</v>
      </c>
      <c r="N797" s="267">
        <f t="shared" si="138"/>
        <v>0</v>
      </c>
      <c r="O797" s="268">
        <f t="shared" si="139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3"/>
        <v>0</v>
      </c>
      <c r="AD797" s="196">
        <f t="shared" si="134"/>
        <v>0</v>
      </c>
      <c r="AE797" s="196">
        <f t="shared" si="135"/>
        <v>0</v>
      </c>
      <c r="AF797" s="2">
        <f t="shared" si="136"/>
        <v>0</v>
      </c>
      <c r="AG797" s="2">
        <f t="shared" si="137"/>
        <v>0</v>
      </c>
    </row>
    <row r="798" spans="1:33">
      <c r="A798" s="20" t="s">
        <v>20500</v>
      </c>
      <c r="B798" s="150"/>
      <c r="C798" s="21" t="s">
        <v>152</v>
      </c>
      <c r="D798" s="109" t="s">
        <v>20836</v>
      </c>
      <c r="E798" s="109" t="s">
        <v>3117</v>
      </c>
      <c r="F798" s="391" t="s">
        <v>12086</v>
      </c>
      <c r="G798" s="23" t="s">
        <v>14151</v>
      </c>
      <c r="H798" s="23"/>
      <c r="I798" s="23"/>
      <c r="J798" s="23"/>
      <c r="K798" s="23"/>
      <c r="L798" s="375" t="s">
        <v>7787</v>
      </c>
      <c r="M798" s="351"/>
      <c r="N798" s="267">
        <f t="shared" si="138"/>
        <v>0</v>
      </c>
      <c r="O798" s="268">
        <f t="shared" si="139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3"/>
        <v>0</v>
      </c>
      <c r="AD798" s="196">
        <f t="shared" si="134"/>
        <v>0</v>
      </c>
      <c r="AE798" s="196">
        <f t="shared" si="135"/>
        <v>0</v>
      </c>
      <c r="AF798" s="2">
        <f t="shared" si="136"/>
        <v>0</v>
      </c>
      <c r="AG798" s="2">
        <f t="shared" si="137"/>
        <v>0</v>
      </c>
    </row>
    <row r="799" spans="1:33">
      <c r="A799" s="20" t="s">
        <v>1518</v>
      </c>
      <c r="B799" s="150"/>
      <c r="C799" s="21" t="s">
        <v>152</v>
      </c>
      <c r="D799" s="109" t="s">
        <v>13228</v>
      </c>
      <c r="E799" s="109"/>
      <c r="F799" s="391" t="s">
        <v>14152</v>
      </c>
      <c r="G799" s="23" t="s">
        <v>23869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8"/>
        <v>0</v>
      </c>
      <c r="O799" s="268">
        <f t="shared" si="139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3"/>
        <v>0</v>
      </c>
      <c r="AD799" s="196">
        <f t="shared" si="134"/>
        <v>0</v>
      </c>
      <c r="AE799" s="196">
        <f t="shared" si="135"/>
        <v>0</v>
      </c>
      <c r="AF799" s="2">
        <f t="shared" si="136"/>
        <v>0</v>
      </c>
      <c r="AG799" s="2">
        <f t="shared" si="137"/>
        <v>0</v>
      </c>
    </row>
    <row r="800" spans="1:33">
      <c r="A800" s="20" t="s">
        <v>7778</v>
      </c>
      <c r="B800" s="150"/>
      <c r="C800" s="21" t="s">
        <v>152</v>
      </c>
      <c r="D800" s="109" t="s">
        <v>13232</v>
      </c>
      <c r="E800" s="109" t="s">
        <v>14060</v>
      </c>
      <c r="F800" s="391" t="s">
        <v>14152</v>
      </c>
      <c r="G800" s="23" t="s">
        <v>14033</v>
      </c>
      <c r="H800" s="23"/>
      <c r="I800" s="23"/>
      <c r="J800" s="23"/>
      <c r="K800" s="23"/>
      <c r="L800" s="375" t="s">
        <v>7787</v>
      </c>
      <c r="M800" s="351" t="s">
        <v>7787</v>
      </c>
      <c r="N800" s="267">
        <f t="shared" si="138"/>
        <v>0</v>
      </c>
      <c r="O800" s="268">
        <f t="shared" si="139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3"/>
        <v>0</v>
      </c>
      <c r="AD800" s="196">
        <f t="shared" si="134"/>
        <v>0</v>
      </c>
      <c r="AE800" s="196">
        <f t="shared" si="135"/>
        <v>0</v>
      </c>
      <c r="AF800" s="2">
        <f t="shared" si="136"/>
        <v>0</v>
      </c>
      <c r="AG800" s="2">
        <f t="shared" si="137"/>
        <v>0</v>
      </c>
    </row>
    <row r="801" spans="1:33">
      <c r="A801" s="20" t="s">
        <v>9392</v>
      </c>
      <c r="B801" s="150"/>
      <c r="C801" s="21" t="s">
        <v>152</v>
      </c>
      <c r="D801" s="109" t="s">
        <v>14146</v>
      </c>
      <c r="E801" s="109" t="s">
        <v>13210</v>
      </c>
      <c r="F801" s="391" t="s">
        <v>14152</v>
      </c>
      <c r="G801" s="23" t="s">
        <v>14033</v>
      </c>
      <c r="H801" s="23"/>
      <c r="I801" s="23"/>
      <c r="J801" s="23"/>
      <c r="K801" s="23"/>
      <c r="L801" s="375"/>
      <c r="M801" s="351" t="s">
        <v>7787</v>
      </c>
      <c r="N801" s="267">
        <f t="shared" si="138"/>
        <v>0</v>
      </c>
      <c r="O801" s="268">
        <f t="shared" si="139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3"/>
        <v>0</v>
      </c>
      <c r="AD801" s="196">
        <f t="shared" si="134"/>
        <v>0</v>
      </c>
      <c r="AE801" s="196">
        <f t="shared" si="135"/>
        <v>0</v>
      </c>
      <c r="AF801" s="2">
        <f t="shared" si="136"/>
        <v>0</v>
      </c>
      <c r="AG801" s="2">
        <f t="shared" si="137"/>
        <v>0</v>
      </c>
    </row>
    <row r="802" spans="1:33">
      <c r="A802" s="20" t="s">
        <v>1519</v>
      </c>
      <c r="B802" s="150"/>
      <c r="C802" s="21" t="s">
        <v>153</v>
      </c>
      <c r="D802" s="109" t="s">
        <v>14038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51"/>
      <c r="N802" s="267">
        <f t="shared" si="138"/>
        <v>0</v>
      </c>
      <c r="O802" s="268">
        <f t="shared" si="139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3"/>
        <v>0</v>
      </c>
      <c r="AD802" s="196">
        <f t="shared" si="134"/>
        <v>0</v>
      </c>
      <c r="AE802" s="196">
        <f t="shared" si="135"/>
        <v>0</v>
      </c>
      <c r="AF802" s="2">
        <f t="shared" si="136"/>
        <v>0</v>
      </c>
      <c r="AG802" s="2">
        <f t="shared" si="137"/>
        <v>0</v>
      </c>
    </row>
    <row r="803" spans="1:33">
      <c r="A803" s="20" t="s">
        <v>1520</v>
      </c>
      <c r="B803" s="150"/>
      <c r="C803" s="21" t="s">
        <v>153</v>
      </c>
      <c r="D803" s="109" t="s">
        <v>13207</v>
      </c>
      <c r="E803" s="109"/>
      <c r="F803" s="391" t="s">
        <v>14153</v>
      </c>
      <c r="G803" s="23"/>
      <c r="H803" s="23"/>
      <c r="I803" s="23"/>
      <c r="J803" s="23"/>
      <c r="K803" s="23"/>
      <c r="L803" s="350"/>
      <c r="M803" s="362"/>
      <c r="N803" s="267">
        <f t="shared" si="138"/>
        <v>0</v>
      </c>
      <c r="O803" s="268">
        <f t="shared" si="139"/>
        <v>0</v>
      </c>
      <c r="P803" s="239"/>
      <c r="Q803" s="239"/>
      <c r="R803" s="239"/>
      <c r="S803" s="239"/>
      <c r="T803" s="239"/>
      <c r="U803" s="240"/>
      <c r="V803" s="240"/>
      <c r="W803" s="240"/>
      <c r="X803" s="278"/>
      <c r="Y803" s="237"/>
      <c r="Z803" s="237"/>
      <c r="AA803" s="279"/>
      <c r="AB803" s="238"/>
      <c r="AC803" s="196">
        <f t="shared" si="133"/>
        <v>0</v>
      </c>
      <c r="AD803" s="196">
        <f t="shared" si="134"/>
        <v>0</v>
      </c>
      <c r="AE803" s="196">
        <f t="shared" si="135"/>
        <v>0</v>
      </c>
      <c r="AF803" s="2">
        <f t="shared" si="136"/>
        <v>0</v>
      </c>
      <c r="AG803" s="2">
        <f t="shared" si="137"/>
        <v>0</v>
      </c>
    </row>
    <row r="804" spans="1:33">
      <c r="A804" s="20" t="s">
        <v>1521</v>
      </c>
      <c r="B804" s="150"/>
      <c r="C804" s="21" t="s">
        <v>154</v>
      </c>
      <c r="D804" s="109" t="s">
        <v>14154</v>
      </c>
      <c r="E804" s="109" t="s">
        <v>9980</v>
      </c>
      <c r="F804" s="391" t="s">
        <v>14155</v>
      </c>
      <c r="G804" s="23" t="s">
        <v>24044</v>
      </c>
      <c r="H804" s="23" t="s">
        <v>24305</v>
      </c>
      <c r="I804" s="23"/>
      <c r="J804" s="23"/>
      <c r="K804" s="23"/>
      <c r="L804" s="375" t="s">
        <v>45</v>
      </c>
      <c r="M804" s="351" t="s">
        <v>7787</v>
      </c>
      <c r="N804" s="267">
        <f t="shared" si="138"/>
        <v>0</v>
      </c>
      <c r="O804" s="268">
        <f t="shared" si="139"/>
        <v>200</v>
      </c>
      <c r="P804" s="239"/>
      <c r="Q804" s="239"/>
      <c r="R804" s="239"/>
      <c r="S804" s="239"/>
      <c r="T804" s="239"/>
      <c r="U804" s="240">
        <f>300-100</f>
        <v>200</v>
      </c>
      <c r="V804" s="240"/>
      <c r="W804" s="240"/>
      <c r="X804" s="278"/>
      <c r="Y804" s="237"/>
      <c r="Z804" s="237"/>
      <c r="AA804" s="279"/>
      <c r="AB804" s="238" t="s">
        <v>26657</v>
      </c>
      <c r="AC804" s="196">
        <f t="shared" si="133"/>
        <v>200</v>
      </c>
      <c r="AD804" s="196">
        <f t="shared" si="134"/>
        <v>200</v>
      </c>
      <c r="AE804" s="196">
        <f t="shared" si="135"/>
        <v>0</v>
      </c>
      <c r="AF804" s="2">
        <f t="shared" si="136"/>
        <v>200</v>
      </c>
      <c r="AG804" s="2">
        <f t="shared" si="137"/>
        <v>0</v>
      </c>
    </row>
    <row r="805" spans="1:33">
      <c r="A805" s="20" t="s">
        <v>1522</v>
      </c>
      <c r="B805" s="162" t="s">
        <v>5830</v>
      </c>
      <c r="C805" s="21" t="s">
        <v>154</v>
      </c>
      <c r="D805" s="109" t="s">
        <v>14154</v>
      </c>
      <c r="E805" s="109" t="s">
        <v>9980</v>
      </c>
      <c r="F805" s="391" t="s">
        <v>14156</v>
      </c>
      <c r="G805" s="23" t="s">
        <v>14076</v>
      </c>
      <c r="H805" s="23" t="s">
        <v>13964</v>
      </c>
      <c r="I805" s="23" t="s">
        <v>14057</v>
      </c>
      <c r="J805" s="23" t="s">
        <v>18818</v>
      </c>
      <c r="K805" s="23" t="s">
        <v>20338</v>
      </c>
      <c r="L805" s="375" t="s">
        <v>7787</v>
      </c>
      <c r="M805" s="351" t="s">
        <v>7787</v>
      </c>
      <c r="N805" s="267">
        <f t="shared" si="138"/>
        <v>0</v>
      </c>
      <c r="O805" s="268">
        <f t="shared" si="139"/>
        <v>0</v>
      </c>
      <c r="P805" s="248"/>
      <c r="Q805" s="248"/>
      <c r="R805" s="239"/>
      <c r="S805" s="239"/>
      <c r="T805" s="239"/>
      <c r="U805" s="239"/>
      <c r="V805" s="239"/>
      <c r="W805" s="240"/>
      <c r="X805" s="278"/>
      <c r="Y805" s="237"/>
      <c r="Z805" s="237"/>
      <c r="AA805" s="279"/>
      <c r="AB805" s="238"/>
      <c r="AC805" s="196">
        <f t="shared" si="133"/>
        <v>0</v>
      </c>
      <c r="AD805" s="196">
        <f t="shared" si="134"/>
        <v>0</v>
      </c>
      <c r="AE805" s="196">
        <f t="shared" si="135"/>
        <v>0</v>
      </c>
      <c r="AF805" s="2">
        <f t="shared" si="136"/>
        <v>0</v>
      </c>
      <c r="AG805" s="2">
        <f t="shared" si="137"/>
        <v>0</v>
      </c>
    </row>
    <row r="806" spans="1:33">
      <c r="A806" s="20" t="s">
        <v>1523</v>
      </c>
      <c r="B806" s="150"/>
      <c r="C806" s="21" t="s">
        <v>154</v>
      </c>
      <c r="D806" s="109" t="s">
        <v>13223</v>
      </c>
      <c r="E806" s="109" t="s">
        <v>10227</v>
      </c>
      <c r="F806" s="391" t="s">
        <v>14157</v>
      </c>
      <c r="G806" s="23" t="s">
        <v>14158</v>
      </c>
      <c r="H806" s="23" t="s">
        <v>14014</v>
      </c>
      <c r="I806" s="23" t="s">
        <v>14159</v>
      </c>
      <c r="J806" s="23"/>
      <c r="K806" s="23"/>
      <c r="L806" s="375" t="s">
        <v>7787</v>
      </c>
      <c r="M806" s="351" t="s">
        <v>7787</v>
      </c>
      <c r="N806" s="267">
        <f t="shared" si="138"/>
        <v>0</v>
      </c>
      <c r="O806" s="268">
        <f t="shared" si="139"/>
        <v>0</v>
      </c>
      <c r="P806" s="239"/>
      <c r="Q806" s="239"/>
      <c r="R806" s="239"/>
      <c r="S806" s="239"/>
      <c r="T806" s="239"/>
      <c r="U806" s="240"/>
      <c r="V806" s="239"/>
      <c r="W806" s="240"/>
      <c r="X806" s="278"/>
      <c r="Y806" s="237"/>
      <c r="Z806" s="237"/>
      <c r="AA806" s="279"/>
      <c r="AB806" s="238"/>
      <c r="AC806" s="196">
        <f t="shared" si="133"/>
        <v>0</v>
      </c>
      <c r="AD806" s="196">
        <f t="shared" si="134"/>
        <v>0</v>
      </c>
      <c r="AE806" s="196">
        <f t="shared" si="135"/>
        <v>0</v>
      </c>
      <c r="AF806" s="2">
        <f t="shared" si="136"/>
        <v>0</v>
      </c>
      <c r="AG806" s="2">
        <f t="shared" si="137"/>
        <v>0</v>
      </c>
    </row>
    <row r="807" spans="1:33">
      <c r="A807" s="20" t="s">
        <v>20203</v>
      </c>
      <c r="B807" s="150"/>
      <c r="C807" s="21" t="s">
        <v>154</v>
      </c>
      <c r="D807" s="109" t="s">
        <v>20325</v>
      </c>
      <c r="E807" s="109" t="s">
        <v>9980</v>
      </c>
      <c r="F807" s="391" t="s">
        <v>4390</v>
      </c>
      <c r="G807" s="23" t="s">
        <v>20334</v>
      </c>
      <c r="H807" s="23"/>
      <c r="I807" s="23"/>
      <c r="J807" s="23"/>
      <c r="K807" s="23"/>
      <c r="L807" s="375" t="s">
        <v>7787</v>
      </c>
      <c r="M807" s="351"/>
      <c r="N807" s="267">
        <f t="shared" si="138"/>
        <v>0</v>
      </c>
      <c r="O807" s="268">
        <f t="shared" si="139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79"/>
      <c r="AB807" s="238"/>
      <c r="AC807" s="196">
        <f t="shared" si="133"/>
        <v>0</v>
      </c>
      <c r="AD807" s="196">
        <f t="shared" si="134"/>
        <v>0</v>
      </c>
      <c r="AE807" s="196">
        <f t="shared" si="135"/>
        <v>0</v>
      </c>
      <c r="AF807" s="2">
        <f t="shared" si="136"/>
        <v>0</v>
      </c>
      <c r="AG807" s="2">
        <f t="shared" si="137"/>
        <v>0</v>
      </c>
    </row>
    <row r="808" spans="1:33">
      <c r="A808" s="20" t="s">
        <v>1524</v>
      </c>
      <c r="B808" s="156" t="s">
        <v>14160</v>
      </c>
      <c r="C808" s="21" t="s">
        <v>155</v>
      </c>
      <c r="D808" s="109" t="s">
        <v>13228</v>
      </c>
      <c r="E808" s="109"/>
      <c r="F808" s="391" t="s">
        <v>14161</v>
      </c>
      <c r="G808" s="23" t="s">
        <v>14162</v>
      </c>
      <c r="H808" s="23"/>
      <c r="I808" s="23"/>
      <c r="J808" s="23"/>
      <c r="K808" s="23"/>
      <c r="L808" s="350"/>
      <c r="M808" s="351"/>
      <c r="N808" s="267">
        <f t="shared" si="138"/>
        <v>0</v>
      </c>
      <c r="O808" s="268">
        <f t="shared" si="139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85"/>
      <c r="AB808" s="238"/>
      <c r="AC808" s="196">
        <f t="shared" si="133"/>
        <v>0</v>
      </c>
      <c r="AD808" s="196">
        <f t="shared" si="134"/>
        <v>0</v>
      </c>
      <c r="AE808" s="196">
        <f t="shared" si="135"/>
        <v>0</v>
      </c>
      <c r="AF808" s="2">
        <f t="shared" si="136"/>
        <v>0</v>
      </c>
      <c r="AG808" s="2">
        <f t="shared" si="137"/>
        <v>0</v>
      </c>
    </row>
    <row r="809" spans="1:33">
      <c r="A809" s="20" t="s">
        <v>1768</v>
      </c>
      <c r="B809" s="161"/>
      <c r="C809" s="21" t="s">
        <v>682</v>
      </c>
      <c r="D809" s="109" t="s">
        <v>14041</v>
      </c>
      <c r="E809" s="109" t="s">
        <v>13994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8"/>
        <v>0</v>
      </c>
      <c r="O809" s="268">
        <f t="shared" si="139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3"/>
        <v>0</v>
      </c>
      <c r="AD809" s="196">
        <f t="shared" si="134"/>
        <v>0</v>
      </c>
      <c r="AE809" s="196">
        <f t="shared" si="135"/>
        <v>0</v>
      </c>
      <c r="AF809" s="2">
        <f t="shared" si="136"/>
        <v>0</v>
      </c>
      <c r="AG809" s="2">
        <f t="shared" si="137"/>
        <v>0</v>
      </c>
    </row>
    <row r="810" spans="1:33">
      <c r="A810" s="20" t="s">
        <v>1765</v>
      </c>
      <c r="B810" s="161"/>
      <c r="C810" s="21" t="s">
        <v>682</v>
      </c>
      <c r="D810" s="109" t="s">
        <v>14004</v>
      </c>
      <c r="E810" s="109" t="s">
        <v>13203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8"/>
        <v>0</v>
      </c>
      <c r="O810" s="268">
        <f t="shared" si="139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3"/>
        <v>0</v>
      </c>
      <c r="AD810" s="196">
        <f t="shared" si="134"/>
        <v>0</v>
      </c>
      <c r="AE810" s="196">
        <f t="shared" si="135"/>
        <v>0</v>
      </c>
      <c r="AF810" s="2">
        <f t="shared" si="136"/>
        <v>0</v>
      </c>
      <c r="AG810" s="2">
        <f t="shared" si="137"/>
        <v>0</v>
      </c>
    </row>
    <row r="811" spans="1:33">
      <c r="A811" s="20" t="s">
        <v>1766</v>
      </c>
      <c r="B811" s="150"/>
      <c r="C811" s="21" t="s">
        <v>682</v>
      </c>
      <c r="D811" s="109" t="s">
        <v>14004</v>
      </c>
      <c r="E811" s="109" t="s">
        <v>13210</v>
      </c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8"/>
        <v>0</v>
      </c>
      <c r="O811" s="268">
        <f t="shared" si="139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3"/>
        <v>0</v>
      </c>
      <c r="AD811" s="196">
        <f t="shared" si="134"/>
        <v>0</v>
      </c>
      <c r="AE811" s="196">
        <f t="shared" si="135"/>
        <v>0</v>
      </c>
      <c r="AF811" s="2">
        <f t="shared" si="136"/>
        <v>0</v>
      </c>
      <c r="AG811" s="2">
        <f t="shared" si="137"/>
        <v>0</v>
      </c>
    </row>
    <row r="812" spans="1:33">
      <c r="A812" s="20" t="s">
        <v>1767</v>
      </c>
      <c r="B812" s="150"/>
      <c r="C812" s="21" t="s">
        <v>682</v>
      </c>
      <c r="D812" s="109" t="s">
        <v>13228</v>
      </c>
      <c r="E812" s="109"/>
      <c r="F812" s="391" t="s">
        <v>14163</v>
      </c>
      <c r="G812" s="23"/>
      <c r="H812" s="23"/>
      <c r="I812" s="23"/>
      <c r="J812" s="23"/>
      <c r="K812" s="23"/>
      <c r="L812" s="350"/>
      <c r="M812" s="351"/>
      <c r="N812" s="267">
        <f t="shared" si="138"/>
        <v>0</v>
      </c>
      <c r="O812" s="268">
        <f t="shared" si="139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3"/>
        <v>0</v>
      </c>
      <c r="AD812" s="196">
        <f t="shared" si="134"/>
        <v>0</v>
      </c>
      <c r="AE812" s="196">
        <f t="shared" si="135"/>
        <v>0</v>
      </c>
      <c r="AF812" s="2">
        <f t="shared" si="136"/>
        <v>0</v>
      </c>
      <c r="AG812" s="2">
        <f t="shared" si="137"/>
        <v>0</v>
      </c>
    </row>
    <row r="813" spans="1:33">
      <c r="A813" s="20" t="s">
        <v>1525</v>
      </c>
      <c r="B813" s="150"/>
      <c r="C813" s="21" t="s">
        <v>156</v>
      </c>
      <c r="D813" s="109" t="s">
        <v>13228</v>
      </c>
      <c r="E813" s="109"/>
      <c r="F813" s="391" t="s">
        <v>14164</v>
      </c>
      <c r="G813" s="23"/>
      <c r="H813" s="23"/>
      <c r="I813" s="23"/>
      <c r="J813" s="23"/>
      <c r="K813" s="23"/>
      <c r="L813" s="350"/>
      <c r="M813" s="351"/>
      <c r="N813" s="267">
        <f t="shared" si="138"/>
        <v>0</v>
      </c>
      <c r="O813" s="268">
        <f t="shared" si="139"/>
        <v>0</v>
      </c>
      <c r="P813" s="239"/>
      <c r="Q813" s="239"/>
      <c r="R813" s="239"/>
      <c r="S813" s="239"/>
      <c r="T813" s="239"/>
      <c r="U813" s="240"/>
      <c r="V813" s="240"/>
      <c r="W813" s="240"/>
      <c r="X813" s="278"/>
      <c r="Y813" s="237"/>
      <c r="Z813" s="237"/>
      <c r="AA813" s="279"/>
      <c r="AB813" s="238"/>
      <c r="AC813" s="196">
        <f t="shared" si="133"/>
        <v>0</v>
      </c>
      <c r="AD813" s="196">
        <f t="shared" si="134"/>
        <v>0</v>
      </c>
      <c r="AE813" s="196">
        <f t="shared" si="135"/>
        <v>0</v>
      </c>
      <c r="AF813" s="2">
        <f t="shared" si="136"/>
        <v>0</v>
      </c>
      <c r="AG813" s="2">
        <f t="shared" si="137"/>
        <v>0</v>
      </c>
    </row>
    <row r="814" spans="1:33">
      <c r="A814" s="20" t="s">
        <v>26885</v>
      </c>
      <c r="B814" s="150"/>
      <c r="C814" s="21" t="s">
        <v>156</v>
      </c>
      <c r="D814" s="109" t="s">
        <v>3137</v>
      </c>
      <c r="E814" s="109" t="s">
        <v>26810</v>
      </c>
      <c r="F814" s="391" t="s">
        <v>26809</v>
      </c>
      <c r="G814" s="23" t="s">
        <v>26811</v>
      </c>
      <c r="H814" s="23"/>
      <c r="I814" s="23"/>
      <c r="J814" s="23"/>
      <c r="K814" s="23"/>
      <c r="L814" s="350"/>
      <c r="M814" s="351"/>
      <c r="N814" s="267">
        <f t="shared" ref="N814" si="140">SUM(L814:M814)</f>
        <v>0</v>
      </c>
      <c r="O814" s="268">
        <f t="shared" ref="O814" si="141">SUM(P814:Z814)</f>
        <v>100</v>
      </c>
      <c r="P814" s="239"/>
      <c r="Q814" s="239"/>
      <c r="R814" s="239"/>
      <c r="S814" s="239"/>
      <c r="T814" s="239"/>
      <c r="U814" s="240">
        <f>1000-900</f>
        <v>100</v>
      </c>
      <c r="V814" s="240"/>
      <c r="W814" s="240"/>
      <c r="X814" s="278"/>
      <c r="Y814" s="237"/>
      <c r="Z814" s="237"/>
      <c r="AA814" s="279"/>
      <c r="AB814" s="238" t="s">
        <v>26808</v>
      </c>
      <c r="AC814" s="196">
        <f t="shared" si="133"/>
        <v>100</v>
      </c>
      <c r="AD814" s="196">
        <f t="shared" si="134"/>
        <v>100</v>
      </c>
      <c r="AE814" s="196">
        <f t="shared" si="135"/>
        <v>0</v>
      </c>
      <c r="AF814" s="2">
        <f t="shared" si="136"/>
        <v>100</v>
      </c>
      <c r="AG814" s="2">
        <f t="shared" si="137"/>
        <v>0</v>
      </c>
    </row>
    <row r="815" spans="1:33">
      <c r="A815" s="20" t="s">
        <v>1526</v>
      </c>
      <c r="B815" s="150"/>
      <c r="C815" s="21" t="s">
        <v>157</v>
      </c>
      <c r="D815" s="109" t="s">
        <v>14004</v>
      </c>
      <c r="E815" s="109" t="s">
        <v>13210</v>
      </c>
      <c r="F815" s="391" t="s">
        <v>14165</v>
      </c>
      <c r="G815" s="23"/>
      <c r="H815" s="23"/>
      <c r="I815" s="23"/>
      <c r="J815" s="23"/>
      <c r="K815" s="23"/>
      <c r="L815" s="350"/>
      <c r="M815" s="351"/>
      <c r="N815" s="267">
        <f t="shared" si="138"/>
        <v>0</v>
      </c>
      <c r="O815" s="268">
        <f t="shared" si="139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3"/>
        <v>0</v>
      </c>
      <c r="AD815" s="196">
        <f t="shared" si="134"/>
        <v>0</v>
      </c>
      <c r="AE815" s="196">
        <f t="shared" si="135"/>
        <v>0</v>
      </c>
      <c r="AF815" s="2">
        <f t="shared" si="136"/>
        <v>0</v>
      </c>
      <c r="AG815" s="2">
        <f t="shared" si="137"/>
        <v>0</v>
      </c>
    </row>
    <row r="816" spans="1:33">
      <c r="A816" s="20" t="s">
        <v>1527</v>
      </c>
      <c r="B816" s="150"/>
      <c r="C816" s="21" t="s">
        <v>14166</v>
      </c>
      <c r="D816" s="109" t="s">
        <v>13228</v>
      </c>
      <c r="E816" s="109"/>
      <c r="F816" s="391" t="s">
        <v>14165</v>
      </c>
      <c r="G816" s="23" t="s">
        <v>14006</v>
      </c>
      <c r="H816" s="23"/>
      <c r="I816" s="23"/>
      <c r="J816" s="23"/>
      <c r="K816" s="23"/>
      <c r="L816" s="350"/>
      <c r="M816" s="351"/>
      <c r="N816" s="267">
        <f t="shared" si="138"/>
        <v>0</v>
      </c>
      <c r="O816" s="268">
        <f t="shared" si="139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3"/>
        <v>0</v>
      </c>
      <c r="AD816" s="196">
        <f t="shared" si="134"/>
        <v>0</v>
      </c>
      <c r="AE816" s="196">
        <f t="shared" si="135"/>
        <v>0</v>
      </c>
      <c r="AF816" s="2">
        <f t="shared" si="136"/>
        <v>0</v>
      </c>
      <c r="AG816" s="2">
        <f t="shared" si="137"/>
        <v>0</v>
      </c>
    </row>
    <row r="817" spans="1:33">
      <c r="A817" s="20" t="s">
        <v>10455</v>
      </c>
      <c r="B817" s="150"/>
      <c r="C817" s="21" t="s">
        <v>14166</v>
      </c>
      <c r="D817" s="109" t="s">
        <v>13223</v>
      </c>
      <c r="E817" s="109" t="s">
        <v>14167</v>
      </c>
      <c r="F817" s="391" t="s">
        <v>14165</v>
      </c>
      <c r="G817" s="23" t="s">
        <v>14019</v>
      </c>
      <c r="H817" s="23"/>
      <c r="I817" s="23"/>
      <c r="J817" s="23"/>
      <c r="K817" s="23"/>
      <c r="L817" s="375" t="s">
        <v>7787</v>
      </c>
      <c r="M817" s="351" t="s">
        <v>45</v>
      </c>
      <c r="N817" s="267">
        <f t="shared" si="138"/>
        <v>0</v>
      </c>
      <c r="O817" s="268">
        <f t="shared" si="139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3"/>
        <v>0</v>
      </c>
      <c r="AD817" s="196">
        <f t="shared" si="134"/>
        <v>0</v>
      </c>
      <c r="AE817" s="196">
        <f t="shared" si="135"/>
        <v>0</v>
      </c>
      <c r="AF817" s="2">
        <f t="shared" si="136"/>
        <v>0</v>
      </c>
      <c r="AG817" s="2">
        <f t="shared" si="137"/>
        <v>0</v>
      </c>
    </row>
    <row r="818" spans="1:33">
      <c r="A818" s="20" t="s">
        <v>1531</v>
      </c>
      <c r="B818" s="150"/>
      <c r="C818" s="21" t="s">
        <v>159</v>
      </c>
      <c r="D818" s="109" t="s">
        <v>13991</v>
      </c>
      <c r="E818" s="109" t="s">
        <v>13210</v>
      </c>
      <c r="F818" s="391" t="s">
        <v>14168</v>
      </c>
      <c r="G818" s="23"/>
      <c r="H818" s="23"/>
      <c r="I818" s="23"/>
      <c r="J818" s="23"/>
      <c r="K818" s="23"/>
      <c r="L818" s="350"/>
      <c r="M818" s="351"/>
      <c r="N818" s="267">
        <f t="shared" si="138"/>
        <v>0</v>
      </c>
      <c r="O818" s="268">
        <f t="shared" si="139"/>
        <v>0</v>
      </c>
      <c r="P818" s="239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3"/>
        <v>0</v>
      </c>
      <c r="AD818" s="196">
        <f t="shared" si="134"/>
        <v>0</v>
      </c>
      <c r="AE818" s="196">
        <f t="shared" si="135"/>
        <v>0</v>
      </c>
      <c r="AF818" s="2">
        <f t="shared" si="136"/>
        <v>0</v>
      </c>
      <c r="AG818" s="2">
        <f t="shared" si="137"/>
        <v>0</v>
      </c>
    </row>
    <row r="819" spans="1:33">
      <c r="A819" s="20" t="s">
        <v>1532</v>
      </c>
      <c r="B819" s="161"/>
      <c r="C819" s="21" t="s">
        <v>159</v>
      </c>
      <c r="D819" s="109" t="s">
        <v>13207</v>
      </c>
      <c r="E819" s="109"/>
      <c r="F819" s="391" t="s">
        <v>14168</v>
      </c>
      <c r="G819" s="23" t="s">
        <v>25195</v>
      </c>
      <c r="H819" s="23"/>
      <c r="I819" s="23"/>
      <c r="J819" s="23"/>
      <c r="K819" s="23"/>
      <c r="L819" s="375" t="s">
        <v>7787</v>
      </c>
      <c r="M819" s="351" t="s">
        <v>7787</v>
      </c>
      <c r="N819" s="267">
        <f t="shared" si="138"/>
        <v>0</v>
      </c>
      <c r="O819" s="268">
        <f t="shared" si="139"/>
        <v>0</v>
      </c>
      <c r="P819" s="240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3"/>
        <v>0</v>
      </c>
      <c r="AD819" s="196">
        <f t="shared" si="134"/>
        <v>0</v>
      </c>
      <c r="AE819" s="196">
        <f t="shared" si="135"/>
        <v>0</v>
      </c>
      <c r="AF819" s="2">
        <f t="shared" si="136"/>
        <v>0</v>
      </c>
      <c r="AG819" s="2">
        <f t="shared" si="137"/>
        <v>0</v>
      </c>
    </row>
    <row r="820" spans="1:33">
      <c r="A820" s="20" t="s">
        <v>1534</v>
      </c>
      <c r="B820" s="150"/>
      <c r="C820" s="21" t="s">
        <v>160</v>
      </c>
      <c r="D820" s="109" t="s">
        <v>13991</v>
      </c>
      <c r="E820" s="109" t="s">
        <v>13210</v>
      </c>
      <c r="F820" s="391" t="s">
        <v>14169</v>
      </c>
      <c r="G820" s="23"/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8"/>
        <v>0</v>
      </c>
      <c r="O820" s="268">
        <f t="shared" si="139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3"/>
        <v>0</v>
      </c>
      <c r="AD820" s="196">
        <f t="shared" si="134"/>
        <v>0</v>
      </c>
      <c r="AE820" s="196">
        <f t="shared" si="135"/>
        <v>0</v>
      </c>
      <c r="AF820" s="2">
        <f t="shared" si="136"/>
        <v>0</v>
      </c>
      <c r="AG820" s="2">
        <f t="shared" si="137"/>
        <v>0</v>
      </c>
    </row>
    <row r="821" spans="1:33">
      <c r="A821" s="20" t="s">
        <v>11534</v>
      </c>
      <c r="B821" s="150"/>
      <c r="C821" s="21" t="s">
        <v>160</v>
      </c>
      <c r="D821" s="109" t="s">
        <v>13991</v>
      </c>
      <c r="E821" s="109" t="s">
        <v>13994</v>
      </c>
      <c r="F821" s="391" t="s">
        <v>14169</v>
      </c>
      <c r="G821" s="23" t="s">
        <v>14170</v>
      </c>
      <c r="H821" s="23"/>
      <c r="I821" s="23"/>
      <c r="J821" s="23"/>
      <c r="K821" s="23"/>
      <c r="L821" s="375" t="s">
        <v>7787</v>
      </c>
      <c r="M821" s="367" t="s">
        <v>7787</v>
      </c>
      <c r="N821" s="267">
        <f t="shared" si="138"/>
        <v>0</v>
      </c>
      <c r="O821" s="268">
        <f t="shared" si="139"/>
        <v>0</v>
      </c>
      <c r="P821" s="239"/>
      <c r="Q821" s="239"/>
      <c r="R821" s="239"/>
      <c r="S821" s="239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3"/>
        <v>0</v>
      </c>
      <c r="AD821" s="196">
        <f t="shared" si="134"/>
        <v>0</v>
      </c>
      <c r="AE821" s="196">
        <f t="shared" si="135"/>
        <v>0</v>
      </c>
      <c r="AF821" s="2">
        <f t="shared" si="136"/>
        <v>0</v>
      </c>
      <c r="AG821" s="2">
        <f t="shared" si="137"/>
        <v>0</v>
      </c>
    </row>
    <row r="822" spans="1:33">
      <c r="A822" s="20" t="s">
        <v>1533</v>
      </c>
      <c r="B822" s="150"/>
      <c r="C822" s="21" t="s">
        <v>160</v>
      </c>
      <c r="D822" s="109" t="s">
        <v>4067</v>
      </c>
      <c r="E822" s="109"/>
      <c r="F822" s="391" t="s">
        <v>4399</v>
      </c>
      <c r="G822" s="23" t="s">
        <v>14171</v>
      </c>
      <c r="H822" s="23" t="s">
        <v>13997</v>
      </c>
      <c r="I822" s="23" t="s">
        <v>13999</v>
      </c>
      <c r="J822" s="23" t="s">
        <v>13996</v>
      </c>
      <c r="K822" s="23" t="s">
        <v>13963</v>
      </c>
      <c r="L822" s="375" t="s">
        <v>7787</v>
      </c>
      <c r="M822" s="351" t="s">
        <v>7787</v>
      </c>
      <c r="N822" s="267">
        <f t="shared" si="138"/>
        <v>0</v>
      </c>
      <c r="O822" s="268">
        <f t="shared" si="139"/>
        <v>0</v>
      </c>
      <c r="P822" s="239"/>
      <c r="Q822" s="239"/>
      <c r="R822" s="239"/>
      <c r="S822" s="240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3"/>
        <v>0</v>
      </c>
      <c r="AD822" s="196">
        <f t="shared" si="134"/>
        <v>0</v>
      </c>
      <c r="AE822" s="196">
        <f t="shared" si="135"/>
        <v>0</v>
      </c>
      <c r="AF822" s="2">
        <f t="shared" si="136"/>
        <v>0</v>
      </c>
      <c r="AG822" s="2">
        <f t="shared" si="137"/>
        <v>0</v>
      </c>
    </row>
    <row r="823" spans="1:33">
      <c r="A823" s="20" t="s">
        <v>1535</v>
      </c>
      <c r="B823" s="150"/>
      <c r="C823" s="21" t="s">
        <v>161</v>
      </c>
      <c r="D823" s="109" t="s">
        <v>13207</v>
      </c>
      <c r="E823" s="109" t="s">
        <v>23951</v>
      </c>
      <c r="F823" s="391" t="s">
        <v>14172</v>
      </c>
      <c r="G823" s="23" t="s">
        <v>14170</v>
      </c>
      <c r="H823" s="23"/>
      <c r="I823" s="23"/>
      <c r="J823" s="23"/>
      <c r="K823" s="23"/>
      <c r="L823" s="350"/>
      <c r="M823" s="351"/>
      <c r="N823" s="267">
        <f t="shared" si="138"/>
        <v>0</v>
      </c>
      <c r="O823" s="268">
        <f t="shared" si="139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79"/>
      <c r="AB823" s="238"/>
      <c r="AC823" s="196">
        <f t="shared" si="133"/>
        <v>0</v>
      </c>
      <c r="AD823" s="196">
        <f t="shared" si="134"/>
        <v>0</v>
      </c>
      <c r="AE823" s="196">
        <f t="shared" si="135"/>
        <v>0</v>
      </c>
      <c r="AF823" s="2">
        <f t="shared" si="136"/>
        <v>0</v>
      </c>
      <c r="AG823" s="2">
        <f t="shared" si="137"/>
        <v>0</v>
      </c>
    </row>
    <row r="824" spans="1:33">
      <c r="A824" s="20" t="s">
        <v>1541</v>
      </c>
      <c r="B824" s="150"/>
      <c r="C824" s="21" t="s">
        <v>162</v>
      </c>
      <c r="D824" s="109" t="s">
        <v>14041</v>
      </c>
      <c r="E824" s="109" t="s">
        <v>13992</v>
      </c>
      <c r="F824" s="391" t="s">
        <v>14173</v>
      </c>
      <c r="G824" s="23" t="s">
        <v>14174</v>
      </c>
      <c r="H824" s="23"/>
      <c r="I824" s="23"/>
      <c r="J824" s="23"/>
      <c r="K824" s="23"/>
      <c r="L824" s="350"/>
      <c r="M824" s="351"/>
      <c r="N824" s="267">
        <f t="shared" si="138"/>
        <v>0</v>
      </c>
      <c r="O824" s="268">
        <f t="shared" si="139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85"/>
      <c r="AB824" s="238"/>
      <c r="AC824" s="196">
        <f t="shared" si="133"/>
        <v>0</v>
      </c>
      <c r="AD824" s="196">
        <f t="shared" si="134"/>
        <v>0</v>
      </c>
      <c r="AE824" s="196">
        <f t="shared" si="135"/>
        <v>0</v>
      </c>
      <c r="AF824" s="2">
        <f t="shared" si="136"/>
        <v>0</v>
      </c>
      <c r="AG824" s="2">
        <f t="shared" si="137"/>
        <v>0</v>
      </c>
    </row>
    <row r="825" spans="1:33">
      <c r="A825" s="20" t="s">
        <v>1537</v>
      </c>
      <c r="B825" s="150"/>
      <c r="C825" s="21" t="s">
        <v>162</v>
      </c>
      <c r="D825" s="109" t="s">
        <v>13228</v>
      </c>
      <c r="E825" s="109"/>
      <c r="F825" s="391" t="s">
        <v>14173</v>
      </c>
      <c r="G825" s="23" t="s">
        <v>14019</v>
      </c>
      <c r="H825" s="23" t="s">
        <v>13339</v>
      </c>
      <c r="I825" s="23"/>
      <c r="J825" s="23"/>
      <c r="K825" s="23"/>
      <c r="L825" s="350"/>
      <c r="M825" s="351"/>
      <c r="N825" s="267">
        <f t="shared" si="138"/>
        <v>0</v>
      </c>
      <c r="O825" s="268">
        <f t="shared" si="139"/>
        <v>0</v>
      </c>
      <c r="P825" s="239"/>
      <c r="Q825" s="239"/>
      <c r="R825" s="239"/>
      <c r="S825" s="239"/>
      <c r="T825" s="239"/>
      <c r="U825" s="240"/>
      <c r="V825" s="240"/>
      <c r="W825" s="240"/>
      <c r="X825" s="278"/>
      <c r="Y825" s="237"/>
      <c r="Z825" s="237"/>
      <c r="AA825" s="239"/>
      <c r="AB825" s="238"/>
      <c r="AC825" s="196">
        <f t="shared" si="133"/>
        <v>0</v>
      </c>
      <c r="AD825" s="196">
        <f t="shared" si="134"/>
        <v>0</v>
      </c>
      <c r="AE825" s="196">
        <f t="shared" si="135"/>
        <v>0</v>
      </c>
      <c r="AF825" s="2">
        <f t="shared" si="136"/>
        <v>0</v>
      </c>
      <c r="AG825" s="2">
        <f t="shared" si="137"/>
        <v>0</v>
      </c>
    </row>
    <row r="826" spans="1:33">
      <c r="A826" s="20" t="s">
        <v>1538</v>
      </c>
      <c r="B826" s="150"/>
      <c r="C826" s="21" t="s">
        <v>162</v>
      </c>
      <c r="D826" s="109" t="s">
        <v>13207</v>
      </c>
      <c r="E826" s="109"/>
      <c r="F826" s="391" t="s">
        <v>14173</v>
      </c>
      <c r="G826" s="23" t="s">
        <v>14175</v>
      </c>
      <c r="H826" s="23" t="s">
        <v>13231</v>
      </c>
      <c r="I826" s="23" t="s">
        <v>13531</v>
      </c>
      <c r="J826" s="23" t="s">
        <v>13531</v>
      </c>
      <c r="K826" s="23" t="s">
        <v>13301</v>
      </c>
      <c r="L826" s="375" t="s">
        <v>7787</v>
      </c>
      <c r="M826" s="351" t="s">
        <v>7787</v>
      </c>
      <c r="N826" s="267">
        <f t="shared" si="138"/>
        <v>0</v>
      </c>
      <c r="O826" s="268">
        <f t="shared" si="139"/>
        <v>0</v>
      </c>
      <c r="P826" s="239"/>
      <c r="Q826" s="239"/>
      <c r="R826" s="239"/>
      <c r="S826" s="239"/>
      <c r="T826" s="239"/>
      <c r="U826" s="239"/>
      <c r="V826" s="240"/>
      <c r="W826" s="240"/>
      <c r="X826" s="278"/>
      <c r="Y826" s="237"/>
      <c r="Z826" s="237"/>
      <c r="AA826" s="285"/>
      <c r="AB826" s="238"/>
      <c r="AC826" s="196">
        <f t="shared" si="133"/>
        <v>0</v>
      </c>
      <c r="AD826" s="196">
        <f t="shared" si="134"/>
        <v>0</v>
      </c>
      <c r="AE826" s="196">
        <f t="shared" si="135"/>
        <v>0</v>
      </c>
      <c r="AF826" s="2">
        <f t="shared" si="136"/>
        <v>0</v>
      </c>
      <c r="AG826" s="2">
        <f t="shared" si="137"/>
        <v>0</v>
      </c>
    </row>
    <row r="827" spans="1:33">
      <c r="A827" s="20" t="s">
        <v>23472</v>
      </c>
      <c r="B827" s="150"/>
      <c r="C827" s="21" t="s">
        <v>23515</v>
      </c>
      <c r="D827" s="109" t="s">
        <v>3096</v>
      </c>
      <c r="E827" s="109" t="s">
        <v>23516</v>
      </c>
      <c r="F827" s="391" t="s">
        <v>4402</v>
      </c>
      <c r="G827" s="23" t="s">
        <v>15155</v>
      </c>
      <c r="H827" s="23"/>
      <c r="I827" s="23"/>
      <c r="J827" s="23"/>
      <c r="K827" s="23"/>
      <c r="L827" s="375" t="s">
        <v>27685</v>
      </c>
      <c r="M827" s="351"/>
      <c r="N827" s="267">
        <f t="shared" si="138"/>
        <v>0</v>
      </c>
      <c r="O827" s="268">
        <f t="shared" si="139"/>
        <v>3850</v>
      </c>
      <c r="P827" s="239"/>
      <c r="Q827" s="239"/>
      <c r="R827" s="239"/>
      <c r="S827" s="239"/>
      <c r="T827" s="239"/>
      <c r="U827" s="239">
        <f>1700+3300+2000-4150+1000</f>
        <v>3850</v>
      </c>
      <c r="V827" s="240"/>
      <c r="W827" s="240"/>
      <c r="X827" s="278"/>
      <c r="Y827" s="243"/>
      <c r="Z827" s="237"/>
      <c r="AA827" s="285"/>
      <c r="AB827" s="238" t="s">
        <v>27694</v>
      </c>
      <c r="AC827" s="196">
        <f t="shared" si="133"/>
        <v>3850</v>
      </c>
      <c r="AD827" s="196">
        <f t="shared" si="134"/>
        <v>3850</v>
      </c>
      <c r="AE827" s="196">
        <f t="shared" si="135"/>
        <v>0</v>
      </c>
      <c r="AF827" s="2">
        <f t="shared" si="136"/>
        <v>3850</v>
      </c>
      <c r="AG827" s="2">
        <f t="shared" si="137"/>
        <v>0</v>
      </c>
    </row>
    <row r="828" spans="1:33">
      <c r="A828" s="20" t="s">
        <v>19882</v>
      </c>
      <c r="B828" s="150"/>
      <c r="C828" s="21" t="s">
        <v>162</v>
      </c>
      <c r="D828" s="109" t="s">
        <v>3137</v>
      </c>
      <c r="E828" s="109" t="s">
        <v>3128</v>
      </c>
      <c r="F828" s="391" t="s">
        <v>4402</v>
      </c>
      <c r="G828" s="23" t="s">
        <v>19544</v>
      </c>
      <c r="H828" s="23" t="s">
        <v>13940</v>
      </c>
      <c r="I828" s="23"/>
      <c r="J828" s="23"/>
      <c r="K828" s="23"/>
      <c r="L828" s="375" t="s">
        <v>7787</v>
      </c>
      <c r="M828" s="351" t="s">
        <v>7787</v>
      </c>
      <c r="N828" s="267">
        <f t="shared" si="138"/>
        <v>0</v>
      </c>
      <c r="O828" s="268">
        <f t="shared" si="139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9"/>
      <c r="Z828" s="237"/>
      <c r="AA828" s="285"/>
      <c r="AB828" s="238"/>
      <c r="AC828" s="196">
        <f t="shared" si="133"/>
        <v>0</v>
      </c>
      <c r="AD828" s="196">
        <f t="shared" si="134"/>
        <v>0</v>
      </c>
      <c r="AE828" s="196">
        <f t="shared" si="135"/>
        <v>0</v>
      </c>
      <c r="AF828" s="2">
        <f t="shared" si="136"/>
        <v>0</v>
      </c>
      <c r="AG828" s="2">
        <f t="shared" si="137"/>
        <v>0</v>
      </c>
    </row>
    <row r="829" spans="1:33">
      <c r="A829" s="20" t="s">
        <v>18518</v>
      </c>
      <c r="B829" s="150"/>
      <c r="C829" s="21" t="s">
        <v>162</v>
      </c>
      <c r="D829" s="109" t="s">
        <v>18379</v>
      </c>
      <c r="E829" s="109"/>
      <c r="F829" s="391" t="s">
        <v>4402</v>
      </c>
      <c r="G829" s="23" t="s">
        <v>18380</v>
      </c>
      <c r="H829" s="23" t="s">
        <v>13912</v>
      </c>
      <c r="I829" s="23" t="s">
        <v>14175</v>
      </c>
      <c r="J829" s="23" t="s">
        <v>17078</v>
      </c>
      <c r="K829" s="23"/>
      <c r="L829" s="375"/>
      <c r="M829" s="351" t="s">
        <v>7787</v>
      </c>
      <c r="N829" s="267">
        <f t="shared" si="138"/>
        <v>0</v>
      </c>
      <c r="O829" s="268">
        <f t="shared" si="139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85"/>
      <c r="AB829" s="238"/>
      <c r="AC829" s="196">
        <f t="shared" si="133"/>
        <v>0</v>
      </c>
      <c r="AD829" s="196">
        <f t="shared" si="134"/>
        <v>0</v>
      </c>
      <c r="AE829" s="196">
        <f t="shared" si="135"/>
        <v>0</v>
      </c>
      <c r="AF829" s="2">
        <f t="shared" si="136"/>
        <v>0</v>
      </c>
      <c r="AG829" s="2">
        <f t="shared" si="137"/>
        <v>0</v>
      </c>
    </row>
    <row r="830" spans="1:33">
      <c r="A830" s="20" t="s">
        <v>1536</v>
      </c>
      <c r="B830" s="150"/>
      <c r="C830" s="21" t="s">
        <v>162</v>
      </c>
      <c r="D830" s="109" t="s">
        <v>14061</v>
      </c>
      <c r="E830" s="109" t="s">
        <v>13210</v>
      </c>
      <c r="F830" s="391" t="s">
        <v>14176</v>
      </c>
      <c r="G830" s="23" t="s">
        <v>14063</v>
      </c>
      <c r="H830" s="23"/>
      <c r="I830" s="23"/>
      <c r="J830" s="23"/>
      <c r="K830" s="23"/>
      <c r="L830" s="350"/>
      <c r="M830" s="351"/>
      <c r="N830" s="267">
        <f t="shared" si="138"/>
        <v>0</v>
      </c>
      <c r="O830" s="268">
        <f t="shared" si="139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79"/>
      <c r="AB830" s="238"/>
      <c r="AC830" s="196">
        <f t="shared" si="133"/>
        <v>0</v>
      </c>
      <c r="AD830" s="196">
        <f t="shared" si="134"/>
        <v>0</v>
      </c>
      <c r="AE830" s="196">
        <f t="shared" si="135"/>
        <v>0</v>
      </c>
      <c r="AF830" s="2">
        <f t="shared" si="136"/>
        <v>0</v>
      </c>
      <c r="AG830" s="2">
        <f t="shared" si="137"/>
        <v>0</v>
      </c>
    </row>
    <row r="831" spans="1:33">
      <c r="A831" s="20" t="s">
        <v>1539</v>
      </c>
      <c r="B831" s="156"/>
      <c r="C831" s="21" t="s">
        <v>162</v>
      </c>
      <c r="D831" s="109" t="s">
        <v>14177</v>
      </c>
      <c r="E831" s="109"/>
      <c r="F831" s="391" t="s">
        <v>14173</v>
      </c>
      <c r="G831" s="23" t="s">
        <v>14090</v>
      </c>
      <c r="H831" s="23"/>
      <c r="I831" s="23"/>
      <c r="J831" s="23"/>
      <c r="K831" s="23"/>
      <c r="L831" s="375" t="s">
        <v>7787</v>
      </c>
      <c r="M831" s="351" t="s">
        <v>7787</v>
      </c>
      <c r="N831" s="267">
        <f t="shared" si="138"/>
        <v>0</v>
      </c>
      <c r="O831" s="268">
        <f t="shared" si="139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3"/>
        <v>0</v>
      </c>
      <c r="AD831" s="196">
        <f t="shared" si="134"/>
        <v>0</v>
      </c>
      <c r="AE831" s="196">
        <f t="shared" si="135"/>
        <v>0</v>
      </c>
      <c r="AF831" s="2">
        <f t="shared" si="136"/>
        <v>0</v>
      </c>
      <c r="AG831" s="2">
        <f t="shared" si="137"/>
        <v>0</v>
      </c>
    </row>
    <row r="832" spans="1:33">
      <c r="A832" s="20" t="s">
        <v>1540</v>
      </c>
      <c r="B832" s="156" t="s">
        <v>14178</v>
      </c>
      <c r="C832" s="21" t="s">
        <v>162</v>
      </c>
      <c r="D832" s="109" t="s">
        <v>14179</v>
      </c>
      <c r="E832" s="109"/>
      <c r="F832" s="391" t="s">
        <v>14173</v>
      </c>
      <c r="G832" s="23" t="s">
        <v>14174</v>
      </c>
      <c r="H832" s="23"/>
      <c r="I832" s="23"/>
      <c r="J832" s="23"/>
      <c r="K832" s="23"/>
      <c r="L832" s="350"/>
      <c r="M832" s="351"/>
      <c r="N832" s="267">
        <f t="shared" si="138"/>
        <v>0</v>
      </c>
      <c r="O832" s="268">
        <f t="shared" si="139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3"/>
        <v>0</v>
      </c>
      <c r="AD832" s="196">
        <f t="shared" si="134"/>
        <v>0</v>
      </c>
      <c r="AE832" s="196">
        <f t="shared" si="135"/>
        <v>0</v>
      </c>
      <c r="AF832" s="2">
        <f t="shared" si="136"/>
        <v>0</v>
      </c>
      <c r="AG832" s="2">
        <f t="shared" si="137"/>
        <v>0</v>
      </c>
    </row>
    <row r="833" spans="1:33">
      <c r="A833" s="20" t="s">
        <v>6789</v>
      </c>
      <c r="B833" s="156" t="s">
        <v>6519</v>
      </c>
      <c r="C833" s="21" t="s">
        <v>162</v>
      </c>
      <c r="D833" s="109" t="s">
        <v>14179</v>
      </c>
      <c r="E833" s="109" t="s">
        <v>14043</v>
      </c>
      <c r="F833" s="391" t="s">
        <v>14173</v>
      </c>
      <c r="G833" s="23" t="s">
        <v>14180</v>
      </c>
      <c r="H833" s="23"/>
      <c r="I833" s="23"/>
      <c r="J833" s="23"/>
      <c r="K833" s="23"/>
      <c r="L833" s="350"/>
      <c r="M833" s="357" t="s">
        <v>7787</v>
      </c>
      <c r="N833" s="267">
        <f t="shared" si="138"/>
        <v>0</v>
      </c>
      <c r="O833" s="268">
        <f t="shared" si="139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85"/>
      <c r="AB833" s="238"/>
      <c r="AC833" s="196">
        <f t="shared" si="133"/>
        <v>0</v>
      </c>
      <c r="AD833" s="196">
        <f t="shared" si="134"/>
        <v>0</v>
      </c>
      <c r="AE833" s="196">
        <f t="shared" si="135"/>
        <v>0</v>
      </c>
      <c r="AF833" s="2">
        <f t="shared" si="136"/>
        <v>0</v>
      </c>
      <c r="AG833" s="2">
        <f t="shared" si="137"/>
        <v>0</v>
      </c>
    </row>
    <row r="834" spans="1:33">
      <c r="A834" s="20" t="s">
        <v>1542</v>
      </c>
      <c r="B834" s="152" t="s">
        <v>14181</v>
      </c>
      <c r="C834" s="21" t="s">
        <v>163</v>
      </c>
      <c r="D834" s="109" t="s">
        <v>13228</v>
      </c>
      <c r="E834" s="109"/>
      <c r="F834" s="391" t="s">
        <v>14182</v>
      </c>
      <c r="G834" s="23" t="s">
        <v>14006</v>
      </c>
      <c r="H834" s="23" t="s">
        <v>14013</v>
      </c>
      <c r="I834" s="23" t="s">
        <v>13989</v>
      </c>
      <c r="J834" s="23"/>
      <c r="K834" s="23"/>
      <c r="L834" s="375" t="s">
        <v>45</v>
      </c>
      <c r="M834" s="351" t="s">
        <v>45</v>
      </c>
      <c r="N834" s="267">
        <f t="shared" si="138"/>
        <v>0</v>
      </c>
      <c r="O834" s="268">
        <f t="shared" si="139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3"/>
        <v>0</v>
      </c>
      <c r="AD834" s="196">
        <f t="shared" si="134"/>
        <v>0</v>
      </c>
      <c r="AE834" s="196">
        <f t="shared" si="135"/>
        <v>0</v>
      </c>
      <c r="AF834" s="2">
        <f t="shared" si="136"/>
        <v>0</v>
      </c>
      <c r="AG834" s="2">
        <f t="shared" si="137"/>
        <v>0</v>
      </c>
    </row>
    <row r="835" spans="1:33">
      <c r="A835" s="20" t="s">
        <v>1543</v>
      </c>
      <c r="B835" s="150"/>
      <c r="C835" s="21" t="s">
        <v>164</v>
      </c>
      <c r="D835" s="109" t="s">
        <v>13207</v>
      </c>
      <c r="E835" s="109"/>
      <c r="F835" s="391" t="s">
        <v>14183</v>
      </c>
      <c r="G835" s="23" t="s">
        <v>14078</v>
      </c>
      <c r="H835" s="23"/>
      <c r="I835" s="23"/>
      <c r="J835" s="23"/>
      <c r="K835" s="23"/>
      <c r="L835" s="375" t="s">
        <v>7787</v>
      </c>
      <c r="M835" s="351" t="s">
        <v>7787</v>
      </c>
      <c r="N835" s="267">
        <f t="shared" si="138"/>
        <v>0</v>
      </c>
      <c r="O835" s="268">
        <f t="shared" si="139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3"/>
        <v>0</v>
      </c>
      <c r="AD835" s="196">
        <f t="shared" si="134"/>
        <v>0</v>
      </c>
      <c r="AE835" s="196">
        <f t="shared" si="135"/>
        <v>0</v>
      </c>
      <c r="AF835" s="2">
        <f t="shared" si="136"/>
        <v>0</v>
      </c>
      <c r="AG835" s="2">
        <f t="shared" si="137"/>
        <v>0</v>
      </c>
    </row>
    <row r="836" spans="1:33">
      <c r="A836" s="20" t="s">
        <v>1544</v>
      </c>
      <c r="B836" s="150"/>
      <c r="C836" s="21" t="s">
        <v>164</v>
      </c>
      <c r="D836" s="109" t="s">
        <v>13232</v>
      </c>
      <c r="E836" s="109"/>
      <c r="F836" s="391" t="s">
        <v>14183</v>
      </c>
      <c r="G836" s="23"/>
      <c r="H836" s="23"/>
      <c r="I836" s="23"/>
      <c r="J836" s="23"/>
      <c r="K836" s="23"/>
      <c r="L836" s="350"/>
      <c r="M836" s="351"/>
      <c r="N836" s="267">
        <f t="shared" si="138"/>
        <v>0</v>
      </c>
      <c r="O836" s="268">
        <f t="shared" si="139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3"/>
        <v>0</v>
      </c>
      <c r="AD836" s="196">
        <f t="shared" si="134"/>
        <v>0</v>
      </c>
      <c r="AE836" s="196">
        <f t="shared" si="135"/>
        <v>0</v>
      </c>
      <c r="AF836" s="2">
        <f t="shared" si="136"/>
        <v>0</v>
      </c>
      <c r="AG836" s="2">
        <f t="shared" si="137"/>
        <v>0</v>
      </c>
    </row>
    <row r="837" spans="1:33">
      <c r="A837" s="20" t="s">
        <v>1771</v>
      </c>
      <c r="B837" s="150"/>
      <c r="C837" s="21" t="s">
        <v>683</v>
      </c>
      <c r="D837" s="109" t="s">
        <v>14004</v>
      </c>
      <c r="E837" s="109" t="s">
        <v>13203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8"/>
        <v>0</v>
      </c>
      <c r="O837" s="268">
        <f t="shared" si="139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3"/>
        <v>0</v>
      </c>
      <c r="AD837" s="196">
        <f t="shared" si="134"/>
        <v>0</v>
      </c>
      <c r="AE837" s="196">
        <f t="shared" si="135"/>
        <v>0</v>
      </c>
      <c r="AF837" s="2">
        <f t="shared" si="136"/>
        <v>0</v>
      </c>
      <c r="AG837" s="2">
        <f t="shared" si="137"/>
        <v>0</v>
      </c>
    </row>
    <row r="838" spans="1:33">
      <c r="A838" s="20" t="s">
        <v>1770</v>
      </c>
      <c r="B838" s="150"/>
      <c r="C838" s="21" t="s">
        <v>683</v>
      </c>
      <c r="D838" s="109" t="s">
        <v>14004</v>
      </c>
      <c r="E838" s="109" t="s">
        <v>13210</v>
      </c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8"/>
        <v>0</v>
      </c>
      <c r="O838" s="268">
        <f t="shared" si="139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3"/>
        <v>0</v>
      </c>
      <c r="AD838" s="196">
        <f t="shared" si="134"/>
        <v>0</v>
      </c>
      <c r="AE838" s="196">
        <f t="shared" si="135"/>
        <v>0</v>
      </c>
      <c r="AF838" s="2">
        <f t="shared" si="136"/>
        <v>0</v>
      </c>
      <c r="AG838" s="2">
        <f t="shared" si="137"/>
        <v>0</v>
      </c>
    </row>
    <row r="839" spans="1:33">
      <c r="A839" s="20" t="s">
        <v>1769</v>
      </c>
      <c r="B839" s="161"/>
      <c r="C839" s="21" t="s">
        <v>683</v>
      </c>
      <c r="D839" s="109" t="s">
        <v>14185</v>
      </c>
      <c r="E839" s="109"/>
      <c r="F839" s="391" t="s">
        <v>14184</v>
      </c>
      <c r="G839" s="23"/>
      <c r="H839" s="23"/>
      <c r="I839" s="23"/>
      <c r="J839" s="23"/>
      <c r="K839" s="23"/>
      <c r="L839" s="350"/>
      <c r="M839" s="351"/>
      <c r="N839" s="267">
        <f t="shared" si="138"/>
        <v>0</v>
      </c>
      <c r="O839" s="268">
        <f t="shared" si="139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3"/>
        <v>0</v>
      </c>
      <c r="AD839" s="196">
        <f t="shared" si="134"/>
        <v>0</v>
      </c>
      <c r="AE839" s="196">
        <f t="shared" si="135"/>
        <v>0</v>
      </c>
      <c r="AF839" s="2">
        <f t="shared" si="136"/>
        <v>0</v>
      </c>
      <c r="AG839" s="2">
        <f t="shared" si="137"/>
        <v>0</v>
      </c>
    </row>
    <row r="840" spans="1:33">
      <c r="A840" s="20" t="s">
        <v>1772</v>
      </c>
      <c r="B840" s="156" t="s">
        <v>14186</v>
      </c>
      <c r="C840" s="21" t="s">
        <v>743</v>
      </c>
      <c r="D840" s="109" t="s">
        <v>13228</v>
      </c>
      <c r="E840" s="109"/>
      <c r="F840" s="391" t="s">
        <v>14187</v>
      </c>
      <c r="G840" s="23" t="s">
        <v>14019</v>
      </c>
      <c r="H840" s="23" t="s">
        <v>23329</v>
      </c>
      <c r="I840" s="23"/>
      <c r="J840" s="23"/>
      <c r="K840" s="23"/>
      <c r="L840" s="375" t="s">
        <v>7787</v>
      </c>
      <c r="M840" s="351"/>
      <c r="N840" s="267">
        <f t="shared" si="138"/>
        <v>0</v>
      </c>
      <c r="O840" s="268">
        <f t="shared" si="139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3"/>
        <v>0</v>
      </c>
      <c r="AD840" s="196">
        <f t="shared" si="134"/>
        <v>0</v>
      </c>
      <c r="AE840" s="196">
        <f t="shared" si="135"/>
        <v>0</v>
      </c>
      <c r="AF840" s="2">
        <f t="shared" si="136"/>
        <v>0</v>
      </c>
      <c r="AG840" s="2">
        <f t="shared" si="137"/>
        <v>0</v>
      </c>
    </row>
    <row r="841" spans="1:33">
      <c r="A841" s="20" t="s">
        <v>1773</v>
      </c>
      <c r="B841" s="150"/>
      <c r="C841" s="21" t="s">
        <v>743</v>
      </c>
      <c r="D841" s="109" t="s">
        <v>13207</v>
      </c>
      <c r="E841" s="109"/>
      <c r="F841" s="391" t="s">
        <v>14187</v>
      </c>
      <c r="G841" s="23" t="s">
        <v>14019</v>
      </c>
      <c r="H841" s="23"/>
      <c r="I841" s="23"/>
      <c r="J841" s="23"/>
      <c r="K841" s="23"/>
      <c r="L841" s="350"/>
      <c r="M841" s="351"/>
      <c r="N841" s="267">
        <f t="shared" si="138"/>
        <v>0</v>
      </c>
      <c r="O841" s="268">
        <f t="shared" si="139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si="133"/>
        <v>0</v>
      </c>
      <c r="AD841" s="196">
        <f t="shared" si="134"/>
        <v>0</v>
      </c>
      <c r="AE841" s="196">
        <f t="shared" si="135"/>
        <v>0</v>
      </c>
      <c r="AF841" s="2">
        <f t="shared" si="136"/>
        <v>0</v>
      </c>
      <c r="AG841" s="2">
        <f t="shared" si="137"/>
        <v>0</v>
      </c>
    </row>
    <row r="842" spans="1:33">
      <c r="A842" s="20" t="s">
        <v>9738</v>
      </c>
      <c r="B842" s="150"/>
      <c r="C842" s="21" t="s">
        <v>743</v>
      </c>
      <c r="D842" s="109" t="s">
        <v>13232</v>
      </c>
      <c r="E842" s="109" t="s">
        <v>13210</v>
      </c>
      <c r="F842" s="391" t="s">
        <v>14187</v>
      </c>
      <c r="G842" s="23"/>
      <c r="H842" s="23"/>
      <c r="I842" s="23"/>
      <c r="J842" s="23"/>
      <c r="K842" s="23"/>
      <c r="L842" s="375" t="s">
        <v>7787</v>
      </c>
      <c r="M842" s="351"/>
      <c r="N842" s="267">
        <f t="shared" si="138"/>
        <v>0</v>
      </c>
      <c r="O842" s="268">
        <f t="shared" si="139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ref="AC842:AC905" si="142">SUM(P842:AA842)</f>
        <v>0</v>
      </c>
      <c r="AD842" s="196">
        <f t="shared" ref="AD842:AD905" si="143">SUM(P842:AB842)</f>
        <v>0</v>
      </c>
      <c r="AE842" s="196">
        <f t="shared" ref="AE842:AE905" si="144">SUM(AC842-AD842)</f>
        <v>0</v>
      </c>
      <c r="AF842" s="2">
        <f t="shared" ref="AF842:AF905" si="145">+AC842</f>
        <v>0</v>
      </c>
      <c r="AG842" s="2">
        <f t="shared" ref="AG842:AG905" si="146">+AC842-AF842</f>
        <v>0</v>
      </c>
    </row>
    <row r="843" spans="1:33">
      <c r="A843" s="20" t="s">
        <v>1545</v>
      </c>
      <c r="B843" s="150"/>
      <c r="C843" s="21" t="s">
        <v>165</v>
      </c>
      <c r="D843" s="109" t="s">
        <v>13228</v>
      </c>
      <c r="E843" s="109"/>
      <c r="F843" s="391" t="s">
        <v>14188</v>
      </c>
      <c r="G843" s="23" t="s">
        <v>14189</v>
      </c>
      <c r="H843" s="23" t="s">
        <v>13999</v>
      </c>
      <c r="I843" s="23" t="s">
        <v>14190</v>
      </c>
      <c r="J843" s="23" t="s">
        <v>25187</v>
      </c>
      <c r="K843" s="23"/>
      <c r="L843" s="375"/>
      <c r="M843" s="351"/>
      <c r="N843" s="267">
        <f t="shared" si="138"/>
        <v>0</v>
      </c>
      <c r="O843" s="268">
        <f t="shared" si="139"/>
        <v>0</v>
      </c>
      <c r="P843" s="239"/>
      <c r="Q843" s="239"/>
      <c r="R843" s="239"/>
      <c r="S843" s="239"/>
      <c r="T843" s="239"/>
      <c r="U843" s="240"/>
      <c r="V843" s="240"/>
      <c r="W843" s="240"/>
      <c r="X843" s="278"/>
      <c r="Y843" s="237"/>
      <c r="Z843" s="237"/>
      <c r="AA843" s="279"/>
      <c r="AB843" s="238"/>
      <c r="AC843" s="196">
        <f t="shared" si="142"/>
        <v>0</v>
      </c>
      <c r="AD843" s="196">
        <f t="shared" si="143"/>
        <v>0</v>
      </c>
      <c r="AE843" s="196">
        <f t="shared" si="144"/>
        <v>0</v>
      </c>
      <c r="AF843" s="2">
        <f t="shared" si="145"/>
        <v>0</v>
      </c>
      <c r="AG843" s="2">
        <f t="shared" si="146"/>
        <v>0</v>
      </c>
    </row>
    <row r="844" spans="1:33">
      <c r="A844" s="20" t="s">
        <v>1546</v>
      </c>
      <c r="B844" s="150"/>
      <c r="C844" s="21" t="s">
        <v>165</v>
      </c>
      <c r="D844" s="109" t="s">
        <v>13207</v>
      </c>
      <c r="E844" s="109" t="s">
        <v>26843</v>
      </c>
      <c r="F844" s="391" t="s">
        <v>14188</v>
      </c>
      <c r="G844" s="23" t="s">
        <v>14059</v>
      </c>
      <c r="H844" s="23"/>
      <c r="I844" s="23"/>
      <c r="J844" s="23"/>
      <c r="K844" s="23"/>
      <c r="L844" s="375" t="s">
        <v>45</v>
      </c>
      <c r="M844" s="351" t="s">
        <v>7787</v>
      </c>
      <c r="N844" s="267">
        <f t="shared" si="138"/>
        <v>0</v>
      </c>
      <c r="O844" s="268">
        <f t="shared" si="139"/>
        <v>200</v>
      </c>
      <c r="P844" s="239">
        <f>500-300</f>
        <v>200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39"/>
      <c r="AB844" s="238" t="s">
        <v>26845</v>
      </c>
      <c r="AC844" s="196">
        <f t="shared" si="142"/>
        <v>200</v>
      </c>
      <c r="AD844" s="196">
        <f t="shared" si="143"/>
        <v>200</v>
      </c>
      <c r="AE844" s="196">
        <f t="shared" si="144"/>
        <v>0</v>
      </c>
      <c r="AF844" s="2">
        <f t="shared" si="145"/>
        <v>200</v>
      </c>
      <c r="AG844" s="2">
        <f t="shared" si="146"/>
        <v>0</v>
      </c>
    </row>
    <row r="845" spans="1:33">
      <c r="A845" s="20" t="s">
        <v>26886</v>
      </c>
      <c r="B845" s="150"/>
      <c r="C845" s="21" t="s">
        <v>165</v>
      </c>
      <c r="D845" s="109" t="s">
        <v>4059</v>
      </c>
      <c r="E845" s="109" t="s">
        <v>26844</v>
      </c>
      <c r="F845" s="391" t="s">
        <v>26842</v>
      </c>
      <c r="G845" s="23" t="s">
        <v>11432</v>
      </c>
      <c r="H845" s="23" t="s">
        <v>26967</v>
      </c>
      <c r="I845" s="23"/>
      <c r="J845" s="23"/>
      <c r="K845" s="23"/>
      <c r="L845" s="375" t="s">
        <v>27591</v>
      </c>
      <c r="M845" s="351" t="s">
        <v>7787</v>
      </c>
      <c r="N845" s="267">
        <f t="shared" ref="N845" si="147">SUM(L845:M845)</f>
        <v>0</v>
      </c>
      <c r="O845" s="268">
        <f t="shared" ref="O845" si="148">SUM(P845:Z845)</f>
        <v>750</v>
      </c>
      <c r="P845" s="239">
        <f>2000-600-600-50</f>
        <v>750</v>
      </c>
      <c r="Q845" s="239"/>
      <c r="R845" s="239"/>
      <c r="S845" s="239"/>
      <c r="T845" s="239"/>
      <c r="U845" s="240"/>
      <c r="V845" s="240"/>
      <c r="W845" s="240"/>
      <c r="X845" s="278"/>
      <c r="Y845" s="239"/>
      <c r="Z845" s="237"/>
      <c r="AA845" s="247"/>
      <c r="AB845" s="238" t="s">
        <v>27590</v>
      </c>
      <c r="AC845" s="196">
        <f t="shared" si="142"/>
        <v>750</v>
      </c>
      <c r="AD845" s="196">
        <f t="shared" si="143"/>
        <v>750</v>
      </c>
      <c r="AE845" s="196">
        <f t="shared" si="144"/>
        <v>0</v>
      </c>
      <c r="AF845" s="2">
        <f t="shared" si="145"/>
        <v>750</v>
      </c>
      <c r="AG845" s="2">
        <f t="shared" si="146"/>
        <v>0</v>
      </c>
    </row>
    <row r="846" spans="1:33">
      <c r="A846" s="20" t="s">
        <v>1547</v>
      </c>
      <c r="B846" s="150"/>
      <c r="C846" s="21" t="s">
        <v>166</v>
      </c>
      <c r="D846" s="109" t="s">
        <v>14004</v>
      </c>
      <c r="E846" s="109" t="s">
        <v>13210</v>
      </c>
      <c r="F846" s="391" t="s">
        <v>14192</v>
      </c>
      <c r="G846" s="23"/>
      <c r="H846" s="23"/>
      <c r="I846" s="23"/>
      <c r="J846" s="23"/>
      <c r="K846" s="23"/>
      <c r="L846" s="350"/>
      <c r="M846" s="351"/>
      <c r="N846" s="267">
        <f t="shared" si="138"/>
        <v>0</v>
      </c>
      <c r="O846" s="268">
        <f t="shared" si="139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79"/>
      <c r="AB846" s="238"/>
      <c r="AC846" s="196">
        <f t="shared" si="142"/>
        <v>0</v>
      </c>
      <c r="AD846" s="196">
        <f t="shared" si="143"/>
        <v>0</v>
      </c>
      <c r="AE846" s="196">
        <f t="shared" si="144"/>
        <v>0</v>
      </c>
      <c r="AF846" s="2">
        <f t="shared" si="145"/>
        <v>0</v>
      </c>
      <c r="AG846" s="2">
        <f t="shared" si="146"/>
        <v>0</v>
      </c>
    </row>
    <row r="847" spans="1:33">
      <c r="A847" s="20" t="s">
        <v>1548</v>
      </c>
      <c r="B847" s="151" t="s">
        <v>14193</v>
      </c>
      <c r="C847" s="21" t="s">
        <v>166</v>
      </c>
      <c r="D847" s="109" t="s">
        <v>14004</v>
      </c>
      <c r="E847" s="109" t="s">
        <v>13210</v>
      </c>
      <c r="F847" s="391" t="s">
        <v>14194</v>
      </c>
      <c r="G847" s="23" t="s">
        <v>14195</v>
      </c>
      <c r="H847" s="23"/>
      <c r="I847" s="23"/>
      <c r="J847" s="23"/>
      <c r="K847" s="23"/>
      <c r="L847" s="375" t="s">
        <v>7787</v>
      </c>
      <c r="M847" s="357"/>
      <c r="N847" s="267">
        <f t="shared" si="138"/>
        <v>0</v>
      </c>
      <c r="O847" s="268">
        <f t="shared" si="139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85"/>
      <c r="AB847" s="238"/>
      <c r="AC847" s="196">
        <f t="shared" si="142"/>
        <v>0</v>
      </c>
      <c r="AD847" s="196">
        <f t="shared" si="143"/>
        <v>0</v>
      </c>
      <c r="AE847" s="196">
        <f t="shared" si="144"/>
        <v>0</v>
      </c>
      <c r="AF847" s="2">
        <f t="shared" si="145"/>
        <v>0</v>
      </c>
      <c r="AG847" s="2">
        <f t="shared" si="146"/>
        <v>0</v>
      </c>
    </row>
    <row r="848" spans="1:33">
      <c r="A848" s="20" t="s">
        <v>1549</v>
      </c>
      <c r="B848" s="150"/>
      <c r="C848" s="21" t="s">
        <v>166</v>
      </c>
      <c r="D848" s="109" t="s">
        <v>13207</v>
      </c>
      <c r="E848" s="109" t="s">
        <v>13969</v>
      </c>
      <c r="F848" s="391" t="s">
        <v>14196</v>
      </c>
      <c r="G848" s="23" t="s">
        <v>13972</v>
      </c>
      <c r="H848" s="23" t="s">
        <v>23015</v>
      </c>
      <c r="I848" s="23" t="s">
        <v>14197</v>
      </c>
      <c r="J848" s="23" t="s">
        <v>14014</v>
      </c>
      <c r="K848" s="23" t="s">
        <v>14198</v>
      </c>
      <c r="L848" s="350"/>
      <c r="M848" s="351"/>
      <c r="N848" s="267">
        <f t="shared" si="138"/>
        <v>0</v>
      </c>
      <c r="O848" s="268">
        <f t="shared" si="139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2"/>
        <v>0</v>
      </c>
      <c r="AD848" s="196">
        <f t="shared" si="143"/>
        <v>0</v>
      </c>
      <c r="AE848" s="196">
        <f t="shared" si="144"/>
        <v>0</v>
      </c>
      <c r="AF848" s="2">
        <f t="shared" si="145"/>
        <v>0</v>
      </c>
      <c r="AG848" s="2">
        <f t="shared" si="146"/>
        <v>0</v>
      </c>
    </row>
    <row r="849" spans="1:33">
      <c r="A849" s="20" t="s">
        <v>1550</v>
      </c>
      <c r="B849" s="156" t="s">
        <v>14199</v>
      </c>
      <c r="C849" s="21" t="s">
        <v>166</v>
      </c>
      <c r="D849" s="109" t="s">
        <v>13207</v>
      </c>
      <c r="E849" s="109" t="s">
        <v>13971</v>
      </c>
      <c r="F849" s="391" t="s">
        <v>14196</v>
      </c>
      <c r="G849" s="23" t="s">
        <v>13972</v>
      </c>
      <c r="H849" s="23" t="s">
        <v>14020</v>
      </c>
      <c r="I849" s="23"/>
      <c r="J849" s="23"/>
      <c r="K849" s="23"/>
      <c r="L849" s="375"/>
      <c r="M849" s="351" t="s">
        <v>7787</v>
      </c>
      <c r="N849" s="267">
        <f t="shared" si="138"/>
        <v>0</v>
      </c>
      <c r="O849" s="268">
        <f t="shared" si="139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2"/>
        <v>0</v>
      </c>
      <c r="AD849" s="196">
        <f t="shared" si="143"/>
        <v>0</v>
      </c>
      <c r="AE849" s="196">
        <f t="shared" si="144"/>
        <v>0</v>
      </c>
      <c r="AF849" s="2">
        <f t="shared" si="145"/>
        <v>0</v>
      </c>
      <c r="AG849" s="2">
        <f t="shared" si="146"/>
        <v>0</v>
      </c>
    </row>
    <row r="850" spans="1:33">
      <c r="A850" s="20" t="s">
        <v>1551</v>
      </c>
      <c r="B850" s="150"/>
      <c r="C850" s="21" t="s">
        <v>167</v>
      </c>
      <c r="D850" s="109" t="s">
        <v>13207</v>
      </c>
      <c r="E850" s="109"/>
      <c r="F850" s="391" t="s">
        <v>14200</v>
      </c>
      <c r="G850" s="23"/>
      <c r="H850" s="23"/>
      <c r="I850" s="23"/>
      <c r="J850" s="23"/>
      <c r="K850" s="23"/>
      <c r="L850" s="375" t="s">
        <v>7787</v>
      </c>
      <c r="M850" s="351"/>
      <c r="N850" s="267">
        <f t="shared" si="138"/>
        <v>0</v>
      </c>
      <c r="O850" s="268">
        <f t="shared" si="139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2"/>
        <v>0</v>
      </c>
      <c r="AD850" s="196">
        <f t="shared" si="143"/>
        <v>0</v>
      </c>
      <c r="AE850" s="196">
        <f t="shared" si="144"/>
        <v>0</v>
      </c>
      <c r="AF850" s="2">
        <f t="shared" si="145"/>
        <v>0</v>
      </c>
      <c r="AG850" s="2">
        <f t="shared" si="146"/>
        <v>0</v>
      </c>
    </row>
    <row r="851" spans="1:33">
      <c r="A851" s="20" t="s">
        <v>1552</v>
      </c>
      <c r="B851" s="150"/>
      <c r="C851" s="21" t="s">
        <v>168</v>
      </c>
      <c r="D851" s="109" t="s">
        <v>13228</v>
      </c>
      <c r="E851" s="109"/>
      <c r="F851" s="391" t="s">
        <v>14201</v>
      </c>
      <c r="G851" s="23" t="s">
        <v>14202</v>
      </c>
      <c r="H851" s="23" t="s">
        <v>13996</v>
      </c>
      <c r="I851" s="23" t="s">
        <v>13339</v>
      </c>
      <c r="J851" s="23"/>
      <c r="K851" s="23"/>
      <c r="L851" s="375"/>
      <c r="M851" s="351" t="s">
        <v>7787</v>
      </c>
      <c r="N851" s="267">
        <f t="shared" si="138"/>
        <v>0</v>
      </c>
      <c r="O851" s="268">
        <f t="shared" si="139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2"/>
        <v>0</v>
      </c>
      <c r="AD851" s="196">
        <f t="shared" si="143"/>
        <v>0</v>
      </c>
      <c r="AE851" s="196">
        <f t="shared" si="144"/>
        <v>0</v>
      </c>
      <c r="AF851" s="2">
        <f t="shared" si="145"/>
        <v>0</v>
      </c>
      <c r="AG851" s="2">
        <f t="shared" si="146"/>
        <v>0</v>
      </c>
    </row>
    <row r="852" spans="1:33">
      <c r="A852" s="20" t="s">
        <v>1553</v>
      </c>
      <c r="B852" s="150"/>
      <c r="C852" s="21" t="s">
        <v>169</v>
      </c>
      <c r="D852" s="109" t="s">
        <v>14004</v>
      </c>
      <c r="E852" s="109" t="s">
        <v>13210</v>
      </c>
      <c r="F852" s="391" t="s">
        <v>14203</v>
      </c>
      <c r="G852" s="23"/>
      <c r="H852" s="23"/>
      <c r="I852" s="23"/>
      <c r="J852" s="23"/>
      <c r="K852" s="23"/>
      <c r="L852" s="375"/>
      <c r="M852" s="351"/>
      <c r="N852" s="267">
        <f t="shared" si="138"/>
        <v>0</v>
      </c>
      <c r="O852" s="268">
        <f t="shared" si="139"/>
        <v>0</v>
      </c>
      <c r="P852" s="239"/>
      <c r="Q852" s="239"/>
      <c r="R852" s="239"/>
      <c r="S852" s="239"/>
      <c r="T852" s="239"/>
      <c r="U852" s="240"/>
      <c r="V852" s="240"/>
      <c r="W852" s="240"/>
      <c r="X852" s="278"/>
      <c r="Y852" s="237"/>
      <c r="Z852" s="237"/>
      <c r="AA852" s="279"/>
      <c r="AB852" s="238"/>
      <c r="AC852" s="196">
        <f t="shared" si="142"/>
        <v>0</v>
      </c>
      <c r="AD852" s="196">
        <f t="shared" si="143"/>
        <v>0</v>
      </c>
      <c r="AE852" s="196">
        <f t="shared" si="144"/>
        <v>0</v>
      </c>
      <c r="AF852" s="2">
        <f t="shared" si="145"/>
        <v>0</v>
      </c>
      <c r="AG852" s="2">
        <f t="shared" si="146"/>
        <v>0</v>
      </c>
    </row>
    <row r="853" spans="1:33">
      <c r="A853" s="20" t="s">
        <v>1554</v>
      </c>
      <c r="B853" s="150"/>
      <c r="C853" s="21" t="s">
        <v>169</v>
      </c>
      <c r="D853" s="109" t="s">
        <v>13228</v>
      </c>
      <c r="E853" s="109"/>
      <c r="F853" s="391" t="s">
        <v>14203</v>
      </c>
      <c r="G853" s="23" t="s">
        <v>14002</v>
      </c>
      <c r="H853" s="23" t="s">
        <v>18250</v>
      </c>
      <c r="I853" s="23" t="s">
        <v>25970</v>
      </c>
      <c r="J853" s="23"/>
      <c r="K853" s="23"/>
      <c r="L853" s="375" t="s">
        <v>27487</v>
      </c>
      <c r="M853" s="351" t="s">
        <v>45</v>
      </c>
      <c r="N853" s="267">
        <f t="shared" si="138"/>
        <v>0</v>
      </c>
      <c r="O853" s="268">
        <f t="shared" si="139"/>
        <v>450</v>
      </c>
      <c r="P853" s="240"/>
      <c r="Q853" s="239"/>
      <c r="R853" s="239"/>
      <c r="S853" s="239"/>
      <c r="T853" s="239"/>
      <c r="U853" s="240">
        <f>1100-650</f>
        <v>450</v>
      </c>
      <c r="V853" s="240"/>
      <c r="W853" s="240"/>
      <c r="X853" s="278"/>
      <c r="Y853" s="237"/>
      <c r="Z853" s="237"/>
      <c r="AA853" s="279"/>
      <c r="AB853" s="238" t="s">
        <v>27483</v>
      </c>
      <c r="AC853" s="196">
        <f t="shared" si="142"/>
        <v>450</v>
      </c>
      <c r="AD853" s="196">
        <f t="shared" si="143"/>
        <v>450</v>
      </c>
      <c r="AE853" s="196">
        <f t="shared" si="144"/>
        <v>0</v>
      </c>
      <c r="AF853" s="2">
        <f t="shared" si="145"/>
        <v>450</v>
      </c>
      <c r="AG853" s="2">
        <f t="shared" si="146"/>
        <v>0</v>
      </c>
    </row>
    <row r="854" spans="1:33">
      <c r="A854" s="20" t="s">
        <v>22475</v>
      </c>
      <c r="B854" s="150"/>
      <c r="C854" s="21" t="s">
        <v>22526</v>
      </c>
      <c r="D854" s="109" t="s">
        <v>22527</v>
      </c>
      <c r="E854" s="109"/>
      <c r="F854" s="391" t="s">
        <v>4412</v>
      </c>
      <c r="G854" s="23" t="s">
        <v>13495</v>
      </c>
      <c r="H854" s="23"/>
      <c r="I854" s="23"/>
      <c r="J854" s="23"/>
      <c r="K854" s="23"/>
      <c r="L854" s="375" t="s">
        <v>45</v>
      </c>
      <c r="M854" s="351" t="s">
        <v>45</v>
      </c>
      <c r="N854" s="267">
        <f t="shared" si="138"/>
        <v>0</v>
      </c>
      <c r="O854" s="268">
        <f t="shared" si="139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9"/>
      <c r="Z854" s="237"/>
      <c r="AA854" s="279"/>
      <c r="AB854" s="238"/>
      <c r="AC854" s="196">
        <f t="shared" si="142"/>
        <v>0</v>
      </c>
      <c r="AD854" s="196">
        <f t="shared" si="143"/>
        <v>0</v>
      </c>
      <c r="AE854" s="196">
        <f t="shared" si="144"/>
        <v>0</v>
      </c>
      <c r="AF854" s="2">
        <f t="shared" si="145"/>
        <v>0</v>
      </c>
      <c r="AG854" s="2">
        <f t="shared" si="146"/>
        <v>0</v>
      </c>
    </row>
    <row r="855" spans="1:33">
      <c r="A855" s="20" t="s">
        <v>1555</v>
      </c>
      <c r="B855" s="150"/>
      <c r="C855" s="21" t="s">
        <v>170</v>
      </c>
      <c r="D855" s="109" t="s">
        <v>14004</v>
      </c>
      <c r="E855" s="109" t="s">
        <v>13210</v>
      </c>
      <c r="F855" s="391" t="s">
        <v>14204</v>
      </c>
      <c r="G855" s="23"/>
      <c r="H855" s="23"/>
      <c r="I855" s="23"/>
      <c r="J855" s="23"/>
      <c r="K855" s="23"/>
      <c r="L855" s="375" t="s">
        <v>7787</v>
      </c>
      <c r="M855" s="351" t="s">
        <v>7787</v>
      </c>
      <c r="N855" s="267">
        <f t="shared" si="138"/>
        <v>0</v>
      </c>
      <c r="O855" s="268">
        <f t="shared" si="139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2"/>
        <v>0</v>
      </c>
      <c r="AD855" s="196">
        <f t="shared" si="143"/>
        <v>0</v>
      </c>
      <c r="AE855" s="196">
        <f t="shared" si="144"/>
        <v>0</v>
      </c>
      <c r="AF855" s="2">
        <f t="shared" si="145"/>
        <v>0</v>
      </c>
      <c r="AG855" s="2">
        <f t="shared" si="146"/>
        <v>0</v>
      </c>
    </row>
    <row r="856" spans="1:33">
      <c r="A856" s="20" t="s">
        <v>1556</v>
      </c>
      <c r="B856" s="150"/>
      <c r="C856" s="21" t="s">
        <v>170</v>
      </c>
      <c r="D856" s="109" t="s">
        <v>13228</v>
      </c>
      <c r="E856" s="109"/>
      <c r="F856" s="391" t="s">
        <v>14204</v>
      </c>
      <c r="G856" s="23" t="s">
        <v>13226</v>
      </c>
      <c r="H856" s="23" t="s">
        <v>14205</v>
      </c>
      <c r="I856" s="23"/>
      <c r="J856" s="23"/>
      <c r="K856" s="23"/>
      <c r="L856" s="375"/>
      <c r="M856" s="351"/>
      <c r="N856" s="267">
        <f t="shared" si="138"/>
        <v>0</v>
      </c>
      <c r="O856" s="268">
        <f t="shared" si="139"/>
        <v>0</v>
      </c>
      <c r="P856" s="239"/>
      <c r="Q856" s="239"/>
      <c r="R856" s="239"/>
      <c r="S856" s="239"/>
      <c r="T856" s="239"/>
      <c r="U856" s="240"/>
      <c r="V856" s="240"/>
      <c r="W856" s="240"/>
      <c r="X856" s="278"/>
      <c r="Y856" s="237"/>
      <c r="Z856" s="237"/>
      <c r="AA856" s="279"/>
      <c r="AB856" s="238"/>
      <c r="AC856" s="196">
        <f t="shared" si="142"/>
        <v>0</v>
      </c>
      <c r="AD856" s="196">
        <f t="shared" si="143"/>
        <v>0</v>
      </c>
      <c r="AE856" s="196">
        <f t="shared" si="144"/>
        <v>0</v>
      </c>
      <c r="AF856" s="2">
        <f t="shared" si="145"/>
        <v>0</v>
      </c>
      <c r="AG856" s="2">
        <f t="shared" si="146"/>
        <v>0</v>
      </c>
    </row>
    <row r="857" spans="1:33">
      <c r="A857" s="20" t="s">
        <v>1557</v>
      </c>
      <c r="B857" s="161"/>
      <c r="C857" s="21" t="s">
        <v>170</v>
      </c>
      <c r="D857" s="109" t="s">
        <v>13207</v>
      </c>
      <c r="E857" s="109"/>
      <c r="F857" s="391" t="s">
        <v>14204</v>
      </c>
      <c r="G857" s="23" t="s">
        <v>13982</v>
      </c>
      <c r="H857" s="23" t="s">
        <v>14205</v>
      </c>
      <c r="I857" s="23" t="s">
        <v>14206</v>
      </c>
      <c r="J857" s="23" t="s">
        <v>20136</v>
      </c>
      <c r="K857" s="23" t="s">
        <v>14144</v>
      </c>
      <c r="L857" s="375" t="s">
        <v>45</v>
      </c>
      <c r="M857" s="351" t="s">
        <v>45</v>
      </c>
      <c r="N857" s="267">
        <f t="shared" ref="N857:N922" si="149">SUM(L857:M857)</f>
        <v>0</v>
      </c>
      <c r="O857" s="268">
        <f t="shared" ref="O857:O922" si="150">SUM(P857:Z857)</f>
        <v>950</v>
      </c>
      <c r="P857" s="239">
        <f>1200-1000+1000-1000+750+300-1000+150+750-200</f>
        <v>950</v>
      </c>
      <c r="Q857" s="239"/>
      <c r="R857" s="239"/>
      <c r="S857" s="239"/>
      <c r="T857" s="239"/>
      <c r="U857" s="240"/>
      <c r="V857" s="240"/>
      <c r="W857" s="240"/>
      <c r="X857" s="278"/>
      <c r="Y857" s="239"/>
      <c r="Z857" s="237"/>
      <c r="AA857" s="279"/>
      <c r="AB857" s="238" t="s">
        <v>26838</v>
      </c>
      <c r="AC857" s="196">
        <f t="shared" si="142"/>
        <v>950</v>
      </c>
      <c r="AD857" s="196">
        <f t="shared" si="143"/>
        <v>950</v>
      </c>
      <c r="AE857" s="196">
        <f t="shared" si="144"/>
        <v>0</v>
      </c>
      <c r="AF857" s="2">
        <f t="shared" si="145"/>
        <v>950</v>
      </c>
      <c r="AG857" s="2">
        <f t="shared" si="146"/>
        <v>0</v>
      </c>
    </row>
    <row r="858" spans="1:33">
      <c r="A858" s="20" t="s">
        <v>1558</v>
      </c>
      <c r="B858" s="150"/>
      <c r="C858" s="21" t="s">
        <v>170</v>
      </c>
      <c r="D858" s="109" t="s">
        <v>13232</v>
      </c>
      <c r="E858" s="109"/>
      <c r="F858" s="391" t="s">
        <v>14204</v>
      </c>
      <c r="G858" s="23"/>
      <c r="H858" s="23"/>
      <c r="I858" s="23"/>
      <c r="J858" s="23"/>
      <c r="K858" s="23"/>
      <c r="L858" s="350"/>
      <c r="M858" s="351"/>
      <c r="N858" s="267">
        <f t="shared" si="149"/>
        <v>0</v>
      </c>
      <c r="O858" s="268">
        <f t="shared" si="150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2"/>
        <v>0</v>
      </c>
      <c r="AD858" s="196">
        <f t="shared" si="143"/>
        <v>0</v>
      </c>
      <c r="AE858" s="196">
        <f t="shared" si="144"/>
        <v>0</v>
      </c>
      <c r="AF858" s="2">
        <f t="shared" si="145"/>
        <v>0</v>
      </c>
      <c r="AG858" s="2">
        <f t="shared" si="146"/>
        <v>0</v>
      </c>
    </row>
    <row r="859" spans="1:33">
      <c r="A859" s="20" t="s">
        <v>7032</v>
      </c>
      <c r="B859" s="169" t="s">
        <v>7043</v>
      </c>
      <c r="C859" s="21" t="s">
        <v>170</v>
      </c>
      <c r="D859" s="109" t="s">
        <v>14142</v>
      </c>
      <c r="E859" s="109"/>
      <c r="F859" s="391" t="s">
        <v>14204</v>
      </c>
      <c r="G859" s="23" t="s">
        <v>13215</v>
      </c>
      <c r="H859" s="23"/>
      <c r="I859" s="23"/>
      <c r="J859" s="23"/>
      <c r="K859" s="23"/>
      <c r="L859" s="375" t="s">
        <v>7787</v>
      </c>
      <c r="M859" s="351"/>
      <c r="N859" s="267">
        <f t="shared" si="149"/>
        <v>0</v>
      </c>
      <c r="O859" s="268">
        <f t="shared" si="150"/>
        <v>0</v>
      </c>
      <c r="P859" s="239"/>
      <c r="Q859" s="239"/>
      <c r="R859" s="239"/>
      <c r="S859" s="239"/>
      <c r="T859" s="239"/>
      <c r="U859" s="240"/>
      <c r="V859" s="240"/>
      <c r="W859" s="240"/>
      <c r="X859" s="278"/>
      <c r="Y859" s="237"/>
      <c r="Z859" s="237"/>
      <c r="AA859" s="285"/>
      <c r="AB859" s="238"/>
      <c r="AC859" s="196">
        <f t="shared" si="142"/>
        <v>0</v>
      </c>
      <c r="AD859" s="196">
        <f t="shared" si="143"/>
        <v>0</v>
      </c>
      <c r="AE859" s="196">
        <f t="shared" si="144"/>
        <v>0</v>
      </c>
      <c r="AF859" s="2">
        <f t="shared" si="145"/>
        <v>0</v>
      </c>
      <c r="AG859" s="2">
        <f t="shared" si="146"/>
        <v>0</v>
      </c>
    </row>
    <row r="860" spans="1:33">
      <c r="A860" s="20" t="s">
        <v>1559</v>
      </c>
      <c r="B860" s="161"/>
      <c r="C860" s="21" t="s">
        <v>171</v>
      </c>
      <c r="D860" s="109" t="s">
        <v>14207</v>
      </c>
      <c r="E860" s="109" t="s">
        <v>26807</v>
      </c>
      <c r="F860" s="391" t="s">
        <v>14208</v>
      </c>
      <c r="G860" s="23" t="s">
        <v>14151</v>
      </c>
      <c r="H860" s="23" t="s">
        <v>13999</v>
      </c>
      <c r="I860" s="23" t="s">
        <v>23020</v>
      </c>
      <c r="J860" s="23"/>
      <c r="K860" s="23"/>
      <c r="L860" s="375"/>
      <c r="M860" s="351" t="s">
        <v>7787</v>
      </c>
      <c r="N860" s="267">
        <f t="shared" si="149"/>
        <v>0</v>
      </c>
      <c r="O860" s="268">
        <f t="shared" si="150"/>
        <v>800</v>
      </c>
      <c r="P860" s="248"/>
      <c r="Q860" s="239"/>
      <c r="R860" s="239"/>
      <c r="S860" s="239"/>
      <c r="T860" s="239"/>
      <c r="U860" s="240">
        <f>1000-200</f>
        <v>800</v>
      </c>
      <c r="V860" s="240"/>
      <c r="W860" s="240"/>
      <c r="X860" s="278"/>
      <c r="Y860" s="237"/>
      <c r="Z860" s="237"/>
      <c r="AA860" s="285"/>
      <c r="AB860" s="238" t="s">
        <v>27661</v>
      </c>
      <c r="AC860" s="196">
        <f t="shared" si="142"/>
        <v>800</v>
      </c>
      <c r="AD860" s="196">
        <f t="shared" si="143"/>
        <v>800</v>
      </c>
      <c r="AE860" s="196">
        <f t="shared" si="144"/>
        <v>0</v>
      </c>
      <c r="AF860" s="2">
        <f t="shared" si="145"/>
        <v>800</v>
      </c>
      <c r="AG860" s="2">
        <f t="shared" si="146"/>
        <v>0</v>
      </c>
    </row>
    <row r="861" spans="1:33">
      <c r="A861" s="20" t="s">
        <v>1560</v>
      </c>
      <c r="B861" s="161"/>
      <c r="C861" s="21" t="s">
        <v>14209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9"/>
        <v>0</v>
      </c>
      <c r="O861" s="268">
        <f t="shared" si="150"/>
        <v>0</v>
      </c>
      <c r="P861" s="242"/>
      <c r="Q861" s="242"/>
      <c r="R861" s="242"/>
      <c r="S861" s="242"/>
      <c r="T861" s="242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2"/>
        <v>0</v>
      </c>
      <c r="AD861" s="196">
        <f t="shared" si="143"/>
        <v>0</v>
      </c>
      <c r="AE861" s="196">
        <f t="shared" si="144"/>
        <v>0</v>
      </c>
      <c r="AF861" s="2">
        <f t="shared" si="145"/>
        <v>0</v>
      </c>
      <c r="AG861" s="2">
        <f t="shared" si="146"/>
        <v>0</v>
      </c>
    </row>
    <row r="862" spans="1:33">
      <c r="A862" s="20" t="s">
        <v>1561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9"/>
        <v>0</v>
      </c>
      <c r="O862" s="268">
        <f t="shared" si="150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85"/>
      <c r="AB862" s="238"/>
      <c r="AC862" s="196">
        <f t="shared" si="142"/>
        <v>0</v>
      </c>
      <c r="AD862" s="196">
        <f t="shared" si="143"/>
        <v>0</v>
      </c>
      <c r="AE862" s="196">
        <f t="shared" si="144"/>
        <v>0</v>
      </c>
      <c r="AF862" s="2">
        <f t="shared" si="145"/>
        <v>0</v>
      </c>
      <c r="AG862" s="2">
        <f t="shared" si="146"/>
        <v>0</v>
      </c>
    </row>
    <row r="863" spans="1:33">
      <c r="A863" s="20" t="s">
        <v>1562</v>
      </c>
      <c r="B863" s="150"/>
      <c r="C863" s="21" t="s">
        <v>14211</v>
      </c>
      <c r="D863" s="109" t="s">
        <v>13239</v>
      </c>
      <c r="E863" s="109"/>
      <c r="F863" s="391" t="s">
        <v>14210</v>
      </c>
      <c r="G863" s="23"/>
      <c r="H863" s="23"/>
      <c r="I863" s="23"/>
      <c r="J863" s="23"/>
      <c r="K863" s="23"/>
      <c r="L863" s="350"/>
      <c r="M863" s="351"/>
      <c r="N863" s="267">
        <f t="shared" si="149"/>
        <v>0</v>
      </c>
      <c r="O863" s="268">
        <f t="shared" si="150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2"/>
        <v>0</v>
      </c>
      <c r="AD863" s="196">
        <f t="shared" si="143"/>
        <v>0</v>
      </c>
      <c r="AE863" s="196">
        <f t="shared" si="144"/>
        <v>0</v>
      </c>
      <c r="AF863" s="2">
        <f t="shared" si="145"/>
        <v>0</v>
      </c>
      <c r="AG863" s="2">
        <f t="shared" si="146"/>
        <v>0</v>
      </c>
    </row>
    <row r="864" spans="1:33">
      <c r="A864" s="20" t="s">
        <v>1774</v>
      </c>
      <c r="B864" s="156" t="s">
        <v>14212</v>
      </c>
      <c r="C864" s="21" t="s">
        <v>744</v>
      </c>
      <c r="D864" s="109" t="s">
        <v>13228</v>
      </c>
      <c r="E864" s="109"/>
      <c r="F864" s="391" t="s">
        <v>14213</v>
      </c>
      <c r="G864" s="23" t="s">
        <v>14019</v>
      </c>
      <c r="H864" s="23" t="s">
        <v>14113</v>
      </c>
      <c r="I864" s="23" t="s">
        <v>14002</v>
      </c>
      <c r="J864" s="23"/>
      <c r="K864" s="23"/>
      <c r="L864" s="350"/>
      <c r="M864" s="351"/>
      <c r="N864" s="267">
        <f t="shared" si="149"/>
        <v>0</v>
      </c>
      <c r="O864" s="268">
        <f t="shared" si="150"/>
        <v>0</v>
      </c>
      <c r="P864" s="239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79"/>
      <c r="AB864" s="238"/>
      <c r="AC864" s="196">
        <f t="shared" si="142"/>
        <v>0</v>
      </c>
      <c r="AD864" s="196">
        <f t="shared" si="143"/>
        <v>0</v>
      </c>
      <c r="AE864" s="196">
        <f t="shared" si="144"/>
        <v>0</v>
      </c>
      <c r="AF864" s="2">
        <f t="shared" si="145"/>
        <v>0</v>
      </c>
      <c r="AG864" s="2">
        <f t="shared" si="146"/>
        <v>0</v>
      </c>
    </row>
    <row r="865" spans="1:33">
      <c r="A865" s="20" t="s">
        <v>1563</v>
      </c>
      <c r="B865" s="161"/>
      <c r="C865" s="21" t="s">
        <v>172</v>
      </c>
      <c r="D865" s="109" t="s">
        <v>13228</v>
      </c>
      <c r="E865" s="109" t="s">
        <v>27236</v>
      </c>
      <c r="F865" s="391" t="s">
        <v>14214</v>
      </c>
      <c r="G865" s="23" t="s">
        <v>14215</v>
      </c>
      <c r="H865" s="23" t="s">
        <v>13997</v>
      </c>
      <c r="I865" s="23" t="s">
        <v>14119</v>
      </c>
      <c r="J865" s="23" t="s">
        <v>14121</v>
      </c>
      <c r="K865" s="23" t="s">
        <v>14026</v>
      </c>
      <c r="L865" s="375" t="s">
        <v>7787</v>
      </c>
      <c r="M865" s="351"/>
      <c r="N865" s="267">
        <f t="shared" si="149"/>
        <v>0</v>
      </c>
      <c r="O865" s="268">
        <f t="shared" si="150"/>
        <v>0</v>
      </c>
      <c r="P865" s="243"/>
      <c r="Q865" s="239"/>
      <c r="R865" s="239"/>
      <c r="S865" s="239"/>
      <c r="T865" s="239"/>
      <c r="U865" s="240"/>
      <c r="V865" s="240"/>
      <c r="W865" s="240"/>
      <c r="X865" s="278"/>
      <c r="Y865" s="237"/>
      <c r="Z865" s="237"/>
      <c r="AA865" s="237"/>
      <c r="AB865" s="238"/>
      <c r="AC865" s="196">
        <f t="shared" si="142"/>
        <v>0</v>
      </c>
      <c r="AD865" s="196">
        <f t="shared" si="143"/>
        <v>0</v>
      </c>
      <c r="AE865" s="196">
        <f t="shared" si="144"/>
        <v>0</v>
      </c>
      <c r="AF865" s="2">
        <f t="shared" si="145"/>
        <v>0</v>
      </c>
      <c r="AG865" s="2">
        <f t="shared" si="146"/>
        <v>0</v>
      </c>
    </row>
    <row r="866" spans="1:33">
      <c r="A866" s="20" t="s">
        <v>1565</v>
      </c>
      <c r="B866" s="152" t="s">
        <v>14216</v>
      </c>
      <c r="C866" s="21" t="s">
        <v>173</v>
      </c>
      <c r="D866" s="109" t="s">
        <v>13228</v>
      </c>
      <c r="E866" s="109"/>
      <c r="F866" s="391" t="s">
        <v>14217</v>
      </c>
      <c r="G866" s="23" t="s">
        <v>17836</v>
      </c>
      <c r="H866" s="23" t="s">
        <v>14015</v>
      </c>
      <c r="I866" s="23" t="s">
        <v>13989</v>
      </c>
      <c r="J866" s="23"/>
      <c r="K866" s="23"/>
      <c r="L866" s="356"/>
      <c r="M866" s="351"/>
      <c r="N866" s="267">
        <f t="shared" si="149"/>
        <v>0</v>
      </c>
      <c r="O866" s="268">
        <f t="shared" si="150"/>
        <v>0</v>
      </c>
      <c r="P866" s="239"/>
      <c r="Q866" s="239"/>
      <c r="R866" s="239"/>
      <c r="S866" s="239"/>
      <c r="T866" s="239"/>
      <c r="U866" s="240"/>
      <c r="V866" s="239"/>
      <c r="W866" s="240"/>
      <c r="X866" s="278"/>
      <c r="Y866" s="237"/>
      <c r="Z866" s="237"/>
      <c r="AA866" s="279"/>
      <c r="AB866" s="238"/>
      <c r="AC866" s="196">
        <f t="shared" si="142"/>
        <v>0</v>
      </c>
      <c r="AD866" s="196">
        <f t="shared" si="143"/>
        <v>0</v>
      </c>
      <c r="AE866" s="196">
        <f t="shared" si="144"/>
        <v>0</v>
      </c>
      <c r="AF866" s="2">
        <f t="shared" si="145"/>
        <v>0</v>
      </c>
      <c r="AG866" s="2">
        <f t="shared" si="146"/>
        <v>0</v>
      </c>
    </row>
    <row r="867" spans="1:33">
      <c r="A867" s="20" t="s">
        <v>1566</v>
      </c>
      <c r="B867" s="161"/>
      <c r="C867" s="21" t="s">
        <v>173</v>
      </c>
      <c r="D867" s="109" t="s">
        <v>13207</v>
      </c>
      <c r="E867" s="109"/>
      <c r="F867" s="391" t="s">
        <v>14217</v>
      </c>
      <c r="G867" s="23" t="s">
        <v>14218</v>
      </c>
      <c r="H867" s="23" t="s">
        <v>14036</v>
      </c>
      <c r="I867" s="23" t="s">
        <v>13301</v>
      </c>
      <c r="J867" s="23"/>
      <c r="K867" s="23"/>
      <c r="L867" s="356" t="s">
        <v>7787</v>
      </c>
      <c r="M867" s="351" t="s">
        <v>7787</v>
      </c>
      <c r="N867" s="267">
        <f t="shared" si="149"/>
        <v>0</v>
      </c>
      <c r="O867" s="268">
        <f t="shared" si="150"/>
        <v>0</v>
      </c>
      <c r="P867" s="240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2"/>
        <v>0</v>
      </c>
      <c r="AD867" s="196">
        <f t="shared" si="143"/>
        <v>0</v>
      </c>
      <c r="AE867" s="196">
        <f t="shared" si="144"/>
        <v>0</v>
      </c>
      <c r="AF867" s="2">
        <f t="shared" si="145"/>
        <v>0</v>
      </c>
      <c r="AG867" s="2">
        <f t="shared" si="146"/>
        <v>0</v>
      </c>
    </row>
    <row r="868" spans="1:33">
      <c r="A868" s="20" t="s">
        <v>18751</v>
      </c>
      <c r="B868" s="161"/>
      <c r="C868" s="21" t="s">
        <v>173</v>
      </c>
      <c r="D868" s="109" t="s">
        <v>3102</v>
      </c>
      <c r="E868" s="109"/>
      <c r="F868" s="391" t="s">
        <v>4420</v>
      </c>
      <c r="G868" s="23" t="s">
        <v>18811</v>
      </c>
      <c r="H868" s="23"/>
      <c r="I868" s="23"/>
      <c r="J868" s="23"/>
      <c r="K868" s="23"/>
      <c r="L868" s="375" t="s">
        <v>7787</v>
      </c>
      <c r="M868" s="351" t="s">
        <v>7787</v>
      </c>
      <c r="N868" s="267">
        <f t="shared" si="149"/>
        <v>0</v>
      </c>
      <c r="O868" s="268">
        <f t="shared" si="150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2"/>
        <v>0</v>
      </c>
      <c r="AD868" s="196">
        <f t="shared" si="143"/>
        <v>0</v>
      </c>
      <c r="AE868" s="196">
        <f t="shared" si="144"/>
        <v>0</v>
      </c>
      <c r="AF868" s="2">
        <f t="shared" si="145"/>
        <v>0</v>
      </c>
      <c r="AG868" s="2">
        <f t="shared" si="146"/>
        <v>0</v>
      </c>
    </row>
    <row r="869" spans="1:33">
      <c r="A869" s="20" t="s">
        <v>9514</v>
      </c>
      <c r="B869" s="161"/>
      <c r="C869" s="21" t="s">
        <v>173</v>
      </c>
      <c r="D869" s="109" t="s">
        <v>14219</v>
      </c>
      <c r="E869" s="109" t="s">
        <v>14220</v>
      </c>
      <c r="F869" s="391" t="s">
        <v>14217</v>
      </c>
      <c r="G869" s="23" t="s">
        <v>13975</v>
      </c>
      <c r="H869" s="23"/>
      <c r="I869" s="23"/>
      <c r="J869" s="23"/>
      <c r="K869" s="23"/>
      <c r="L869" s="350"/>
      <c r="M869" s="351" t="s">
        <v>7787</v>
      </c>
      <c r="N869" s="267">
        <f t="shared" si="149"/>
        <v>0</v>
      </c>
      <c r="O869" s="268">
        <f t="shared" si="150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2"/>
        <v>0</v>
      </c>
      <c r="AD869" s="196">
        <f t="shared" si="143"/>
        <v>0</v>
      </c>
      <c r="AE869" s="196">
        <f t="shared" si="144"/>
        <v>0</v>
      </c>
      <c r="AF869" s="2">
        <f t="shared" si="145"/>
        <v>0</v>
      </c>
      <c r="AG869" s="2">
        <f t="shared" si="146"/>
        <v>0</v>
      </c>
    </row>
    <row r="870" spans="1:33">
      <c r="A870" s="20" t="s">
        <v>1564</v>
      </c>
      <c r="B870" s="161"/>
      <c r="C870" s="21" t="s">
        <v>173</v>
      </c>
      <c r="D870" s="109" t="s">
        <v>14061</v>
      </c>
      <c r="E870" s="109" t="s">
        <v>13210</v>
      </c>
      <c r="F870" s="391" t="s">
        <v>14221</v>
      </c>
      <c r="G870" s="23" t="s">
        <v>14063</v>
      </c>
      <c r="H870" s="23"/>
      <c r="I870" s="23"/>
      <c r="J870" s="23"/>
      <c r="K870" s="23"/>
      <c r="L870" s="350"/>
      <c r="M870" s="351"/>
      <c r="N870" s="267">
        <f t="shared" si="149"/>
        <v>0</v>
      </c>
      <c r="O870" s="268">
        <f t="shared" si="150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2"/>
        <v>0</v>
      </c>
      <c r="AD870" s="196">
        <f t="shared" si="143"/>
        <v>0</v>
      </c>
      <c r="AE870" s="196">
        <f t="shared" si="144"/>
        <v>0</v>
      </c>
      <c r="AF870" s="2">
        <f t="shared" si="145"/>
        <v>0</v>
      </c>
      <c r="AG870" s="2">
        <f t="shared" si="146"/>
        <v>0</v>
      </c>
    </row>
    <row r="871" spans="1:33">
      <c r="A871" s="20" t="s">
        <v>1567</v>
      </c>
      <c r="B871" s="161"/>
      <c r="C871" s="21" t="s">
        <v>174</v>
      </c>
      <c r="D871" s="109" t="s">
        <v>13232</v>
      </c>
      <c r="E871" s="109"/>
      <c r="F871" s="391" t="s">
        <v>14222</v>
      </c>
      <c r="G871" s="23"/>
      <c r="H871" s="23"/>
      <c r="I871" s="23"/>
      <c r="J871" s="23"/>
      <c r="K871" s="23"/>
      <c r="L871" s="375" t="s">
        <v>45</v>
      </c>
      <c r="M871" s="351" t="s">
        <v>7787</v>
      </c>
      <c r="N871" s="267">
        <f t="shared" si="149"/>
        <v>0</v>
      </c>
      <c r="O871" s="268">
        <f t="shared" si="150"/>
        <v>0</v>
      </c>
      <c r="P871" s="239"/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79"/>
      <c r="AB871" s="238"/>
      <c r="AC871" s="196">
        <f t="shared" si="142"/>
        <v>0</v>
      </c>
      <c r="AD871" s="196">
        <f t="shared" si="143"/>
        <v>0</v>
      </c>
      <c r="AE871" s="196">
        <f t="shared" si="144"/>
        <v>0</v>
      </c>
      <c r="AF871" s="2">
        <f t="shared" si="145"/>
        <v>0</v>
      </c>
      <c r="AG871" s="2">
        <f t="shared" si="146"/>
        <v>0</v>
      </c>
    </row>
    <row r="872" spans="1:33">
      <c r="A872" s="20" t="s">
        <v>1567</v>
      </c>
      <c r="B872" s="152" t="s">
        <v>14216</v>
      </c>
      <c r="C872" s="21" t="s">
        <v>174</v>
      </c>
      <c r="D872" s="109" t="s">
        <v>13232</v>
      </c>
      <c r="E872" s="109" t="s">
        <v>14223</v>
      </c>
      <c r="F872" s="391" t="s">
        <v>14222</v>
      </c>
      <c r="G872" s="23" t="s">
        <v>14224</v>
      </c>
      <c r="H872" s="23" t="s">
        <v>14225</v>
      </c>
      <c r="I872" s="23"/>
      <c r="J872" s="23"/>
      <c r="K872" s="23"/>
      <c r="L872" s="375" t="s">
        <v>45</v>
      </c>
      <c r="M872" s="351" t="s">
        <v>45</v>
      </c>
      <c r="N872" s="267">
        <f t="shared" si="149"/>
        <v>0</v>
      </c>
      <c r="O872" s="268">
        <f t="shared" si="150"/>
        <v>450</v>
      </c>
      <c r="P872" s="239">
        <f>2600-2500+2700+600-3000+2650-3000+450+2950-3000</f>
        <v>450</v>
      </c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39"/>
      <c r="AB872" s="238" t="s">
        <v>25443</v>
      </c>
      <c r="AC872" s="196">
        <f t="shared" si="142"/>
        <v>450</v>
      </c>
      <c r="AD872" s="196">
        <f t="shared" si="143"/>
        <v>450</v>
      </c>
      <c r="AE872" s="196">
        <f t="shared" si="144"/>
        <v>0</v>
      </c>
      <c r="AF872" s="2">
        <f t="shared" si="145"/>
        <v>450</v>
      </c>
      <c r="AG872" s="2">
        <f t="shared" si="146"/>
        <v>0</v>
      </c>
    </row>
    <row r="873" spans="1:33">
      <c r="A873" s="20" t="s">
        <v>1568</v>
      </c>
      <c r="B873" s="150"/>
      <c r="C873" s="21" t="s">
        <v>175</v>
      </c>
      <c r="D873" s="109" t="s">
        <v>13207</v>
      </c>
      <c r="E873" s="109"/>
      <c r="F873" s="391" t="s">
        <v>14226</v>
      </c>
      <c r="G873" s="23"/>
      <c r="H873" s="23"/>
      <c r="I873" s="23"/>
      <c r="J873" s="23"/>
      <c r="K873" s="23"/>
      <c r="L873" s="350"/>
      <c r="M873" s="351"/>
      <c r="N873" s="267">
        <f t="shared" si="149"/>
        <v>0</v>
      </c>
      <c r="O873" s="268">
        <f t="shared" si="150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2"/>
        <v>0</v>
      </c>
      <c r="AD873" s="196">
        <f t="shared" si="143"/>
        <v>0</v>
      </c>
      <c r="AE873" s="196">
        <f t="shared" si="144"/>
        <v>0</v>
      </c>
      <c r="AF873" s="2">
        <f t="shared" si="145"/>
        <v>0</v>
      </c>
      <c r="AG873" s="2">
        <f t="shared" si="146"/>
        <v>0</v>
      </c>
    </row>
    <row r="874" spans="1:33">
      <c r="A874" s="20" t="s">
        <v>1569</v>
      </c>
      <c r="B874" s="150"/>
      <c r="C874" s="21" t="s">
        <v>176</v>
      </c>
      <c r="D874" s="109" t="s">
        <v>14038</v>
      </c>
      <c r="E874" s="109"/>
      <c r="F874" s="391" t="s">
        <v>14227</v>
      </c>
      <c r="G874" s="23"/>
      <c r="H874" s="23"/>
      <c r="I874" s="23"/>
      <c r="J874" s="23"/>
      <c r="K874" s="23"/>
      <c r="L874" s="350"/>
      <c r="M874" s="351"/>
      <c r="N874" s="267">
        <f t="shared" si="149"/>
        <v>0</v>
      </c>
      <c r="O874" s="268">
        <f t="shared" si="150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2"/>
        <v>0</v>
      </c>
      <c r="AD874" s="196">
        <f t="shared" si="143"/>
        <v>0</v>
      </c>
      <c r="AE874" s="196">
        <f t="shared" si="144"/>
        <v>0</v>
      </c>
      <c r="AF874" s="2">
        <f t="shared" si="145"/>
        <v>0</v>
      </c>
      <c r="AG874" s="2">
        <f t="shared" si="146"/>
        <v>0</v>
      </c>
    </row>
    <row r="875" spans="1:33">
      <c r="A875" s="20" t="s">
        <v>1570</v>
      </c>
      <c r="B875" s="161"/>
      <c r="C875" s="21" t="s">
        <v>177</v>
      </c>
      <c r="D875" s="109" t="s">
        <v>14038</v>
      </c>
      <c r="E875" s="109"/>
      <c r="F875" s="391" t="s">
        <v>14228</v>
      </c>
      <c r="G875" s="23"/>
      <c r="H875" s="23"/>
      <c r="I875" s="23"/>
      <c r="J875" s="23"/>
      <c r="K875" s="23"/>
      <c r="L875" s="350"/>
      <c r="M875" s="351"/>
      <c r="N875" s="267">
        <f t="shared" si="149"/>
        <v>0</v>
      </c>
      <c r="O875" s="268">
        <f t="shared" si="150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2"/>
        <v>0</v>
      </c>
      <c r="AD875" s="196">
        <f t="shared" si="143"/>
        <v>0</v>
      </c>
      <c r="AE875" s="196">
        <f t="shared" si="144"/>
        <v>0</v>
      </c>
      <c r="AF875" s="2">
        <f t="shared" si="145"/>
        <v>0</v>
      </c>
      <c r="AG875" s="2">
        <f t="shared" si="146"/>
        <v>0</v>
      </c>
    </row>
    <row r="876" spans="1:33">
      <c r="A876" s="20" t="s">
        <v>1574</v>
      </c>
      <c r="B876" s="150"/>
      <c r="C876" s="21" t="s">
        <v>178</v>
      </c>
      <c r="D876" s="109" t="s">
        <v>13991</v>
      </c>
      <c r="E876" s="109" t="s">
        <v>13992</v>
      </c>
      <c r="F876" s="391" t="s">
        <v>14229</v>
      </c>
      <c r="G876" s="23" t="s">
        <v>14230</v>
      </c>
      <c r="H876" s="23"/>
      <c r="I876" s="23"/>
      <c r="J876" s="23"/>
      <c r="K876" s="23"/>
      <c r="L876" s="350"/>
      <c r="M876" s="351"/>
      <c r="N876" s="267">
        <f t="shared" si="149"/>
        <v>0</v>
      </c>
      <c r="O876" s="268">
        <f t="shared" si="150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2"/>
        <v>0</v>
      </c>
      <c r="AD876" s="196">
        <f t="shared" si="143"/>
        <v>0</v>
      </c>
      <c r="AE876" s="196">
        <f t="shared" si="144"/>
        <v>0</v>
      </c>
      <c r="AF876" s="2">
        <f t="shared" si="145"/>
        <v>0</v>
      </c>
      <c r="AG876" s="2">
        <f t="shared" si="146"/>
        <v>0</v>
      </c>
    </row>
    <row r="877" spans="1:33">
      <c r="A877" s="20" t="s">
        <v>1573</v>
      </c>
      <c r="B877" s="161"/>
      <c r="C877" s="21" t="s">
        <v>178</v>
      </c>
      <c r="D877" s="109" t="s">
        <v>13991</v>
      </c>
      <c r="E877" s="109" t="s">
        <v>13994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9"/>
        <v>0</v>
      </c>
      <c r="O877" s="268">
        <f t="shared" si="150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2"/>
        <v>0</v>
      </c>
      <c r="AD877" s="196">
        <f t="shared" si="143"/>
        <v>0</v>
      </c>
      <c r="AE877" s="196">
        <f t="shared" si="144"/>
        <v>0</v>
      </c>
      <c r="AF877" s="2">
        <f t="shared" si="145"/>
        <v>0</v>
      </c>
      <c r="AG877" s="2">
        <f t="shared" si="146"/>
        <v>0</v>
      </c>
    </row>
    <row r="878" spans="1:33">
      <c r="A878" s="20" t="s">
        <v>1572</v>
      </c>
      <c r="B878" s="161"/>
      <c r="C878" s="21" t="s">
        <v>178</v>
      </c>
      <c r="D878" s="109" t="s">
        <v>13991</v>
      </c>
      <c r="E878" s="109" t="s">
        <v>13210</v>
      </c>
      <c r="F878" s="391" t="s">
        <v>14229</v>
      </c>
      <c r="G878" s="23" t="s">
        <v>14230</v>
      </c>
      <c r="H878" s="23"/>
      <c r="I878" s="23"/>
      <c r="J878" s="23"/>
      <c r="K878" s="23"/>
      <c r="L878" s="375" t="s">
        <v>7787</v>
      </c>
      <c r="M878" s="351" t="s">
        <v>7787</v>
      </c>
      <c r="N878" s="267">
        <f t="shared" si="149"/>
        <v>0</v>
      </c>
      <c r="O878" s="268">
        <f t="shared" si="150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2"/>
        <v>0</v>
      </c>
      <c r="AD878" s="196">
        <f t="shared" si="143"/>
        <v>0</v>
      </c>
      <c r="AE878" s="196">
        <f t="shared" si="144"/>
        <v>0</v>
      </c>
      <c r="AF878" s="2">
        <f t="shared" si="145"/>
        <v>0</v>
      </c>
      <c r="AG878" s="2">
        <f t="shared" si="146"/>
        <v>0</v>
      </c>
    </row>
    <row r="879" spans="1:33">
      <c r="A879" s="20" t="s">
        <v>1571</v>
      </c>
      <c r="B879" s="151" t="s">
        <v>14231</v>
      </c>
      <c r="C879" s="21" t="s">
        <v>178</v>
      </c>
      <c r="D879" s="109" t="s">
        <v>13207</v>
      </c>
      <c r="E879" s="109"/>
      <c r="F879" s="391" t="s">
        <v>14229</v>
      </c>
      <c r="G879" s="23" t="s">
        <v>13218</v>
      </c>
      <c r="H879" s="23" t="s">
        <v>13999</v>
      </c>
      <c r="I879" s="23" t="s">
        <v>14232</v>
      </c>
      <c r="J879" s="23" t="s">
        <v>13301</v>
      </c>
      <c r="K879" s="23" t="s">
        <v>19108</v>
      </c>
      <c r="L879" s="375" t="s">
        <v>7787</v>
      </c>
      <c r="M879" s="351" t="s">
        <v>7787</v>
      </c>
      <c r="N879" s="267">
        <f t="shared" si="149"/>
        <v>0</v>
      </c>
      <c r="O879" s="268">
        <f t="shared" si="150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79"/>
      <c r="AB879" s="238"/>
      <c r="AC879" s="196">
        <f t="shared" si="142"/>
        <v>0</v>
      </c>
      <c r="AD879" s="196">
        <f t="shared" si="143"/>
        <v>0</v>
      </c>
      <c r="AE879" s="196">
        <f t="shared" si="144"/>
        <v>0</v>
      </c>
      <c r="AF879" s="2">
        <f t="shared" si="145"/>
        <v>0</v>
      </c>
      <c r="AG879" s="2">
        <f t="shared" si="146"/>
        <v>0</v>
      </c>
    </row>
    <row r="880" spans="1:33">
      <c r="A880" s="20" t="s">
        <v>1576</v>
      </c>
      <c r="B880" s="161"/>
      <c r="C880" s="21" t="s">
        <v>179</v>
      </c>
      <c r="D880" s="109" t="s">
        <v>14233</v>
      </c>
      <c r="E880" s="109" t="s">
        <v>13210</v>
      </c>
      <c r="F880" s="391" t="s">
        <v>14234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9"/>
        <v>0</v>
      </c>
      <c r="O880" s="268">
        <f t="shared" si="150"/>
        <v>0</v>
      </c>
      <c r="P880" s="239"/>
      <c r="Q880" s="239"/>
      <c r="R880" s="239"/>
      <c r="S880" s="239"/>
      <c r="T880" s="239"/>
      <c r="U880" s="240"/>
      <c r="V880" s="240"/>
      <c r="W880" s="240"/>
      <c r="X880" s="278"/>
      <c r="Y880" s="237"/>
      <c r="Z880" s="237"/>
      <c r="AA880" s="285"/>
      <c r="AB880" s="238"/>
      <c r="AC880" s="196">
        <f t="shared" si="142"/>
        <v>0</v>
      </c>
      <c r="AD880" s="196">
        <f t="shared" si="143"/>
        <v>0</v>
      </c>
      <c r="AE880" s="196">
        <f t="shared" si="144"/>
        <v>0</v>
      </c>
      <c r="AF880" s="2">
        <f t="shared" si="145"/>
        <v>0</v>
      </c>
      <c r="AG880" s="2">
        <f t="shared" si="146"/>
        <v>0</v>
      </c>
    </row>
    <row r="881" spans="1:33">
      <c r="A881" s="20" t="s">
        <v>1575</v>
      </c>
      <c r="B881" s="161"/>
      <c r="C881" s="21" t="s">
        <v>179</v>
      </c>
      <c r="D881" s="109" t="s">
        <v>13239</v>
      </c>
      <c r="E881" s="109"/>
      <c r="F881" s="391" t="s">
        <v>14236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9"/>
        <v>0</v>
      </c>
      <c r="O881" s="268">
        <f t="shared" si="150"/>
        <v>0</v>
      </c>
      <c r="P881" s="239"/>
      <c r="Q881" s="239"/>
      <c r="R881" s="239"/>
      <c r="S881" s="239"/>
      <c r="T881" s="239"/>
      <c r="U881" s="240">
        <v>0</v>
      </c>
      <c r="V881" s="240"/>
      <c r="W881" s="240"/>
      <c r="X881" s="278">
        <v>0</v>
      </c>
      <c r="Y881" s="237"/>
      <c r="Z881" s="237"/>
      <c r="AA881" s="285"/>
      <c r="AB881" s="238"/>
      <c r="AC881" s="196">
        <f t="shared" si="142"/>
        <v>0</v>
      </c>
      <c r="AD881" s="196">
        <f t="shared" si="143"/>
        <v>0</v>
      </c>
      <c r="AE881" s="196">
        <f t="shared" si="144"/>
        <v>0</v>
      </c>
      <c r="AF881" s="2">
        <f t="shared" si="145"/>
        <v>0</v>
      </c>
      <c r="AG881" s="2">
        <f t="shared" si="146"/>
        <v>0</v>
      </c>
    </row>
    <row r="882" spans="1:33">
      <c r="A882" s="20" t="s">
        <v>1577</v>
      </c>
      <c r="B882" s="150"/>
      <c r="C882" s="21" t="s">
        <v>179</v>
      </c>
      <c r="D882" s="109" t="s">
        <v>13239</v>
      </c>
      <c r="E882" s="109"/>
      <c r="F882" s="391" t="s">
        <v>14237</v>
      </c>
      <c r="G882" s="23" t="s">
        <v>14235</v>
      </c>
      <c r="H882" s="23"/>
      <c r="I882" s="23"/>
      <c r="J882" s="23"/>
      <c r="K882" s="23"/>
      <c r="L882" s="350"/>
      <c r="M882" s="351"/>
      <c r="N882" s="267">
        <f t="shared" si="149"/>
        <v>0</v>
      </c>
      <c r="O882" s="268">
        <f t="shared" si="150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2"/>
        <v>0</v>
      </c>
      <c r="AD882" s="196">
        <f t="shared" si="143"/>
        <v>0</v>
      </c>
      <c r="AE882" s="196">
        <f t="shared" si="144"/>
        <v>0</v>
      </c>
      <c r="AF882" s="2">
        <f t="shared" si="145"/>
        <v>0</v>
      </c>
      <c r="AG882" s="2">
        <f t="shared" si="146"/>
        <v>0</v>
      </c>
    </row>
    <row r="883" spans="1:33">
      <c r="A883" s="20" t="s">
        <v>1578</v>
      </c>
      <c r="B883" s="150"/>
      <c r="C883" s="21" t="s">
        <v>180</v>
      </c>
      <c r="D883" s="109" t="s">
        <v>14233</v>
      </c>
      <c r="E883" s="109" t="s">
        <v>14075</v>
      </c>
      <c r="F883" s="391" t="s">
        <v>14238</v>
      </c>
      <c r="G883" s="23" t="s">
        <v>14239</v>
      </c>
      <c r="H883" s="23" t="s">
        <v>17928</v>
      </c>
      <c r="I883" s="23"/>
      <c r="J883" s="23"/>
      <c r="K883" s="23"/>
      <c r="L883" s="375" t="s">
        <v>7787</v>
      </c>
      <c r="M883" s="351"/>
      <c r="N883" s="267">
        <f t="shared" si="149"/>
        <v>0</v>
      </c>
      <c r="O883" s="268">
        <f t="shared" si="150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2"/>
        <v>0</v>
      </c>
      <c r="AD883" s="196">
        <f t="shared" si="143"/>
        <v>0</v>
      </c>
      <c r="AE883" s="196">
        <f t="shared" si="144"/>
        <v>0</v>
      </c>
      <c r="AF883" s="2">
        <f t="shared" si="145"/>
        <v>0</v>
      </c>
      <c r="AG883" s="2">
        <f t="shared" si="146"/>
        <v>0</v>
      </c>
    </row>
    <row r="884" spans="1:33">
      <c r="A884" s="20" t="s">
        <v>1775</v>
      </c>
      <c r="B884" s="150"/>
      <c r="C884" s="21" t="s">
        <v>745</v>
      </c>
      <c r="D884" s="109" t="s">
        <v>14240</v>
      </c>
      <c r="E884" s="109"/>
      <c r="F884" s="391" t="s">
        <v>14241</v>
      </c>
      <c r="G884" s="23"/>
      <c r="H884" s="23"/>
      <c r="I884" s="23"/>
      <c r="J884" s="23"/>
      <c r="K884" s="23"/>
      <c r="L884" s="350"/>
      <c r="M884" s="351"/>
      <c r="N884" s="267">
        <f t="shared" si="149"/>
        <v>0</v>
      </c>
      <c r="O884" s="268">
        <f t="shared" si="150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2"/>
        <v>0</v>
      </c>
      <c r="AD884" s="196">
        <f t="shared" si="143"/>
        <v>0</v>
      </c>
      <c r="AE884" s="196">
        <f t="shared" si="144"/>
        <v>0</v>
      </c>
      <c r="AF884" s="2">
        <f t="shared" si="145"/>
        <v>0</v>
      </c>
      <c r="AG884" s="2">
        <f t="shared" si="146"/>
        <v>0</v>
      </c>
    </row>
    <row r="885" spans="1:33">
      <c r="A885" s="20" t="s">
        <v>1579</v>
      </c>
      <c r="B885" s="150"/>
      <c r="C885" s="21" t="s">
        <v>181</v>
      </c>
      <c r="D885" s="109" t="s">
        <v>14233</v>
      </c>
      <c r="E885" s="109" t="s">
        <v>14075</v>
      </c>
      <c r="F885" s="391" t="s">
        <v>14242</v>
      </c>
      <c r="G885" s="23"/>
      <c r="H885" s="23"/>
      <c r="I885" s="23"/>
      <c r="J885" s="23"/>
      <c r="K885" s="23"/>
      <c r="L885" s="350"/>
      <c r="M885" s="351"/>
      <c r="N885" s="267">
        <f t="shared" si="149"/>
        <v>0</v>
      </c>
      <c r="O885" s="268">
        <f t="shared" si="150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79"/>
      <c r="AB885" s="238"/>
      <c r="AC885" s="196">
        <f t="shared" si="142"/>
        <v>0</v>
      </c>
      <c r="AD885" s="196">
        <f t="shared" si="143"/>
        <v>0</v>
      </c>
      <c r="AE885" s="196">
        <f t="shared" si="144"/>
        <v>0</v>
      </c>
      <c r="AF885" s="2">
        <f t="shared" si="145"/>
        <v>0</v>
      </c>
      <c r="AG885" s="2">
        <f t="shared" si="146"/>
        <v>0</v>
      </c>
    </row>
    <row r="886" spans="1:33">
      <c r="A886" s="20" t="s">
        <v>1580</v>
      </c>
      <c r="B886" s="162" t="s">
        <v>5831</v>
      </c>
      <c r="C886" s="21" t="s">
        <v>182</v>
      </c>
      <c r="D886" s="109" t="s">
        <v>13228</v>
      </c>
      <c r="E886" s="109"/>
      <c r="F886" s="391" t="s">
        <v>14243</v>
      </c>
      <c r="G886" s="23" t="s">
        <v>14002</v>
      </c>
      <c r="H886" s="23" t="s">
        <v>14811</v>
      </c>
      <c r="I886" s="23" t="s">
        <v>14059</v>
      </c>
      <c r="J886" s="23" t="s">
        <v>13240</v>
      </c>
      <c r="K886" s="23" t="s">
        <v>18699</v>
      </c>
      <c r="L886" s="375" t="s">
        <v>7787</v>
      </c>
      <c r="M886" s="351" t="s">
        <v>7787</v>
      </c>
      <c r="N886" s="267">
        <f t="shared" si="149"/>
        <v>0</v>
      </c>
      <c r="O886" s="268">
        <f t="shared" si="150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37"/>
      <c r="AB886" s="238"/>
      <c r="AC886" s="196">
        <f t="shared" si="142"/>
        <v>0</v>
      </c>
      <c r="AD886" s="196">
        <f t="shared" si="143"/>
        <v>0</v>
      </c>
      <c r="AE886" s="196">
        <f t="shared" si="144"/>
        <v>0</v>
      </c>
      <c r="AF886" s="2">
        <f t="shared" si="145"/>
        <v>0</v>
      </c>
      <c r="AG886" s="2">
        <f t="shared" si="146"/>
        <v>0</v>
      </c>
    </row>
    <row r="887" spans="1:33">
      <c r="A887" s="20" t="s">
        <v>8422</v>
      </c>
      <c r="B887" s="162"/>
      <c r="C887" s="21" t="s">
        <v>182</v>
      </c>
      <c r="D887" s="109" t="s">
        <v>14004</v>
      </c>
      <c r="E887" s="109" t="s">
        <v>13210</v>
      </c>
      <c r="F887" s="391" t="s">
        <v>14243</v>
      </c>
      <c r="G887" s="23" t="s">
        <v>14059</v>
      </c>
      <c r="H887" s="23"/>
      <c r="I887" s="23"/>
      <c r="J887" s="23"/>
      <c r="K887" s="23"/>
      <c r="L887" s="375"/>
      <c r="M887" s="351"/>
      <c r="N887" s="267">
        <f t="shared" si="149"/>
        <v>0</v>
      </c>
      <c r="O887" s="268">
        <f t="shared" si="150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7"/>
      <c r="Z887" s="237"/>
      <c r="AA887" s="279"/>
      <c r="AB887" s="238"/>
      <c r="AC887" s="196">
        <f t="shared" si="142"/>
        <v>0</v>
      </c>
      <c r="AD887" s="196">
        <f t="shared" si="143"/>
        <v>0</v>
      </c>
      <c r="AE887" s="196">
        <f t="shared" si="144"/>
        <v>0</v>
      </c>
      <c r="AF887" s="2">
        <f t="shared" si="145"/>
        <v>0</v>
      </c>
      <c r="AG887" s="2">
        <f t="shared" si="146"/>
        <v>0</v>
      </c>
    </row>
    <row r="888" spans="1:33">
      <c r="A888" s="20" t="s">
        <v>1581</v>
      </c>
      <c r="B888" s="150"/>
      <c r="C888" s="21" t="s">
        <v>183</v>
      </c>
      <c r="D888" s="109" t="s">
        <v>14004</v>
      </c>
      <c r="E888" s="109" t="s">
        <v>13210</v>
      </c>
      <c r="F888" s="391" t="s">
        <v>14244</v>
      </c>
      <c r="G888" s="23"/>
      <c r="H888" s="23"/>
      <c r="I888" s="23"/>
      <c r="J888" s="23"/>
      <c r="K888" s="23"/>
      <c r="L888" s="375" t="s">
        <v>7787</v>
      </c>
      <c r="M888" s="351"/>
      <c r="N888" s="267">
        <f t="shared" si="149"/>
        <v>0</v>
      </c>
      <c r="O888" s="268">
        <f t="shared" si="150"/>
        <v>0</v>
      </c>
      <c r="P888" s="239"/>
      <c r="Q888" s="239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2"/>
        <v>0</v>
      </c>
      <c r="AD888" s="196">
        <f t="shared" si="143"/>
        <v>0</v>
      </c>
      <c r="AE888" s="196">
        <f t="shared" si="144"/>
        <v>0</v>
      </c>
      <c r="AF888" s="2">
        <f t="shared" si="145"/>
        <v>0</v>
      </c>
      <c r="AG888" s="2">
        <f t="shared" si="146"/>
        <v>0</v>
      </c>
    </row>
    <row r="889" spans="1:33">
      <c r="A889" s="20" t="s">
        <v>1582</v>
      </c>
      <c r="B889" s="162"/>
      <c r="C889" s="21" t="s">
        <v>183</v>
      </c>
      <c r="D889" s="109" t="s">
        <v>13207</v>
      </c>
      <c r="E889" s="109" t="s">
        <v>22545</v>
      </c>
      <c r="F889" s="391" t="s">
        <v>14244</v>
      </c>
      <c r="G889" s="23" t="s">
        <v>13934</v>
      </c>
      <c r="H889" s="23" t="s">
        <v>14002</v>
      </c>
      <c r="I889" s="23" t="s">
        <v>13996</v>
      </c>
      <c r="J889" s="23" t="s">
        <v>22239</v>
      </c>
      <c r="K889" s="23" t="s">
        <v>18958</v>
      </c>
      <c r="L889" s="375" t="s">
        <v>7787</v>
      </c>
      <c r="M889" s="351" t="s">
        <v>7787</v>
      </c>
      <c r="N889" s="267">
        <f t="shared" si="149"/>
        <v>0</v>
      </c>
      <c r="O889" s="268">
        <f t="shared" si="150"/>
        <v>0</v>
      </c>
      <c r="P889" s="239"/>
      <c r="Q889" s="243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2"/>
        <v>0</v>
      </c>
      <c r="AD889" s="196">
        <f t="shared" si="143"/>
        <v>0</v>
      </c>
      <c r="AE889" s="196">
        <f t="shared" si="144"/>
        <v>0</v>
      </c>
      <c r="AF889" s="2">
        <f t="shared" si="145"/>
        <v>0</v>
      </c>
      <c r="AG889" s="2">
        <f t="shared" si="146"/>
        <v>0</v>
      </c>
    </row>
    <row r="890" spans="1:33">
      <c r="A890" s="20" t="s">
        <v>27043</v>
      </c>
      <c r="B890" s="162"/>
      <c r="C890" s="21" t="s">
        <v>183</v>
      </c>
      <c r="D890" s="109" t="s">
        <v>3096</v>
      </c>
      <c r="E890" s="109" t="s">
        <v>22545</v>
      </c>
      <c r="F890" s="391" t="s">
        <v>14244</v>
      </c>
      <c r="G890" s="23" t="s">
        <v>13934</v>
      </c>
      <c r="H890" s="23"/>
      <c r="I890" s="23"/>
      <c r="J890" s="23"/>
      <c r="K890" s="23"/>
      <c r="L890" s="375"/>
      <c r="M890" s="351"/>
      <c r="N890" s="267">
        <f t="shared" ref="N890" si="151">SUM(L890:M890)</f>
        <v>0</v>
      </c>
      <c r="O890" s="268">
        <f t="shared" ref="O890" si="152">SUM(P890:Z890)</f>
        <v>0</v>
      </c>
      <c r="P890" s="239"/>
      <c r="Q890" s="239"/>
      <c r="R890" s="239"/>
      <c r="S890" s="239"/>
      <c r="T890" s="239"/>
      <c r="U890" s="240"/>
      <c r="V890" s="240"/>
      <c r="W890" s="240"/>
      <c r="X890" s="278"/>
      <c r="Y890" s="239"/>
      <c r="Z890" s="237"/>
      <c r="AA890" s="279"/>
      <c r="AB890" s="238"/>
      <c r="AC890" s="196">
        <f t="shared" si="142"/>
        <v>0</v>
      </c>
      <c r="AD890" s="196">
        <f t="shared" si="143"/>
        <v>0</v>
      </c>
      <c r="AE890" s="196">
        <f t="shared" si="144"/>
        <v>0</v>
      </c>
      <c r="AF890" s="2">
        <f t="shared" si="145"/>
        <v>0</v>
      </c>
      <c r="AG890" s="2">
        <f t="shared" si="146"/>
        <v>0</v>
      </c>
    </row>
    <row r="891" spans="1:33">
      <c r="A891" s="20" t="s">
        <v>6790</v>
      </c>
      <c r="B891" s="162"/>
      <c r="C891" s="21" t="s">
        <v>183</v>
      </c>
      <c r="D891" s="109" t="s">
        <v>13207</v>
      </c>
      <c r="E891" s="109" t="s">
        <v>25838</v>
      </c>
      <c r="F891" s="391" t="s">
        <v>14245</v>
      </c>
      <c r="G891" s="23" t="s">
        <v>15190</v>
      </c>
      <c r="H891" s="23"/>
      <c r="I891" s="23"/>
      <c r="J891" s="23"/>
      <c r="K891" s="23"/>
      <c r="L891" s="375" t="s">
        <v>7787</v>
      </c>
      <c r="M891" s="351" t="s">
        <v>7787</v>
      </c>
      <c r="N891" s="267">
        <f t="shared" si="149"/>
        <v>0</v>
      </c>
      <c r="O891" s="268">
        <f t="shared" si="150"/>
        <v>2350</v>
      </c>
      <c r="P891" s="239"/>
      <c r="Q891" s="243"/>
      <c r="R891" s="239">
        <f>5000-1000-1000-200-300-150</f>
        <v>2350</v>
      </c>
      <c r="S891" s="239"/>
      <c r="T891" s="239"/>
      <c r="U891" s="240"/>
      <c r="V891" s="240"/>
      <c r="W891" s="240"/>
      <c r="X891" s="278"/>
      <c r="Y891" s="237"/>
      <c r="Z891" s="237"/>
      <c r="AA891" s="279"/>
      <c r="AB891" s="238" t="s">
        <v>26024</v>
      </c>
      <c r="AC891" s="196">
        <f t="shared" si="142"/>
        <v>2350</v>
      </c>
      <c r="AD891" s="196">
        <f t="shared" si="143"/>
        <v>2350</v>
      </c>
      <c r="AE891" s="196">
        <f t="shared" si="144"/>
        <v>0</v>
      </c>
      <c r="AF891" s="2">
        <f t="shared" si="145"/>
        <v>2350</v>
      </c>
      <c r="AG891" s="2">
        <f t="shared" si="146"/>
        <v>0</v>
      </c>
    </row>
    <row r="892" spans="1:33">
      <c r="A892" s="20" t="s">
        <v>1583</v>
      </c>
      <c r="B892" s="162"/>
      <c r="C892" s="21" t="s">
        <v>183</v>
      </c>
      <c r="D892" s="109" t="s">
        <v>13207</v>
      </c>
      <c r="E892" s="109" t="s">
        <v>13971</v>
      </c>
      <c r="F892" s="391" t="s">
        <v>14244</v>
      </c>
      <c r="G892" s="23" t="s">
        <v>13972</v>
      </c>
      <c r="H892" s="23"/>
      <c r="I892" s="23"/>
      <c r="J892" s="23"/>
      <c r="K892" s="23"/>
      <c r="L892" s="350"/>
      <c r="M892" s="351"/>
      <c r="N892" s="267">
        <f t="shared" si="149"/>
        <v>0</v>
      </c>
      <c r="O892" s="268">
        <f t="shared" si="150"/>
        <v>0</v>
      </c>
      <c r="P892" s="243"/>
      <c r="Q892" s="243"/>
      <c r="R892" s="243"/>
      <c r="S892" s="243"/>
      <c r="T892" s="243"/>
      <c r="U892" s="240"/>
      <c r="V892" s="240"/>
      <c r="W892" s="240"/>
      <c r="X892" s="278"/>
      <c r="Y892" s="237"/>
      <c r="Z892" s="237"/>
      <c r="AA892" s="279"/>
      <c r="AB892" s="238"/>
      <c r="AC892" s="196">
        <f t="shared" si="142"/>
        <v>0</v>
      </c>
      <c r="AD892" s="196">
        <f t="shared" si="143"/>
        <v>0</v>
      </c>
      <c r="AE892" s="196">
        <f t="shared" si="144"/>
        <v>0</v>
      </c>
      <c r="AF892" s="2">
        <f t="shared" si="145"/>
        <v>0</v>
      </c>
      <c r="AG892" s="2">
        <f t="shared" si="146"/>
        <v>0</v>
      </c>
    </row>
    <row r="893" spans="1:33">
      <c r="A893" s="20" t="s">
        <v>1584</v>
      </c>
      <c r="B893" s="161"/>
      <c r="C893" s="21" t="s">
        <v>184</v>
      </c>
      <c r="D893" s="109" t="s">
        <v>13228</v>
      </c>
      <c r="E893" s="109"/>
      <c r="F893" s="391" t="s">
        <v>14246</v>
      </c>
      <c r="G893" s="23" t="s">
        <v>14006</v>
      </c>
      <c r="H893" s="23" t="s">
        <v>13989</v>
      </c>
      <c r="I893" s="23" t="s">
        <v>26665</v>
      </c>
      <c r="J893" s="23"/>
      <c r="K893" s="23"/>
      <c r="L893" s="375" t="s">
        <v>45</v>
      </c>
      <c r="M893" s="351" t="s">
        <v>7787</v>
      </c>
      <c r="N893" s="267">
        <f t="shared" si="149"/>
        <v>0</v>
      </c>
      <c r="O893" s="268">
        <f t="shared" si="150"/>
        <v>150</v>
      </c>
      <c r="P893" s="239">
        <f>800-650+500-500</f>
        <v>150</v>
      </c>
      <c r="Q893" s="239"/>
      <c r="R893" s="239"/>
      <c r="S893" s="239"/>
      <c r="T893" s="239"/>
      <c r="U893" s="240"/>
      <c r="V893" s="240"/>
      <c r="W893" s="240"/>
      <c r="X893" s="278"/>
      <c r="Y893" s="237"/>
      <c r="Z893" s="237"/>
      <c r="AA893" s="279"/>
      <c r="AB893" s="238" t="s">
        <v>26666</v>
      </c>
      <c r="AC893" s="196">
        <f t="shared" si="142"/>
        <v>150</v>
      </c>
      <c r="AD893" s="196">
        <f t="shared" si="143"/>
        <v>150</v>
      </c>
      <c r="AE893" s="196">
        <f t="shared" si="144"/>
        <v>0</v>
      </c>
      <c r="AF893" s="2">
        <f t="shared" si="145"/>
        <v>150</v>
      </c>
      <c r="AG893" s="2">
        <f t="shared" si="146"/>
        <v>0</v>
      </c>
    </row>
    <row r="894" spans="1:33">
      <c r="A894" s="20" t="s">
        <v>1585</v>
      </c>
      <c r="B894" s="150"/>
      <c r="C894" s="21" t="s">
        <v>185</v>
      </c>
      <c r="D894" s="109" t="s">
        <v>13207</v>
      </c>
      <c r="E894" s="109" t="s">
        <v>23768</v>
      </c>
      <c r="F894" s="391" t="s">
        <v>14247</v>
      </c>
      <c r="G894" s="23" t="s">
        <v>14248</v>
      </c>
      <c r="H894" s="23" t="s">
        <v>14002</v>
      </c>
      <c r="I894" s="23" t="s">
        <v>14085</v>
      </c>
      <c r="J894" s="23" t="s">
        <v>20243</v>
      </c>
      <c r="K894" s="23" t="s">
        <v>26899</v>
      </c>
      <c r="L894" s="375" t="s">
        <v>27541</v>
      </c>
      <c r="M894" s="351"/>
      <c r="N894" s="267">
        <f t="shared" si="149"/>
        <v>0</v>
      </c>
      <c r="O894" s="268">
        <f t="shared" si="150"/>
        <v>100</v>
      </c>
      <c r="P894" s="239"/>
      <c r="Q894" s="239"/>
      <c r="R894" s="239"/>
      <c r="S894" s="239"/>
      <c r="T894" s="239"/>
      <c r="U894" s="240">
        <f>350-250</f>
        <v>100</v>
      </c>
      <c r="V894" s="239"/>
      <c r="W894" s="240"/>
      <c r="X894" s="278"/>
      <c r="Y894" s="237"/>
      <c r="Z894" s="237"/>
      <c r="AA894" s="279"/>
      <c r="AB894" s="238" t="s">
        <v>27538</v>
      </c>
      <c r="AC894" s="196">
        <f t="shared" si="142"/>
        <v>100</v>
      </c>
      <c r="AD894" s="196">
        <f t="shared" si="143"/>
        <v>100</v>
      </c>
      <c r="AE894" s="196">
        <f t="shared" si="144"/>
        <v>0</v>
      </c>
      <c r="AF894" s="2">
        <f t="shared" si="145"/>
        <v>100</v>
      </c>
      <c r="AG894" s="2">
        <f t="shared" si="146"/>
        <v>0</v>
      </c>
    </row>
    <row r="895" spans="1:33">
      <c r="A895" s="20" t="s">
        <v>1586</v>
      </c>
      <c r="B895" s="150"/>
      <c r="C895" s="21" t="s">
        <v>186</v>
      </c>
      <c r="D895" s="109" t="s">
        <v>13207</v>
      </c>
      <c r="E895" s="109"/>
      <c r="F895" s="391" t="s">
        <v>14249</v>
      </c>
      <c r="G895" s="23" t="s">
        <v>13975</v>
      </c>
      <c r="H895" s="23"/>
      <c r="I895" s="23"/>
      <c r="J895" s="23"/>
      <c r="K895" s="23"/>
      <c r="L895" s="350"/>
      <c r="M895" s="351"/>
      <c r="N895" s="267">
        <f t="shared" si="149"/>
        <v>0</v>
      </c>
      <c r="O895" s="268">
        <f t="shared" si="150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2"/>
        <v>0</v>
      </c>
      <c r="AD895" s="196">
        <f t="shared" si="143"/>
        <v>0</v>
      </c>
      <c r="AE895" s="196">
        <f t="shared" si="144"/>
        <v>0</v>
      </c>
      <c r="AF895" s="2">
        <f t="shared" si="145"/>
        <v>0</v>
      </c>
      <c r="AG895" s="2">
        <f t="shared" si="146"/>
        <v>0</v>
      </c>
    </row>
    <row r="896" spans="1:33">
      <c r="A896" s="20" t="s">
        <v>1776</v>
      </c>
      <c r="B896" s="150"/>
      <c r="C896" s="21" t="s">
        <v>746</v>
      </c>
      <c r="D896" s="109" t="s">
        <v>14240</v>
      </c>
      <c r="E896" s="109"/>
      <c r="F896" s="391" t="s">
        <v>14163</v>
      </c>
      <c r="G896" s="23"/>
      <c r="H896" s="23"/>
      <c r="I896" s="23"/>
      <c r="J896" s="23"/>
      <c r="K896" s="23"/>
      <c r="L896" s="350"/>
      <c r="M896" s="351"/>
      <c r="N896" s="267">
        <f t="shared" si="149"/>
        <v>0</v>
      </c>
      <c r="O896" s="268">
        <f t="shared" si="150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2"/>
        <v>0</v>
      </c>
      <c r="AD896" s="196">
        <f t="shared" si="143"/>
        <v>0</v>
      </c>
      <c r="AE896" s="196">
        <f t="shared" si="144"/>
        <v>0</v>
      </c>
      <c r="AF896" s="2">
        <f t="shared" si="145"/>
        <v>0</v>
      </c>
      <c r="AG896" s="2">
        <f t="shared" si="146"/>
        <v>0</v>
      </c>
    </row>
    <row r="897" spans="1:33">
      <c r="A897" s="20" t="s">
        <v>1587</v>
      </c>
      <c r="B897" s="162" t="s">
        <v>5832</v>
      </c>
      <c r="C897" s="21" t="s">
        <v>187</v>
      </c>
      <c r="D897" s="109" t="s">
        <v>14126</v>
      </c>
      <c r="E897" s="109" t="s">
        <v>14075</v>
      </c>
      <c r="F897" s="391" t="s">
        <v>14250</v>
      </c>
      <c r="G897" s="23" t="s">
        <v>13215</v>
      </c>
      <c r="H897" s="23" t="s">
        <v>14059</v>
      </c>
      <c r="I897" s="23"/>
      <c r="J897" s="23"/>
      <c r="K897" s="23"/>
      <c r="L897" s="375" t="s">
        <v>7787</v>
      </c>
      <c r="M897" s="351" t="s">
        <v>7787</v>
      </c>
      <c r="N897" s="267">
        <f t="shared" si="149"/>
        <v>0</v>
      </c>
      <c r="O897" s="268">
        <f t="shared" si="150"/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2"/>
        <v>0</v>
      </c>
      <c r="AD897" s="196">
        <f t="shared" si="143"/>
        <v>0</v>
      </c>
      <c r="AE897" s="196">
        <f t="shared" si="144"/>
        <v>0</v>
      </c>
      <c r="AF897" s="2">
        <f t="shared" si="145"/>
        <v>0</v>
      </c>
      <c r="AG897" s="2">
        <f t="shared" si="146"/>
        <v>0</v>
      </c>
    </row>
    <row r="898" spans="1:33">
      <c r="A898" s="20" t="s">
        <v>27044</v>
      </c>
      <c r="B898" s="162"/>
      <c r="C898" s="21" t="s">
        <v>187</v>
      </c>
      <c r="D898" s="109" t="s">
        <v>3137</v>
      </c>
      <c r="E898" s="109" t="s">
        <v>25244</v>
      </c>
      <c r="F898" s="391" t="s">
        <v>4436</v>
      </c>
      <c r="G898" s="23" t="s">
        <v>13525</v>
      </c>
      <c r="H898" s="23"/>
      <c r="I898" s="23"/>
      <c r="J898" s="23"/>
      <c r="K898" s="23"/>
      <c r="L898" s="375"/>
      <c r="M898" s="351"/>
      <c r="N898" s="267">
        <f t="shared" ref="N898" si="153">SUM(L898:M898)</f>
        <v>0</v>
      </c>
      <c r="O898" s="268">
        <f t="shared" ref="O898" si="154">SUM(P898:Z898)</f>
        <v>0</v>
      </c>
      <c r="P898" s="239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2"/>
        <v>0</v>
      </c>
      <c r="AD898" s="196">
        <f t="shared" si="143"/>
        <v>0</v>
      </c>
      <c r="AE898" s="196">
        <f t="shared" si="144"/>
        <v>0</v>
      </c>
      <c r="AF898" s="2">
        <f t="shared" si="145"/>
        <v>0</v>
      </c>
      <c r="AG898" s="2">
        <f t="shared" si="146"/>
        <v>0</v>
      </c>
    </row>
    <row r="899" spans="1:33">
      <c r="A899" s="20" t="s">
        <v>6791</v>
      </c>
      <c r="B899" s="162"/>
      <c r="C899" s="21" t="s">
        <v>14251</v>
      </c>
      <c r="D899" s="109" t="s">
        <v>13207</v>
      </c>
      <c r="E899" s="109" t="s">
        <v>14082</v>
      </c>
      <c r="F899" s="391" t="s">
        <v>14250</v>
      </c>
      <c r="G899" s="23" t="s">
        <v>14252</v>
      </c>
      <c r="H899" s="23" t="s">
        <v>13997</v>
      </c>
      <c r="I899" s="23" t="s">
        <v>14015</v>
      </c>
      <c r="J899" s="23" t="s">
        <v>17406</v>
      </c>
      <c r="K899" s="23" t="s">
        <v>24213</v>
      </c>
      <c r="L899" s="375" t="s">
        <v>7787</v>
      </c>
      <c r="M899" s="351" t="s">
        <v>7787</v>
      </c>
      <c r="N899" s="267">
        <f t="shared" si="149"/>
        <v>0</v>
      </c>
      <c r="O899" s="268">
        <f t="shared" si="150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2"/>
        <v>0</v>
      </c>
      <c r="AD899" s="196">
        <f t="shared" si="143"/>
        <v>0</v>
      </c>
      <c r="AE899" s="196">
        <f t="shared" si="144"/>
        <v>0</v>
      </c>
      <c r="AF899" s="2">
        <f t="shared" si="145"/>
        <v>0</v>
      </c>
      <c r="AG899" s="2">
        <f t="shared" si="146"/>
        <v>0</v>
      </c>
    </row>
    <row r="900" spans="1:33">
      <c r="A900" s="20" t="s">
        <v>20204</v>
      </c>
      <c r="B900" s="162"/>
      <c r="C900" s="21" t="s">
        <v>187</v>
      </c>
      <c r="D900" s="109" t="s">
        <v>20308</v>
      </c>
      <c r="E900" s="109" t="s">
        <v>20309</v>
      </c>
      <c r="F900" s="391" t="s">
        <v>4436</v>
      </c>
      <c r="G900" s="23" t="s">
        <v>20310</v>
      </c>
      <c r="H900" s="23"/>
      <c r="I900" s="23"/>
      <c r="J900" s="23"/>
      <c r="K900" s="23"/>
      <c r="L900" s="375" t="s">
        <v>7787</v>
      </c>
      <c r="M900" s="351" t="s">
        <v>7787</v>
      </c>
      <c r="N900" s="267">
        <f t="shared" si="149"/>
        <v>0</v>
      </c>
      <c r="O900" s="268">
        <f t="shared" si="150"/>
        <v>0</v>
      </c>
      <c r="P900" s="248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2"/>
        <v>0</v>
      </c>
      <c r="AD900" s="196">
        <f t="shared" si="143"/>
        <v>0</v>
      </c>
      <c r="AE900" s="196">
        <f t="shared" si="144"/>
        <v>0</v>
      </c>
      <c r="AF900" s="2">
        <f t="shared" si="145"/>
        <v>0</v>
      </c>
      <c r="AG900" s="2">
        <f t="shared" si="146"/>
        <v>0</v>
      </c>
    </row>
    <row r="901" spans="1:33">
      <c r="A901" s="20" t="s">
        <v>1588</v>
      </c>
      <c r="B901" s="162" t="s">
        <v>14253</v>
      </c>
      <c r="C901" s="21" t="s">
        <v>188</v>
      </c>
      <c r="D901" s="109" t="s">
        <v>13207</v>
      </c>
      <c r="E901" s="109"/>
      <c r="F901" s="391" t="s">
        <v>14254</v>
      </c>
      <c r="G901" s="23" t="s">
        <v>14002</v>
      </c>
      <c r="H901" s="23" t="s">
        <v>13997</v>
      </c>
      <c r="I901" s="23"/>
      <c r="J901" s="23"/>
      <c r="K901" s="23"/>
      <c r="L901" s="375" t="s">
        <v>7787</v>
      </c>
      <c r="M901" s="351" t="s">
        <v>7787</v>
      </c>
      <c r="N901" s="267">
        <f t="shared" si="149"/>
        <v>0</v>
      </c>
      <c r="O901" s="268">
        <f t="shared" si="150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2"/>
        <v>0</v>
      </c>
      <c r="AD901" s="196">
        <f t="shared" si="143"/>
        <v>0</v>
      </c>
      <c r="AE901" s="196">
        <f t="shared" si="144"/>
        <v>0</v>
      </c>
      <c r="AF901" s="2">
        <f t="shared" si="145"/>
        <v>0</v>
      </c>
      <c r="AG901" s="2">
        <f t="shared" si="146"/>
        <v>0</v>
      </c>
    </row>
    <row r="902" spans="1:33">
      <c r="A902" s="20" t="s">
        <v>6792</v>
      </c>
      <c r="B902" s="156" t="s">
        <v>14255</v>
      </c>
      <c r="C902" s="21" t="s">
        <v>14256</v>
      </c>
      <c r="D902" s="109" t="s">
        <v>14257</v>
      </c>
      <c r="E902" s="109" t="s">
        <v>18543</v>
      </c>
      <c r="F902" s="391" t="s">
        <v>14258</v>
      </c>
      <c r="G902" s="23" t="s">
        <v>13986</v>
      </c>
      <c r="H902" s="23"/>
      <c r="I902" s="23"/>
      <c r="J902" s="23"/>
      <c r="K902" s="23"/>
      <c r="L902" s="375" t="s">
        <v>7787</v>
      </c>
      <c r="M902" s="351" t="s">
        <v>7787</v>
      </c>
      <c r="N902" s="267">
        <f t="shared" si="149"/>
        <v>0</v>
      </c>
      <c r="O902" s="268">
        <f t="shared" si="150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2"/>
        <v>0</v>
      </c>
      <c r="AD902" s="196">
        <f t="shared" si="143"/>
        <v>0</v>
      </c>
      <c r="AE902" s="196">
        <f t="shared" si="144"/>
        <v>0</v>
      </c>
      <c r="AF902" s="2">
        <f t="shared" si="145"/>
        <v>0</v>
      </c>
      <c r="AG902" s="2">
        <f t="shared" si="146"/>
        <v>0</v>
      </c>
    </row>
    <row r="903" spans="1:33">
      <c r="A903" s="20" t="s">
        <v>6793</v>
      </c>
      <c r="B903" s="156"/>
      <c r="C903" s="21" t="s">
        <v>14256</v>
      </c>
      <c r="D903" s="109" t="s">
        <v>3118</v>
      </c>
      <c r="E903" s="109" t="s">
        <v>14259</v>
      </c>
      <c r="F903" s="391" t="s">
        <v>14258</v>
      </c>
      <c r="G903" s="23" t="s">
        <v>13986</v>
      </c>
      <c r="H903" s="23" t="s">
        <v>14260</v>
      </c>
      <c r="I903" s="23"/>
      <c r="J903" s="23"/>
      <c r="K903" s="23"/>
      <c r="L903" s="375"/>
      <c r="M903" s="351"/>
      <c r="N903" s="267">
        <f t="shared" si="149"/>
        <v>0</v>
      </c>
      <c r="O903" s="268">
        <f t="shared" si="150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2"/>
        <v>0</v>
      </c>
      <c r="AD903" s="196">
        <f t="shared" si="143"/>
        <v>0</v>
      </c>
      <c r="AE903" s="196">
        <f t="shared" si="144"/>
        <v>0</v>
      </c>
      <c r="AF903" s="2">
        <f t="shared" si="145"/>
        <v>0</v>
      </c>
      <c r="AG903" s="2">
        <f t="shared" si="146"/>
        <v>0</v>
      </c>
    </row>
    <row r="904" spans="1:33">
      <c r="A904" s="20" t="s">
        <v>1592</v>
      </c>
      <c r="B904" s="150"/>
      <c r="C904" s="21" t="s">
        <v>189</v>
      </c>
      <c r="D904" s="109" t="s">
        <v>14061</v>
      </c>
      <c r="E904" s="109" t="s">
        <v>13203</v>
      </c>
      <c r="F904" s="391" t="s">
        <v>14261</v>
      </c>
      <c r="G904" s="23"/>
      <c r="H904" s="23"/>
      <c r="I904" s="23"/>
      <c r="J904" s="23"/>
      <c r="K904" s="23"/>
      <c r="L904" s="375" t="s">
        <v>7787</v>
      </c>
      <c r="M904" s="357" t="s">
        <v>7787</v>
      </c>
      <c r="N904" s="267">
        <f t="shared" si="149"/>
        <v>0</v>
      </c>
      <c r="O904" s="268">
        <f t="shared" si="150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2"/>
        <v>0</v>
      </c>
      <c r="AD904" s="196">
        <f t="shared" si="143"/>
        <v>0</v>
      </c>
      <c r="AE904" s="196">
        <f t="shared" si="144"/>
        <v>0</v>
      </c>
      <c r="AF904" s="2">
        <f t="shared" si="145"/>
        <v>0</v>
      </c>
      <c r="AG904" s="2">
        <f t="shared" si="146"/>
        <v>0</v>
      </c>
    </row>
    <row r="905" spans="1:33">
      <c r="A905" s="20" t="s">
        <v>1594</v>
      </c>
      <c r="B905" s="151" t="s">
        <v>14262</v>
      </c>
      <c r="C905" s="21" t="s">
        <v>189</v>
      </c>
      <c r="D905" s="109" t="s">
        <v>14061</v>
      </c>
      <c r="E905" s="109" t="s">
        <v>14043</v>
      </c>
      <c r="F905" s="391" t="s">
        <v>14261</v>
      </c>
      <c r="G905" s="23" t="s">
        <v>14263</v>
      </c>
      <c r="H905" s="23"/>
      <c r="I905" s="23"/>
      <c r="J905" s="23"/>
      <c r="K905" s="23"/>
      <c r="L905" s="375"/>
      <c r="M905" s="357" t="s">
        <v>7787</v>
      </c>
      <c r="N905" s="267">
        <f t="shared" si="149"/>
        <v>0</v>
      </c>
      <c r="O905" s="268">
        <f t="shared" si="150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si="142"/>
        <v>0</v>
      </c>
      <c r="AD905" s="196">
        <f t="shared" si="143"/>
        <v>0</v>
      </c>
      <c r="AE905" s="196">
        <f t="shared" si="144"/>
        <v>0</v>
      </c>
      <c r="AF905" s="2">
        <f t="shared" si="145"/>
        <v>0</v>
      </c>
      <c r="AG905" s="2">
        <f t="shared" si="146"/>
        <v>0</v>
      </c>
    </row>
    <row r="906" spans="1:33">
      <c r="A906" s="20" t="s">
        <v>11300</v>
      </c>
      <c r="B906" s="156"/>
      <c r="C906" s="21" t="s">
        <v>189</v>
      </c>
      <c r="D906" s="109" t="s">
        <v>14061</v>
      </c>
      <c r="E906" s="109" t="s">
        <v>14264</v>
      </c>
      <c r="F906" s="391" t="s">
        <v>14261</v>
      </c>
      <c r="G906" s="23" t="s">
        <v>14263</v>
      </c>
      <c r="H906" s="23"/>
      <c r="I906" s="23"/>
      <c r="J906" s="23"/>
      <c r="K906" s="23"/>
      <c r="L906" s="375" t="s">
        <v>7787</v>
      </c>
      <c r="M906" s="357" t="s">
        <v>7787</v>
      </c>
      <c r="N906" s="267">
        <f t="shared" si="149"/>
        <v>0</v>
      </c>
      <c r="O906" s="268">
        <f t="shared" si="150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ref="AC906:AC969" si="155">SUM(P906:AA906)</f>
        <v>0</v>
      </c>
      <c r="AD906" s="196">
        <f t="shared" ref="AD906:AD969" si="156">SUM(P906:AB906)</f>
        <v>0</v>
      </c>
      <c r="AE906" s="196">
        <f t="shared" ref="AE906:AE969" si="157">SUM(AC906-AD906)</f>
        <v>0</v>
      </c>
      <c r="AF906" s="2">
        <f t="shared" ref="AF906:AF969" si="158">+AC906</f>
        <v>0</v>
      </c>
      <c r="AG906" s="2">
        <f t="shared" ref="AG906:AG969" si="159">+AC906-AF906</f>
        <v>0</v>
      </c>
    </row>
    <row r="907" spans="1:33">
      <c r="A907" s="20" t="s">
        <v>1595</v>
      </c>
      <c r="B907" s="150"/>
      <c r="C907" s="21" t="s">
        <v>189</v>
      </c>
      <c r="D907" s="109" t="s">
        <v>14061</v>
      </c>
      <c r="E907" s="109" t="s">
        <v>13994</v>
      </c>
      <c r="F907" s="391" t="s">
        <v>14261</v>
      </c>
      <c r="G907" s="23" t="s">
        <v>14265</v>
      </c>
      <c r="H907" s="23"/>
      <c r="I907" s="23"/>
      <c r="J907" s="23"/>
      <c r="K907" s="23"/>
      <c r="L907" s="375" t="s">
        <v>7787</v>
      </c>
      <c r="M907" s="357"/>
      <c r="N907" s="267">
        <f t="shared" si="149"/>
        <v>0</v>
      </c>
      <c r="O907" s="268">
        <f t="shared" si="150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5"/>
        <v>0</v>
      </c>
      <c r="AD907" s="196">
        <f t="shared" si="156"/>
        <v>0</v>
      </c>
      <c r="AE907" s="196">
        <f t="shared" si="157"/>
        <v>0</v>
      </c>
      <c r="AF907" s="2">
        <f t="shared" si="158"/>
        <v>0</v>
      </c>
      <c r="AG907" s="2">
        <f t="shared" si="159"/>
        <v>0</v>
      </c>
    </row>
    <row r="908" spans="1:33">
      <c r="A908" s="20" t="s">
        <v>1593</v>
      </c>
      <c r="B908" s="150"/>
      <c r="C908" s="21" t="s">
        <v>189</v>
      </c>
      <c r="D908" s="109" t="s">
        <v>14061</v>
      </c>
      <c r="E908" s="109" t="s">
        <v>13210</v>
      </c>
      <c r="F908" s="391" t="s">
        <v>14261</v>
      </c>
      <c r="G908" s="23"/>
      <c r="H908" s="23"/>
      <c r="I908" s="23"/>
      <c r="J908" s="23"/>
      <c r="K908" s="23"/>
      <c r="L908" s="375" t="s">
        <v>7787</v>
      </c>
      <c r="M908" s="357" t="s">
        <v>7787</v>
      </c>
      <c r="N908" s="267">
        <f t="shared" si="149"/>
        <v>0</v>
      </c>
      <c r="O908" s="268">
        <f t="shared" si="150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5"/>
        <v>0</v>
      </c>
      <c r="AD908" s="196">
        <f t="shared" si="156"/>
        <v>0</v>
      </c>
      <c r="AE908" s="196">
        <f t="shared" si="157"/>
        <v>0</v>
      </c>
      <c r="AF908" s="2">
        <f t="shared" si="158"/>
        <v>0</v>
      </c>
      <c r="AG908" s="2">
        <f t="shared" si="159"/>
        <v>0</v>
      </c>
    </row>
    <row r="909" spans="1:33">
      <c r="A909" s="20" t="s">
        <v>1590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 t="s">
        <v>14265</v>
      </c>
      <c r="H909" s="23"/>
      <c r="I909" s="23"/>
      <c r="J909" s="23"/>
      <c r="K909" s="23"/>
      <c r="L909" s="375" t="s">
        <v>24543</v>
      </c>
      <c r="M909" s="357" t="s">
        <v>7787</v>
      </c>
      <c r="N909" s="267">
        <f t="shared" si="149"/>
        <v>0</v>
      </c>
      <c r="O909" s="268">
        <f t="shared" si="150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5"/>
        <v>0</v>
      </c>
      <c r="AD909" s="196">
        <f t="shared" si="156"/>
        <v>0</v>
      </c>
      <c r="AE909" s="196">
        <f t="shared" si="157"/>
        <v>0</v>
      </c>
      <c r="AF909" s="2">
        <f t="shared" si="158"/>
        <v>0</v>
      </c>
      <c r="AG909" s="2">
        <f t="shared" si="159"/>
        <v>0</v>
      </c>
    </row>
    <row r="910" spans="1:33">
      <c r="A910" s="20" t="s">
        <v>1591</v>
      </c>
      <c r="B910" s="156"/>
      <c r="C910" s="21" t="s">
        <v>189</v>
      </c>
      <c r="D910" s="109" t="s">
        <v>14061</v>
      </c>
      <c r="E910" s="109" t="s">
        <v>14064</v>
      </c>
      <c r="F910" s="391" t="s">
        <v>14261</v>
      </c>
      <c r="G910" s="23"/>
      <c r="H910" s="23"/>
      <c r="I910" s="23"/>
      <c r="J910" s="23"/>
      <c r="K910" s="23"/>
      <c r="L910" s="375" t="s">
        <v>7787</v>
      </c>
      <c r="M910" s="358"/>
      <c r="N910" s="267">
        <f t="shared" si="149"/>
        <v>0</v>
      </c>
      <c r="O910" s="268">
        <f t="shared" si="150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5"/>
        <v>0</v>
      </c>
      <c r="AD910" s="196">
        <f t="shared" si="156"/>
        <v>0</v>
      </c>
      <c r="AE910" s="196">
        <f t="shared" si="157"/>
        <v>0</v>
      </c>
      <c r="AF910" s="2">
        <f t="shared" si="158"/>
        <v>0</v>
      </c>
      <c r="AG910" s="2">
        <f t="shared" si="159"/>
        <v>0</v>
      </c>
    </row>
    <row r="911" spans="1:33">
      <c r="A911" s="20" t="s">
        <v>22895</v>
      </c>
      <c r="B911" s="156"/>
      <c r="C911" s="21" t="s">
        <v>189</v>
      </c>
      <c r="D911" s="109" t="s">
        <v>3118</v>
      </c>
      <c r="E911" s="109" t="s">
        <v>22881</v>
      </c>
      <c r="F911" s="391" t="s">
        <v>5905</v>
      </c>
      <c r="G911" s="23" t="s">
        <v>13610</v>
      </c>
      <c r="H911" s="23"/>
      <c r="I911" s="23"/>
      <c r="J911" s="23"/>
      <c r="K911" s="23"/>
      <c r="L911" s="375" t="s">
        <v>7787</v>
      </c>
      <c r="M911" s="358" t="s">
        <v>7787</v>
      </c>
      <c r="N911" s="267">
        <f t="shared" si="149"/>
        <v>0</v>
      </c>
      <c r="O911" s="268">
        <f t="shared" si="150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5"/>
        <v>0</v>
      </c>
      <c r="AD911" s="196">
        <f t="shared" si="156"/>
        <v>0</v>
      </c>
      <c r="AE911" s="196">
        <f t="shared" si="157"/>
        <v>0</v>
      </c>
      <c r="AF911" s="2">
        <f t="shared" si="158"/>
        <v>0</v>
      </c>
      <c r="AG911" s="2">
        <f t="shared" si="159"/>
        <v>0</v>
      </c>
    </row>
    <row r="912" spans="1:33">
      <c r="A912" s="20" t="s">
        <v>7035</v>
      </c>
      <c r="B912" s="156" t="s">
        <v>7074</v>
      </c>
      <c r="C912" s="21" t="s">
        <v>189</v>
      </c>
      <c r="D912" s="109" t="s">
        <v>14061</v>
      </c>
      <c r="E912" s="109" t="s">
        <v>14266</v>
      </c>
      <c r="F912" s="391" t="s">
        <v>14261</v>
      </c>
      <c r="G912" s="23" t="s">
        <v>14263</v>
      </c>
      <c r="H912" s="23"/>
      <c r="I912" s="23"/>
      <c r="J912" s="23"/>
      <c r="K912" s="23"/>
      <c r="L912" s="375" t="s">
        <v>7787</v>
      </c>
      <c r="M912" s="357">
        <v>150</v>
      </c>
      <c r="N912" s="267">
        <f t="shared" si="149"/>
        <v>150</v>
      </c>
      <c r="O912" s="268">
        <f t="shared" si="150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5"/>
        <v>0</v>
      </c>
      <c r="AD912" s="196">
        <f t="shared" si="156"/>
        <v>0</v>
      </c>
      <c r="AE912" s="196">
        <f t="shared" si="157"/>
        <v>0</v>
      </c>
      <c r="AF912" s="2">
        <f t="shared" si="158"/>
        <v>0</v>
      </c>
      <c r="AG912" s="2">
        <f t="shared" si="159"/>
        <v>0</v>
      </c>
    </row>
    <row r="913" spans="1:33">
      <c r="A913" s="20" t="s">
        <v>1589</v>
      </c>
      <c r="B913" s="156" t="s">
        <v>14267</v>
      </c>
      <c r="C913" s="21" t="s">
        <v>189</v>
      </c>
      <c r="D913" s="109" t="s">
        <v>14061</v>
      </c>
      <c r="E913" s="109" t="s">
        <v>14268</v>
      </c>
      <c r="F913" s="391" t="s">
        <v>14261</v>
      </c>
      <c r="G913" s="23" t="s">
        <v>14269</v>
      </c>
      <c r="H913" s="23" t="s">
        <v>13976</v>
      </c>
      <c r="I913" s="23" t="s">
        <v>14059</v>
      </c>
      <c r="J913" s="23"/>
      <c r="K913" s="23"/>
      <c r="L913" s="375" t="s">
        <v>7787</v>
      </c>
      <c r="M913" s="351" t="s">
        <v>7787</v>
      </c>
      <c r="N913" s="267">
        <f t="shared" si="149"/>
        <v>0</v>
      </c>
      <c r="O913" s="268">
        <f t="shared" si="150"/>
        <v>0</v>
      </c>
      <c r="P913" s="239"/>
      <c r="Q913" s="239"/>
      <c r="R913" s="239"/>
      <c r="S913" s="239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5"/>
        <v>0</v>
      </c>
      <c r="AD913" s="196">
        <f t="shared" si="156"/>
        <v>0</v>
      </c>
      <c r="AE913" s="196">
        <f t="shared" si="157"/>
        <v>0</v>
      </c>
      <c r="AF913" s="2">
        <f t="shared" si="158"/>
        <v>0</v>
      </c>
      <c r="AG913" s="2">
        <f t="shared" si="159"/>
        <v>0</v>
      </c>
    </row>
    <row r="914" spans="1:33">
      <c r="A914" s="377" t="s">
        <v>8915</v>
      </c>
      <c r="B914" s="156"/>
      <c r="C914" s="21" t="s">
        <v>189</v>
      </c>
      <c r="D914" s="109" t="s">
        <v>4065</v>
      </c>
      <c r="E914" s="109" t="s">
        <v>14270</v>
      </c>
      <c r="F914" s="391" t="s">
        <v>8981</v>
      </c>
      <c r="G914" s="23" t="s">
        <v>14263</v>
      </c>
      <c r="H914" s="23"/>
      <c r="I914" s="23"/>
      <c r="J914" s="23"/>
      <c r="K914" s="23"/>
      <c r="L914" s="375" t="s">
        <v>7787</v>
      </c>
      <c r="M914" s="351" t="s">
        <v>7787</v>
      </c>
      <c r="N914" s="267">
        <f t="shared" si="149"/>
        <v>0</v>
      </c>
      <c r="O914" s="268">
        <f t="shared" si="150"/>
        <v>0</v>
      </c>
      <c r="P914" s="239"/>
      <c r="Q914" s="239"/>
      <c r="R914" s="239"/>
      <c r="S914" s="240"/>
      <c r="T914" s="239"/>
      <c r="U914" s="240"/>
      <c r="V914" s="240"/>
      <c r="W914" s="240"/>
      <c r="X914" s="278"/>
      <c r="Y914" s="237"/>
      <c r="Z914" s="237"/>
      <c r="AA914" s="279"/>
      <c r="AB914" s="238"/>
      <c r="AC914" s="196">
        <f t="shared" si="155"/>
        <v>0</v>
      </c>
      <c r="AD914" s="196">
        <f t="shared" si="156"/>
        <v>0</v>
      </c>
      <c r="AE914" s="196">
        <f t="shared" si="157"/>
        <v>0</v>
      </c>
      <c r="AF914" s="2">
        <f t="shared" si="158"/>
        <v>0</v>
      </c>
      <c r="AG914" s="2">
        <f t="shared" si="159"/>
        <v>0</v>
      </c>
    </row>
    <row r="915" spans="1:33">
      <c r="A915" s="20" t="s">
        <v>1596</v>
      </c>
      <c r="B915" s="162" t="s">
        <v>14271</v>
      </c>
      <c r="C915" s="21" t="s">
        <v>190</v>
      </c>
      <c r="D915" s="109" t="s">
        <v>13228</v>
      </c>
      <c r="E915" s="109"/>
      <c r="F915" s="391" t="s">
        <v>14272</v>
      </c>
      <c r="G915" s="23" t="s">
        <v>14205</v>
      </c>
      <c r="H915" s="23" t="s">
        <v>14002</v>
      </c>
      <c r="I915" s="23"/>
      <c r="J915" s="23"/>
      <c r="K915" s="23"/>
      <c r="L915" s="375"/>
      <c r="M915" s="351" t="s">
        <v>7787</v>
      </c>
      <c r="N915" s="267">
        <f t="shared" si="149"/>
        <v>0</v>
      </c>
      <c r="O915" s="268">
        <f t="shared" si="150"/>
        <v>0</v>
      </c>
      <c r="P915" s="248"/>
      <c r="Q915" s="239"/>
      <c r="R915" s="239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/>
      <c r="AC915" s="196">
        <f t="shared" si="155"/>
        <v>0</v>
      </c>
      <c r="AD915" s="196">
        <f t="shared" si="156"/>
        <v>0</v>
      </c>
      <c r="AE915" s="196">
        <f t="shared" si="157"/>
        <v>0</v>
      </c>
      <c r="AF915" s="2">
        <f t="shared" si="158"/>
        <v>0</v>
      </c>
      <c r="AG915" s="2">
        <f t="shared" si="159"/>
        <v>0</v>
      </c>
    </row>
    <row r="916" spans="1:33">
      <c r="A916" s="20" t="s">
        <v>1597</v>
      </c>
      <c r="B916" s="162" t="s">
        <v>5833</v>
      </c>
      <c r="C916" s="21" t="s">
        <v>191</v>
      </c>
      <c r="D916" s="109" t="s">
        <v>4070</v>
      </c>
      <c r="E916" s="109" t="s">
        <v>26335</v>
      </c>
      <c r="F916" s="391" t="s">
        <v>23568</v>
      </c>
      <c r="G916" s="23" t="s">
        <v>23569</v>
      </c>
      <c r="H916" s="23" t="s">
        <v>23570</v>
      </c>
      <c r="I916" s="23" t="s">
        <v>5416</v>
      </c>
      <c r="J916" s="23" t="s">
        <v>5334</v>
      </c>
      <c r="K916" s="23" t="s">
        <v>23571</v>
      </c>
      <c r="L916" s="375"/>
      <c r="M916" s="351" t="s">
        <v>7787</v>
      </c>
      <c r="N916" s="267">
        <f t="shared" si="149"/>
        <v>0</v>
      </c>
      <c r="O916" s="268">
        <f t="shared" si="150"/>
        <v>1000</v>
      </c>
      <c r="P916" s="243">
        <f>1000-500+1000-500</f>
        <v>1000</v>
      </c>
      <c r="Q916" s="239"/>
      <c r="R916" s="243"/>
      <c r="S916" s="239"/>
      <c r="T916" s="239"/>
      <c r="U916" s="240"/>
      <c r="V916" s="240"/>
      <c r="W916" s="240"/>
      <c r="X916" s="278"/>
      <c r="Y916" s="239"/>
      <c r="Z916" s="237"/>
      <c r="AA916" s="279"/>
      <c r="AB916" s="238" t="s">
        <v>27327</v>
      </c>
      <c r="AC916" s="196">
        <f t="shared" si="155"/>
        <v>1000</v>
      </c>
      <c r="AD916" s="196">
        <f t="shared" si="156"/>
        <v>1000</v>
      </c>
      <c r="AE916" s="196">
        <f t="shared" si="157"/>
        <v>0</v>
      </c>
      <c r="AF916" s="2">
        <f t="shared" si="158"/>
        <v>1000</v>
      </c>
      <c r="AG916" s="2">
        <f t="shared" si="159"/>
        <v>0</v>
      </c>
    </row>
    <row r="917" spans="1:33">
      <c r="A917" s="20" t="s">
        <v>23820</v>
      </c>
      <c r="B917" s="162"/>
      <c r="C917" s="21" t="s">
        <v>191</v>
      </c>
      <c r="D917" s="109" t="s">
        <v>14126</v>
      </c>
      <c r="E917" s="109" t="s">
        <v>23893</v>
      </c>
      <c r="F917" s="391" t="s">
        <v>14273</v>
      </c>
      <c r="G917" s="23" t="s">
        <v>17171</v>
      </c>
      <c r="H917" s="23" t="s">
        <v>14274</v>
      </c>
      <c r="I917" s="318" t="s">
        <v>14190</v>
      </c>
      <c r="J917" s="23" t="s">
        <v>14002</v>
      </c>
      <c r="K917" s="318" t="s">
        <v>14275</v>
      </c>
      <c r="L917" s="375">
        <v>1420</v>
      </c>
      <c r="M917" s="351" t="s">
        <v>45</v>
      </c>
      <c r="N917" s="267">
        <f t="shared" si="149"/>
        <v>1420</v>
      </c>
      <c r="O917" s="268">
        <f t="shared" si="150"/>
        <v>1800</v>
      </c>
      <c r="P917" s="243"/>
      <c r="Q917" s="239"/>
      <c r="R917" s="243"/>
      <c r="S917" s="243"/>
      <c r="T917" s="239"/>
      <c r="U917" s="240">
        <f>1400-300-100-100-200-200+1700+2200+700-1800-200-1200-100</f>
        <v>1800</v>
      </c>
      <c r="V917" s="240"/>
      <c r="W917" s="240"/>
      <c r="X917" s="278"/>
      <c r="Y917" s="240"/>
      <c r="Z917" s="237"/>
      <c r="AA917" s="240"/>
      <c r="AB917" s="238" t="s">
        <v>27651</v>
      </c>
      <c r="AC917" s="196">
        <f t="shared" si="155"/>
        <v>1800</v>
      </c>
      <c r="AD917" s="196">
        <f t="shared" si="156"/>
        <v>1800</v>
      </c>
      <c r="AE917" s="196">
        <f t="shared" si="157"/>
        <v>0</v>
      </c>
      <c r="AF917" s="2">
        <f t="shared" si="158"/>
        <v>1800</v>
      </c>
      <c r="AG917" s="2">
        <f t="shared" si="159"/>
        <v>0</v>
      </c>
    </row>
    <row r="918" spans="1:33">
      <c r="A918" s="20" t="s">
        <v>8568</v>
      </c>
      <c r="B918" s="162"/>
      <c r="C918" s="21" t="s">
        <v>14276</v>
      </c>
      <c r="D918" s="109" t="s">
        <v>14126</v>
      </c>
      <c r="E918" s="109" t="s">
        <v>14053</v>
      </c>
      <c r="F918" s="391" t="s">
        <v>14273</v>
      </c>
      <c r="G918" s="23" t="s">
        <v>14277</v>
      </c>
      <c r="H918" s="23"/>
      <c r="I918" s="23"/>
      <c r="J918" s="23"/>
      <c r="K918" s="23"/>
      <c r="L918" s="375" t="s">
        <v>7787</v>
      </c>
      <c r="M918" s="351" t="s">
        <v>7787</v>
      </c>
      <c r="N918" s="267">
        <f t="shared" si="149"/>
        <v>0</v>
      </c>
      <c r="O918" s="268">
        <f t="shared" si="150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5"/>
        <v>0</v>
      </c>
      <c r="AD918" s="196">
        <f t="shared" si="156"/>
        <v>0</v>
      </c>
      <c r="AE918" s="196">
        <f t="shared" si="157"/>
        <v>0</v>
      </c>
      <c r="AF918" s="2">
        <f t="shared" si="158"/>
        <v>0</v>
      </c>
      <c r="AG918" s="2">
        <f t="shared" si="159"/>
        <v>0</v>
      </c>
    </row>
    <row r="919" spans="1:33">
      <c r="A919" s="20" t="s">
        <v>17955</v>
      </c>
      <c r="B919" s="162"/>
      <c r="C919" s="21" t="s">
        <v>14276</v>
      </c>
      <c r="D919" s="109" t="s">
        <v>3137</v>
      </c>
      <c r="E919" s="109" t="s">
        <v>18322</v>
      </c>
      <c r="F919" s="391" t="s">
        <v>8974</v>
      </c>
      <c r="G919" s="23" t="s">
        <v>9143</v>
      </c>
      <c r="H919" s="23" t="s">
        <v>17522</v>
      </c>
      <c r="I919" s="23" t="s">
        <v>24450</v>
      </c>
      <c r="J919" s="23" t="s">
        <v>5416</v>
      </c>
      <c r="K919" s="23"/>
      <c r="L919" s="375" t="s">
        <v>7787</v>
      </c>
      <c r="M919" s="351" t="s">
        <v>7787</v>
      </c>
      <c r="N919" s="267">
        <f t="shared" si="149"/>
        <v>0</v>
      </c>
      <c r="O919" s="268">
        <f t="shared" si="150"/>
        <v>0</v>
      </c>
      <c r="P919" s="239"/>
      <c r="Q919" s="241"/>
      <c r="R919" s="239"/>
      <c r="S919" s="239"/>
      <c r="T919" s="239"/>
      <c r="U919" s="240"/>
      <c r="V919" s="240"/>
      <c r="W919" s="240"/>
      <c r="X919" s="278"/>
      <c r="Y919" s="239"/>
      <c r="Z919" s="237"/>
      <c r="AA919" s="279"/>
      <c r="AB919" s="238"/>
      <c r="AC919" s="196">
        <f t="shared" si="155"/>
        <v>0</v>
      </c>
      <c r="AD919" s="196">
        <f t="shared" si="156"/>
        <v>0</v>
      </c>
      <c r="AE919" s="196">
        <f t="shared" si="157"/>
        <v>0</v>
      </c>
      <c r="AF919" s="2">
        <f t="shared" si="158"/>
        <v>0</v>
      </c>
      <c r="AG919" s="2">
        <f t="shared" si="159"/>
        <v>0</v>
      </c>
    </row>
    <row r="920" spans="1:33">
      <c r="A920" s="20" t="s">
        <v>8914</v>
      </c>
      <c r="B920" s="162" t="s">
        <v>8973</v>
      </c>
      <c r="C920" s="21" t="s">
        <v>191</v>
      </c>
      <c r="D920" s="109" t="s">
        <v>14278</v>
      </c>
      <c r="E920" s="109" t="s">
        <v>14279</v>
      </c>
      <c r="F920" s="391" t="s">
        <v>14273</v>
      </c>
      <c r="G920" s="23" t="s">
        <v>14280</v>
      </c>
      <c r="H920" s="23"/>
      <c r="I920" s="23"/>
      <c r="J920" s="23"/>
      <c r="K920" s="23"/>
      <c r="L920" s="375" t="s">
        <v>7787</v>
      </c>
      <c r="M920" s="351" t="s">
        <v>7787</v>
      </c>
      <c r="N920" s="267">
        <f t="shared" si="149"/>
        <v>0</v>
      </c>
      <c r="O920" s="268">
        <f t="shared" si="150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37"/>
      <c r="Z920" s="237"/>
      <c r="AA920" s="279"/>
      <c r="AB920" s="238"/>
      <c r="AC920" s="196">
        <f t="shared" si="155"/>
        <v>0</v>
      </c>
      <c r="AD920" s="196">
        <f t="shared" si="156"/>
        <v>0</v>
      </c>
      <c r="AE920" s="196">
        <f t="shared" si="157"/>
        <v>0</v>
      </c>
      <c r="AF920" s="2">
        <f t="shared" si="158"/>
        <v>0</v>
      </c>
      <c r="AG920" s="2">
        <f t="shared" si="159"/>
        <v>0</v>
      </c>
    </row>
    <row r="921" spans="1:33">
      <c r="A921" s="20" t="s">
        <v>20205</v>
      </c>
      <c r="B921" s="162"/>
      <c r="C921" s="21" t="s">
        <v>191</v>
      </c>
      <c r="D921" s="109" t="s">
        <v>20328</v>
      </c>
      <c r="E921" s="109"/>
      <c r="F921" s="391" t="s">
        <v>8974</v>
      </c>
      <c r="G921" s="23" t="s">
        <v>20334</v>
      </c>
      <c r="H921" s="23"/>
      <c r="I921" s="23"/>
      <c r="J921" s="23"/>
      <c r="K921" s="23"/>
      <c r="L921" s="375" t="s">
        <v>7787</v>
      </c>
      <c r="M921" s="351"/>
      <c r="N921" s="267">
        <f t="shared" si="149"/>
        <v>0</v>
      </c>
      <c r="O921" s="268">
        <f t="shared" si="150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43"/>
      <c r="Z921" s="237"/>
      <c r="AA921" s="279"/>
      <c r="AB921" s="238"/>
      <c r="AC921" s="196">
        <f t="shared" si="155"/>
        <v>0</v>
      </c>
      <c r="AD921" s="196">
        <f t="shared" si="156"/>
        <v>0</v>
      </c>
      <c r="AE921" s="196">
        <f t="shared" si="157"/>
        <v>0</v>
      </c>
      <c r="AF921" s="2">
        <f t="shared" si="158"/>
        <v>0</v>
      </c>
      <c r="AG921" s="2">
        <f t="shared" si="159"/>
        <v>0</v>
      </c>
    </row>
    <row r="922" spans="1:33">
      <c r="A922" s="20" t="s">
        <v>1598</v>
      </c>
      <c r="B922" s="152" t="s">
        <v>5834</v>
      </c>
      <c r="C922" s="21" t="s">
        <v>192</v>
      </c>
      <c r="D922" s="109" t="s">
        <v>14126</v>
      </c>
      <c r="E922" s="109"/>
      <c r="F922" s="391" t="s">
        <v>14281</v>
      </c>
      <c r="G922" s="23" t="s">
        <v>14076</v>
      </c>
      <c r="H922" s="23" t="s">
        <v>14059</v>
      </c>
      <c r="I922" s="23" t="s">
        <v>25231</v>
      </c>
      <c r="J922" s="23" t="s">
        <v>25981</v>
      </c>
      <c r="K922" s="23"/>
      <c r="L922" s="375" t="s">
        <v>45</v>
      </c>
      <c r="M922" s="351"/>
      <c r="N922" s="267">
        <f t="shared" si="149"/>
        <v>0</v>
      </c>
      <c r="O922" s="268">
        <f t="shared" si="150"/>
        <v>0</v>
      </c>
      <c r="P922" s="239"/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/>
      <c r="AC922" s="196">
        <f t="shared" si="155"/>
        <v>0</v>
      </c>
      <c r="AD922" s="196">
        <f t="shared" si="156"/>
        <v>0</v>
      </c>
      <c r="AE922" s="196">
        <f t="shared" si="157"/>
        <v>0</v>
      </c>
      <c r="AF922" s="2">
        <f t="shared" si="158"/>
        <v>0</v>
      </c>
      <c r="AG922" s="2">
        <f t="shared" si="159"/>
        <v>0</v>
      </c>
    </row>
    <row r="923" spans="1:33">
      <c r="A923" s="20" t="s">
        <v>24581</v>
      </c>
      <c r="B923" s="152"/>
      <c r="C923" s="21" t="s">
        <v>192</v>
      </c>
      <c r="D923" s="109" t="s">
        <v>3137</v>
      </c>
      <c r="E923" s="109"/>
      <c r="F923" s="391" t="s">
        <v>4440</v>
      </c>
      <c r="G923" s="23" t="s">
        <v>13970</v>
      </c>
      <c r="H923" s="23"/>
      <c r="I923" s="23"/>
      <c r="J923" s="23"/>
      <c r="K923" s="23"/>
      <c r="L923" s="375" t="s">
        <v>45</v>
      </c>
      <c r="M923" s="351" t="s">
        <v>7787</v>
      </c>
      <c r="N923" s="267">
        <f t="shared" ref="N923" si="160">SUM(L923:M923)</f>
        <v>0</v>
      </c>
      <c r="O923" s="268">
        <f t="shared" ref="O923" si="161">SUM(P923:Z923)</f>
        <v>250</v>
      </c>
      <c r="P923" s="239">
        <f>400+700-500-500+1000-800+750-100-300-300-100</f>
        <v>250</v>
      </c>
      <c r="Q923" s="239"/>
      <c r="R923" s="239"/>
      <c r="S923" s="239"/>
      <c r="T923" s="239"/>
      <c r="U923" s="240"/>
      <c r="V923" s="240"/>
      <c r="W923" s="240"/>
      <c r="X923" s="278"/>
      <c r="Y923" s="239"/>
      <c r="Z923" s="237"/>
      <c r="AA923" s="279"/>
      <c r="AB923" s="238" t="s">
        <v>27461</v>
      </c>
      <c r="AC923" s="196">
        <f t="shared" si="155"/>
        <v>250</v>
      </c>
      <c r="AD923" s="196">
        <f t="shared" si="156"/>
        <v>250</v>
      </c>
      <c r="AE923" s="196">
        <f t="shared" si="157"/>
        <v>0</v>
      </c>
      <c r="AF923" s="2">
        <f t="shared" si="158"/>
        <v>250</v>
      </c>
      <c r="AG923" s="2">
        <f t="shared" si="159"/>
        <v>0</v>
      </c>
    </row>
    <row r="924" spans="1:33">
      <c r="A924" s="20" t="s">
        <v>1599</v>
      </c>
      <c r="B924" s="161"/>
      <c r="C924" s="21" t="s">
        <v>193</v>
      </c>
      <c r="D924" s="109" t="s">
        <v>13207</v>
      </c>
      <c r="E924" s="109"/>
      <c r="F924" s="391" t="s">
        <v>14282</v>
      </c>
      <c r="G924" s="23"/>
      <c r="H924" s="23"/>
      <c r="I924" s="23"/>
      <c r="J924" s="23"/>
      <c r="K924" s="23"/>
      <c r="L924" s="350"/>
      <c r="M924" s="351"/>
      <c r="N924" s="267">
        <f t="shared" ref="N924:N988" si="162">SUM(L924:M924)</f>
        <v>0</v>
      </c>
      <c r="O924" s="268">
        <f t="shared" ref="O924:O988" si="163">SUM(P924:Z924)</f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5"/>
        <v>0</v>
      </c>
      <c r="AD924" s="196">
        <f t="shared" si="156"/>
        <v>0</v>
      </c>
      <c r="AE924" s="196">
        <f t="shared" si="157"/>
        <v>0</v>
      </c>
      <c r="AF924" s="2">
        <f t="shared" si="158"/>
        <v>0</v>
      </c>
      <c r="AG924" s="2">
        <f t="shared" si="159"/>
        <v>0</v>
      </c>
    </row>
    <row r="925" spans="1:33">
      <c r="A925" s="20" t="s">
        <v>1600</v>
      </c>
      <c r="B925" s="161"/>
      <c r="C925" s="21" t="s">
        <v>194</v>
      </c>
      <c r="D925" s="109" t="s">
        <v>13207</v>
      </c>
      <c r="E925" s="109"/>
      <c r="F925" s="391" t="s">
        <v>14283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2"/>
        <v>0</v>
      </c>
      <c r="O925" s="268">
        <f t="shared" si="163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79"/>
      <c r="AB925" s="238"/>
      <c r="AC925" s="196">
        <f t="shared" si="155"/>
        <v>0</v>
      </c>
      <c r="AD925" s="196">
        <f t="shared" si="156"/>
        <v>0</v>
      </c>
      <c r="AE925" s="196">
        <f t="shared" si="157"/>
        <v>0</v>
      </c>
      <c r="AF925" s="2">
        <f t="shared" si="158"/>
        <v>0</v>
      </c>
      <c r="AG925" s="2">
        <f t="shared" si="159"/>
        <v>0</v>
      </c>
    </row>
    <row r="926" spans="1:33">
      <c r="A926" s="20" t="s">
        <v>1601</v>
      </c>
      <c r="B926" s="150"/>
      <c r="C926" s="21" t="s">
        <v>194</v>
      </c>
      <c r="D926" s="109" t="s">
        <v>13207</v>
      </c>
      <c r="E926" s="109"/>
      <c r="F926" s="391" t="s">
        <v>14285</v>
      </c>
      <c r="G926" s="23" t="s">
        <v>14284</v>
      </c>
      <c r="H926" s="23"/>
      <c r="I926" s="23"/>
      <c r="J926" s="23"/>
      <c r="K926" s="23"/>
      <c r="L926" s="350"/>
      <c r="M926" s="351"/>
      <c r="N926" s="267">
        <f t="shared" si="162"/>
        <v>0</v>
      </c>
      <c r="O926" s="268">
        <f t="shared" si="163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85"/>
      <c r="AB926" s="238"/>
      <c r="AC926" s="196">
        <f t="shared" si="155"/>
        <v>0</v>
      </c>
      <c r="AD926" s="196">
        <f t="shared" si="156"/>
        <v>0</v>
      </c>
      <c r="AE926" s="196">
        <f t="shared" si="157"/>
        <v>0</v>
      </c>
      <c r="AF926" s="2">
        <f t="shared" si="158"/>
        <v>0</v>
      </c>
      <c r="AG926" s="2">
        <f t="shared" si="159"/>
        <v>0</v>
      </c>
    </row>
    <row r="927" spans="1:33">
      <c r="A927" s="20" t="s">
        <v>1602</v>
      </c>
      <c r="B927" s="161"/>
      <c r="C927" s="21" t="s">
        <v>195</v>
      </c>
      <c r="D927" s="109" t="s">
        <v>13228</v>
      </c>
      <c r="E927" s="109"/>
      <c r="F927" s="391" t="s">
        <v>14286</v>
      </c>
      <c r="G927" s="23" t="s">
        <v>13986</v>
      </c>
      <c r="H927" s="23"/>
      <c r="I927" s="23"/>
      <c r="J927" s="23"/>
      <c r="K927" s="23"/>
      <c r="L927" s="350"/>
      <c r="M927" s="351"/>
      <c r="N927" s="267">
        <f t="shared" si="162"/>
        <v>0</v>
      </c>
      <c r="O927" s="268">
        <f t="shared" si="163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5"/>
        <v>0</v>
      </c>
      <c r="AD927" s="196">
        <f t="shared" si="156"/>
        <v>0</v>
      </c>
      <c r="AE927" s="196">
        <f t="shared" si="157"/>
        <v>0</v>
      </c>
      <c r="AF927" s="2">
        <f t="shared" si="158"/>
        <v>0</v>
      </c>
      <c r="AG927" s="2">
        <f t="shared" si="159"/>
        <v>0</v>
      </c>
    </row>
    <row r="928" spans="1:33">
      <c r="A928" s="20" t="s">
        <v>12834</v>
      </c>
      <c r="B928" s="150"/>
      <c r="C928" s="21" t="s">
        <v>196</v>
      </c>
      <c r="D928" s="109" t="s">
        <v>13223</v>
      </c>
      <c r="E928" s="109"/>
      <c r="F928" s="391" t="s">
        <v>14287</v>
      </c>
      <c r="G928" s="23" t="s">
        <v>13997</v>
      </c>
      <c r="H928" s="23"/>
      <c r="I928" s="23"/>
      <c r="J928" s="23"/>
      <c r="K928" s="23"/>
      <c r="L928" s="375" t="s">
        <v>7787</v>
      </c>
      <c r="M928" s="351" t="s">
        <v>7787</v>
      </c>
      <c r="N928" s="267">
        <f t="shared" si="162"/>
        <v>0</v>
      </c>
      <c r="O928" s="268">
        <f t="shared" si="163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5"/>
        <v>0</v>
      </c>
      <c r="AD928" s="196">
        <f t="shared" si="156"/>
        <v>0</v>
      </c>
      <c r="AE928" s="196">
        <f t="shared" si="157"/>
        <v>0</v>
      </c>
      <c r="AF928" s="2">
        <f t="shared" si="158"/>
        <v>0</v>
      </c>
      <c r="AG928" s="2">
        <f t="shared" si="159"/>
        <v>0</v>
      </c>
    </row>
    <row r="929" spans="1:33">
      <c r="A929" s="20" t="s">
        <v>1603</v>
      </c>
      <c r="B929" s="150"/>
      <c r="C929" s="21" t="s">
        <v>196</v>
      </c>
      <c r="D929" s="109" t="s">
        <v>14288</v>
      </c>
      <c r="E929" s="109"/>
      <c r="F929" s="391" t="s">
        <v>14287</v>
      </c>
      <c r="G929" s="23"/>
      <c r="H929" s="23"/>
      <c r="I929" s="23"/>
      <c r="J929" s="23"/>
      <c r="K929" s="23"/>
      <c r="L929" s="350"/>
      <c r="M929" s="351"/>
      <c r="N929" s="267">
        <f t="shared" si="162"/>
        <v>0</v>
      </c>
      <c r="O929" s="268">
        <f t="shared" si="163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79"/>
      <c r="AB929" s="238"/>
      <c r="AC929" s="196">
        <f t="shared" si="155"/>
        <v>0</v>
      </c>
      <c r="AD929" s="196">
        <f t="shared" si="156"/>
        <v>0</v>
      </c>
      <c r="AE929" s="196">
        <f t="shared" si="157"/>
        <v>0</v>
      </c>
      <c r="AF929" s="2">
        <f t="shared" si="158"/>
        <v>0</v>
      </c>
      <c r="AG929" s="2">
        <f t="shared" si="159"/>
        <v>0</v>
      </c>
    </row>
    <row r="930" spans="1:33">
      <c r="A930" s="20" t="s">
        <v>1604</v>
      </c>
      <c r="B930" s="150"/>
      <c r="C930" s="21" t="s">
        <v>197</v>
      </c>
      <c r="D930" s="109" t="s">
        <v>14126</v>
      </c>
      <c r="E930" s="109"/>
      <c r="F930" s="391" t="s">
        <v>14289</v>
      </c>
      <c r="G930" s="23" t="s">
        <v>14290</v>
      </c>
      <c r="H930" s="23"/>
      <c r="I930" s="23"/>
      <c r="J930" s="23"/>
      <c r="K930" s="23"/>
      <c r="L930" s="350"/>
      <c r="M930" s="351"/>
      <c r="N930" s="267">
        <f t="shared" si="162"/>
        <v>0</v>
      </c>
      <c r="O930" s="268">
        <f t="shared" si="163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85"/>
      <c r="AB930" s="238"/>
      <c r="AC930" s="196">
        <f t="shared" si="155"/>
        <v>0</v>
      </c>
      <c r="AD930" s="196">
        <f t="shared" si="156"/>
        <v>0</v>
      </c>
      <c r="AE930" s="196">
        <f t="shared" si="157"/>
        <v>0</v>
      </c>
      <c r="AF930" s="2">
        <f t="shared" si="158"/>
        <v>0</v>
      </c>
      <c r="AG930" s="2">
        <f t="shared" si="159"/>
        <v>0</v>
      </c>
    </row>
    <row r="931" spans="1:33">
      <c r="A931" s="20" t="s">
        <v>6912</v>
      </c>
      <c r="B931" s="150"/>
      <c r="C931" s="21" t="s">
        <v>198</v>
      </c>
      <c r="D931" s="109" t="s">
        <v>13991</v>
      </c>
      <c r="E931" s="109"/>
      <c r="F931" s="391" t="s">
        <v>4446</v>
      </c>
      <c r="G931" s="23" t="s">
        <v>14002</v>
      </c>
      <c r="H931" s="23" t="s">
        <v>13215</v>
      </c>
      <c r="I931" s="23"/>
      <c r="J931" s="23"/>
      <c r="K931" s="23"/>
      <c r="L931" s="365" t="s">
        <v>7787</v>
      </c>
      <c r="M931" s="351" t="s">
        <v>7787</v>
      </c>
      <c r="N931" s="267">
        <f t="shared" si="162"/>
        <v>0</v>
      </c>
      <c r="O931" s="268">
        <f t="shared" si="163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79"/>
      <c r="AB931" s="238"/>
      <c r="AC931" s="196">
        <f t="shared" si="155"/>
        <v>0</v>
      </c>
      <c r="AD931" s="196">
        <f t="shared" si="156"/>
        <v>0</v>
      </c>
      <c r="AE931" s="196">
        <f t="shared" si="157"/>
        <v>0</v>
      </c>
      <c r="AF931" s="2">
        <f t="shared" si="158"/>
        <v>0</v>
      </c>
      <c r="AG931" s="2">
        <f t="shared" si="159"/>
        <v>0</v>
      </c>
    </row>
    <row r="932" spans="1:33">
      <c r="A932" s="20" t="s">
        <v>7876</v>
      </c>
      <c r="B932" s="150"/>
      <c r="C932" s="21" t="s">
        <v>198</v>
      </c>
      <c r="D932" s="109" t="s">
        <v>14142</v>
      </c>
      <c r="E932" s="109"/>
      <c r="F932" s="391" t="s">
        <v>4446</v>
      </c>
      <c r="G932" s="23" t="s">
        <v>14144</v>
      </c>
      <c r="H932" s="23"/>
      <c r="I932" s="23"/>
      <c r="J932" s="23"/>
      <c r="K932" s="23"/>
      <c r="L932" s="365"/>
      <c r="M932" s="351" t="s">
        <v>7787</v>
      </c>
      <c r="N932" s="267">
        <f t="shared" si="162"/>
        <v>0</v>
      </c>
      <c r="O932" s="268">
        <f t="shared" si="163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85"/>
      <c r="AB932" s="238"/>
      <c r="AC932" s="196">
        <f t="shared" si="155"/>
        <v>0</v>
      </c>
      <c r="AD932" s="196">
        <f t="shared" si="156"/>
        <v>0</v>
      </c>
      <c r="AE932" s="196">
        <f t="shared" si="157"/>
        <v>0</v>
      </c>
      <c r="AF932" s="2">
        <f t="shared" si="158"/>
        <v>0</v>
      </c>
      <c r="AG932" s="2">
        <f t="shared" si="159"/>
        <v>0</v>
      </c>
    </row>
    <row r="933" spans="1:33">
      <c r="A933" s="20" t="s">
        <v>1606</v>
      </c>
      <c r="B933" s="150"/>
      <c r="C933" s="21" t="s">
        <v>198</v>
      </c>
      <c r="D933" s="109" t="s">
        <v>14291</v>
      </c>
      <c r="E933" s="109" t="s">
        <v>13992</v>
      </c>
      <c r="F933" s="391" t="s">
        <v>14292</v>
      </c>
      <c r="G933" s="23"/>
      <c r="H933" s="23"/>
      <c r="I933" s="23"/>
      <c r="J933" s="23"/>
      <c r="K933" s="23"/>
      <c r="L933" s="350"/>
      <c r="M933" s="351"/>
      <c r="N933" s="267">
        <f t="shared" si="162"/>
        <v>0</v>
      </c>
      <c r="O933" s="268">
        <f t="shared" si="163"/>
        <v>0</v>
      </c>
      <c r="P933" s="239"/>
      <c r="Q933" s="239"/>
      <c r="R933" s="239"/>
      <c r="S933" s="239"/>
      <c r="T933" s="239"/>
      <c r="U933" s="240"/>
      <c r="V933" s="240"/>
      <c r="W933" s="240"/>
      <c r="X933" s="278"/>
      <c r="Y933" s="237"/>
      <c r="Z933" s="237"/>
      <c r="AA933" s="279"/>
      <c r="AB933" s="238"/>
      <c r="AC933" s="196">
        <f t="shared" si="155"/>
        <v>0</v>
      </c>
      <c r="AD933" s="196">
        <f t="shared" si="156"/>
        <v>0</v>
      </c>
      <c r="AE933" s="196">
        <f t="shared" si="157"/>
        <v>0</v>
      </c>
      <c r="AF933" s="2">
        <f t="shared" si="158"/>
        <v>0</v>
      </c>
      <c r="AG933" s="2">
        <f t="shared" si="159"/>
        <v>0</v>
      </c>
    </row>
    <row r="934" spans="1:33">
      <c r="A934" s="20" t="s">
        <v>1605</v>
      </c>
      <c r="B934" s="150"/>
      <c r="C934" s="21" t="s">
        <v>198</v>
      </c>
      <c r="D934" s="109" t="s">
        <v>4072</v>
      </c>
      <c r="E934" s="109"/>
      <c r="F934" s="391" t="s">
        <v>4446</v>
      </c>
      <c r="G934" s="23" t="s">
        <v>14002</v>
      </c>
      <c r="H934" s="23"/>
      <c r="I934" s="23"/>
      <c r="J934" s="23"/>
      <c r="K934" s="23"/>
      <c r="L934" s="350"/>
      <c r="M934" s="351"/>
      <c r="N934" s="267">
        <f t="shared" si="162"/>
        <v>0</v>
      </c>
      <c r="O934" s="268">
        <f t="shared" si="163"/>
        <v>0</v>
      </c>
      <c r="P934" s="248"/>
      <c r="Q934" s="239"/>
      <c r="R934" s="239"/>
      <c r="S934" s="239"/>
      <c r="T934" s="239"/>
      <c r="U934" s="240"/>
      <c r="V934" s="248"/>
      <c r="W934" s="240"/>
      <c r="X934" s="278"/>
      <c r="Y934" s="239"/>
      <c r="Z934" s="237"/>
      <c r="AA934" s="285"/>
      <c r="AB934" s="238"/>
      <c r="AC934" s="196">
        <f t="shared" si="155"/>
        <v>0</v>
      </c>
      <c r="AD934" s="196">
        <f t="shared" si="156"/>
        <v>0</v>
      </c>
      <c r="AE934" s="196">
        <f t="shared" si="157"/>
        <v>0</v>
      </c>
      <c r="AF934" s="2">
        <f t="shared" si="158"/>
        <v>0</v>
      </c>
      <c r="AG934" s="2">
        <f t="shared" si="159"/>
        <v>0</v>
      </c>
    </row>
    <row r="935" spans="1:33">
      <c r="A935" s="20" t="s">
        <v>1607</v>
      </c>
      <c r="B935" s="162" t="s">
        <v>5835</v>
      </c>
      <c r="C935" s="21" t="s">
        <v>199</v>
      </c>
      <c r="D935" s="109" t="s">
        <v>14293</v>
      </c>
      <c r="E935" s="109"/>
      <c r="F935" s="391" t="s">
        <v>14294</v>
      </c>
      <c r="G935" s="23" t="s">
        <v>13902</v>
      </c>
      <c r="H935" s="23" t="s">
        <v>13249</v>
      </c>
      <c r="I935" s="23"/>
      <c r="J935" s="23"/>
      <c r="K935" s="23"/>
      <c r="L935" s="375" t="s">
        <v>7787</v>
      </c>
      <c r="M935" s="351" t="s">
        <v>7787</v>
      </c>
      <c r="N935" s="267">
        <f t="shared" si="162"/>
        <v>0</v>
      </c>
      <c r="O935" s="268">
        <f t="shared" si="163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5"/>
        <v>0</v>
      </c>
      <c r="AD935" s="196">
        <f t="shared" si="156"/>
        <v>0</v>
      </c>
      <c r="AE935" s="196">
        <f t="shared" si="157"/>
        <v>0</v>
      </c>
      <c r="AF935" s="2">
        <f t="shared" si="158"/>
        <v>0</v>
      </c>
      <c r="AG935" s="2">
        <f t="shared" si="159"/>
        <v>0</v>
      </c>
    </row>
    <row r="936" spans="1:33">
      <c r="A936" s="20" t="s">
        <v>1608</v>
      </c>
      <c r="B936" s="150"/>
      <c r="C936" s="21" t="s">
        <v>200</v>
      </c>
      <c r="D936" s="109" t="s">
        <v>14126</v>
      </c>
      <c r="E936" s="109"/>
      <c r="F936" s="391" t="s">
        <v>14295</v>
      </c>
      <c r="G936" s="23"/>
      <c r="H936" s="23"/>
      <c r="I936" s="23"/>
      <c r="J936" s="23"/>
      <c r="K936" s="23"/>
      <c r="L936" s="350"/>
      <c r="M936" s="351"/>
      <c r="N936" s="267">
        <f t="shared" si="162"/>
        <v>0</v>
      </c>
      <c r="O936" s="268">
        <f t="shared" si="163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5"/>
        <v>0</v>
      </c>
      <c r="AD936" s="196">
        <f t="shared" si="156"/>
        <v>0</v>
      </c>
      <c r="AE936" s="196">
        <f t="shared" si="157"/>
        <v>0</v>
      </c>
      <c r="AF936" s="2">
        <f t="shared" si="158"/>
        <v>0</v>
      </c>
      <c r="AG936" s="2">
        <f t="shared" si="159"/>
        <v>0</v>
      </c>
    </row>
    <row r="937" spans="1:33">
      <c r="A937" s="20" t="s">
        <v>1609</v>
      </c>
      <c r="B937" s="150"/>
      <c r="C937" s="21" t="s">
        <v>201</v>
      </c>
      <c r="D937" s="109" t="s">
        <v>14296</v>
      </c>
      <c r="E937" s="109" t="s">
        <v>14075</v>
      </c>
      <c r="F937" s="391" t="s">
        <v>14297</v>
      </c>
      <c r="G937" s="23" t="s">
        <v>13975</v>
      </c>
      <c r="H937" s="23"/>
      <c r="I937" s="23"/>
      <c r="J937" s="23"/>
      <c r="K937" s="23"/>
      <c r="L937" s="375" t="s">
        <v>7787</v>
      </c>
      <c r="M937" s="351"/>
      <c r="N937" s="267">
        <f t="shared" si="162"/>
        <v>0</v>
      </c>
      <c r="O937" s="268">
        <f t="shared" si="163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79"/>
      <c r="AB937" s="238"/>
      <c r="AC937" s="196">
        <f t="shared" si="155"/>
        <v>0</v>
      </c>
      <c r="AD937" s="196">
        <f t="shared" si="156"/>
        <v>0</v>
      </c>
      <c r="AE937" s="196">
        <f t="shared" si="157"/>
        <v>0</v>
      </c>
      <c r="AF937" s="2">
        <f t="shared" si="158"/>
        <v>0</v>
      </c>
      <c r="AG937" s="2">
        <f t="shared" si="159"/>
        <v>0</v>
      </c>
    </row>
    <row r="938" spans="1:33">
      <c r="A938" s="20" t="s">
        <v>1613</v>
      </c>
      <c r="B938" s="150"/>
      <c r="C938" s="21" t="s">
        <v>202</v>
      </c>
      <c r="D938" s="109" t="s">
        <v>14291</v>
      </c>
      <c r="E938" s="109" t="s">
        <v>13994</v>
      </c>
      <c r="F938" s="391" t="s">
        <v>14298</v>
      </c>
      <c r="G938" s="23" t="s">
        <v>14023</v>
      </c>
      <c r="H938" s="23"/>
      <c r="I938" s="23"/>
      <c r="J938" s="23"/>
      <c r="K938" s="23"/>
      <c r="L938" s="375" t="s">
        <v>7787</v>
      </c>
      <c r="M938" s="351" t="s">
        <v>7787</v>
      </c>
      <c r="N938" s="267">
        <f t="shared" si="162"/>
        <v>0</v>
      </c>
      <c r="O938" s="268">
        <f t="shared" si="163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5"/>
        <v>0</v>
      </c>
      <c r="AD938" s="196">
        <f t="shared" si="156"/>
        <v>0</v>
      </c>
      <c r="AE938" s="196">
        <f t="shared" si="157"/>
        <v>0</v>
      </c>
      <c r="AF938" s="2">
        <f t="shared" si="158"/>
        <v>0</v>
      </c>
      <c r="AG938" s="2">
        <f t="shared" si="159"/>
        <v>0</v>
      </c>
    </row>
    <row r="939" spans="1:33">
      <c r="A939" s="20" t="s">
        <v>1610</v>
      </c>
      <c r="B939" s="150"/>
      <c r="C939" s="21" t="s">
        <v>202</v>
      </c>
      <c r="D939" s="109" t="s">
        <v>14299</v>
      </c>
      <c r="E939" s="109" t="s">
        <v>13210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2"/>
        <v>0</v>
      </c>
      <c r="O939" s="268">
        <f t="shared" si="163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5"/>
        <v>0</v>
      </c>
      <c r="AD939" s="196">
        <f t="shared" si="156"/>
        <v>0</v>
      </c>
      <c r="AE939" s="196">
        <f t="shared" si="157"/>
        <v>0</v>
      </c>
      <c r="AF939" s="2">
        <f t="shared" si="158"/>
        <v>0</v>
      </c>
      <c r="AG939" s="2">
        <f t="shared" si="159"/>
        <v>0</v>
      </c>
    </row>
    <row r="940" spans="1:33">
      <c r="A940" s="20" t="s">
        <v>1611</v>
      </c>
      <c r="B940" s="150"/>
      <c r="C940" s="21" t="s">
        <v>202</v>
      </c>
      <c r="D940" s="109" t="s">
        <v>14299</v>
      </c>
      <c r="E940" s="109" t="s">
        <v>14064</v>
      </c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2"/>
        <v>0</v>
      </c>
      <c r="O940" s="268">
        <f t="shared" si="163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5"/>
        <v>0</v>
      </c>
      <c r="AD940" s="196">
        <f t="shared" si="156"/>
        <v>0</v>
      </c>
      <c r="AE940" s="196">
        <f t="shared" si="157"/>
        <v>0</v>
      </c>
      <c r="AF940" s="2">
        <f t="shared" si="158"/>
        <v>0</v>
      </c>
      <c r="AG940" s="2">
        <f t="shared" si="159"/>
        <v>0</v>
      </c>
    </row>
    <row r="941" spans="1:33">
      <c r="A941" s="20" t="s">
        <v>1612</v>
      </c>
      <c r="B941" s="150"/>
      <c r="C941" s="21" t="s">
        <v>202</v>
      </c>
      <c r="D941" s="109" t="s">
        <v>14288</v>
      </c>
      <c r="E941" s="109"/>
      <c r="F941" s="391" t="s">
        <v>14298</v>
      </c>
      <c r="G941" s="23" t="s">
        <v>14023</v>
      </c>
      <c r="H941" s="23"/>
      <c r="I941" s="23"/>
      <c r="J941" s="23"/>
      <c r="K941" s="23"/>
      <c r="L941" s="350"/>
      <c r="M941" s="351"/>
      <c r="N941" s="267">
        <f t="shared" si="162"/>
        <v>0</v>
      </c>
      <c r="O941" s="268">
        <f t="shared" si="163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85"/>
      <c r="AB941" s="238"/>
      <c r="AC941" s="196">
        <f t="shared" si="155"/>
        <v>0</v>
      </c>
      <c r="AD941" s="196">
        <f t="shared" si="156"/>
        <v>0</v>
      </c>
      <c r="AE941" s="196">
        <f t="shared" si="157"/>
        <v>0</v>
      </c>
      <c r="AF941" s="2">
        <f t="shared" si="158"/>
        <v>0</v>
      </c>
      <c r="AG941" s="2">
        <f t="shared" si="159"/>
        <v>0</v>
      </c>
    </row>
    <row r="942" spans="1:33">
      <c r="A942" s="20" t="s">
        <v>1614</v>
      </c>
      <c r="B942" s="150"/>
      <c r="C942" s="21" t="s">
        <v>203</v>
      </c>
      <c r="D942" s="109" t="s">
        <v>13207</v>
      </c>
      <c r="E942" s="109"/>
      <c r="F942" s="391" t="s">
        <v>14300</v>
      </c>
      <c r="G942" s="23" t="s">
        <v>14197</v>
      </c>
      <c r="H942" s="23" t="s">
        <v>14059</v>
      </c>
      <c r="I942" s="23" t="s">
        <v>14002</v>
      </c>
      <c r="J942" s="23"/>
      <c r="K942" s="23"/>
      <c r="L942" s="350"/>
      <c r="M942" s="351"/>
      <c r="N942" s="267">
        <f t="shared" si="162"/>
        <v>0</v>
      </c>
      <c r="O942" s="268">
        <f t="shared" si="163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5"/>
        <v>0</v>
      </c>
      <c r="AD942" s="196">
        <f t="shared" si="156"/>
        <v>0</v>
      </c>
      <c r="AE942" s="196">
        <f t="shared" si="157"/>
        <v>0</v>
      </c>
      <c r="AF942" s="2">
        <f t="shared" si="158"/>
        <v>0</v>
      </c>
      <c r="AG942" s="2">
        <f t="shared" si="159"/>
        <v>0</v>
      </c>
    </row>
    <row r="943" spans="1:33">
      <c r="A943" s="20" t="s">
        <v>12842</v>
      </c>
      <c r="B943" s="150"/>
      <c r="C943" s="21" t="s">
        <v>14301</v>
      </c>
      <c r="D943" s="109" t="s">
        <v>13223</v>
      </c>
      <c r="E943" s="109"/>
      <c r="F943" s="391" t="s">
        <v>14302</v>
      </c>
      <c r="G943" s="23" t="s">
        <v>14303</v>
      </c>
      <c r="H943" s="23"/>
      <c r="I943" s="23"/>
      <c r="J943" s="23"/>
      <c r="K943" s="23"/>
      <c r="L943" s="375" t="s">
        <v>7787</v>
      </c>
      <c r="M943" s="351" t="s">
        <v>7787</v>
      </c>
      <c r="N943" s="267">
        <f t="shared" si="162"/>
        <v>0</v>
      </c>
      <c r="O943" s="268">
        <f t="shared" si="163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5"/>
        <v>0</v>
      </c>
      <c r="AD943" s="196">
        <f t="shared" si="156"/>
        <v>0</v>
      </c>
      <c r="AE943" s="196">
        <f t="shared" si="157"/>
        <v>0</v>
      </c>
      <c r="AF943" s="2">
        <f t="shared" si="158"/>
        <v>0</v>
      </c>
      <c r="AG943" s="2">
        <f t="shared" si="159"/>
        <v>0</v>
      </c>
    </row>
    <row r="944" spans="1:33">
      <c r="A944" s="20" t="s">
        <v>1615</v>
      </c>
      <c r="B944" s="150"/>
      <c r="C944" s="21" t="s">
        <v>204</v>
      </c>
      <c r="D944" s="109" t="s">
        <v>13223</v>
      </c>
      <c r="E944" s="109"/>
      <c r="F944" s="391" t="s">
        <v>14304</v>
      </c>
      <c r="G944" s="23" t="s">
        <v>14305</v>
      </c>
      <c r="H944" s="23" t="s">
        <v>13218</v>
      </c>
      <c r="I944" s="23" t="s">
        <v>13999</v>
      </c>
      <c r="J944" s="23" t="s">
        <v>13997</v>
      </c>
      <c r="K944" s="23" t="s">
        <v>18200</v>
      </c>
      <c r="L944" s="375" t="s">
        <v>7787</v>
      </c>
      <c r="M944" s="351" t="s">
        <v>7787</v>
      </c>
      <c r="N944" s="267">
        <f t="shared" si="162"/>
        <v>0</v>
      </c>
      <c r="O944" s="268">
        <f t="shared" si="163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7"/>
      <c r="Z944" s="237"/>
      <c r="AA944" s="279"/>
      <c r="AB944" s="238"/>
      <c r="AC944" s="196">
        <f t="shared" si="155"/>
        <v>0</v>
      </c>
      <c r="AD944" s="196">
        <f t="shared" si="156"/>
        <v>0</v>
      </c>
      <c r="AE944" s="196">
        <f t="shared" si="157"/>
        <v>0</v>
      </c>
      <c r="AF944" s="2">
        <f t="shared" si="158"/>
        <v>0</v>
      </c>
      <c r="AG944" s="2">
        <f t="shared" si="159"/>
        <v>0</v>
      </c>
    </row>
    <row r="945" spans="1:33">
      <c r="A945" s="20" t="s">
        <v>1616</v>
      </c>
      <c r="B945" s="156" t="s">
        <v>14306</v>
      </c>
      <c r="C945" s="21" t="s">
        <v>205</v>
      </c>
      <c r="D945" s="109" t="s">
        <v>13223</v>
      </c>
      <c r="E945" s="109"/>
      <c r="F945" s="391" t="s">
        <v>14307</v>
      </c>
      <c r="G945" s="23" t="s">
        <v>14305</v>
      </c>
      <c r="H945" s="23" t="s">
        <v>13218</v>
      </c>
      <c r="I945" s="23" t="s">
        <v>18377</v>
      </c>
      <c r="J945" s="23" t="s">
        <v>19758</v>
      </c>
      <c r="K945" s="23"/>
      <c r="L945" s="375" t="s">
        <v>7787</v>
      </c>
      <c r="M945" s="351" t="s">
        <v>7787</v>
      </c>
      <c r="N945" s="267">
        <f t="shared" si="162"/>
        <v>0</v>
      </c>
      <c r="O945" s="268">
        <f t="shared" si="163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9"/>
      <c r="Z945" s="237"/>
      <c r="AA945" s="279"/>
      <c r="AB945" s="238"/>
      <c r="AC945" s="196">
        <f t="shared" si="155"/>
        <v>0</v>
      </c>
      <c r="AD945" s="196">
        <f t="shared" si="156"/>
        <v>0</v>
      </c>
      <c r="AE945" s="196">
        <f t="shared" si="157"/>
        <v>0</v>
      </c>
      <c r="AF945" s="2">
        <f t="shared" si="158"/>
        <v>0</v>
      </c>
      <c r="AG945" s="2">
        <f t="shared" si="159"/>
        <v>0</v>
      </c>
    </row>
    <row r="946" spans="1:33">
      <c r="A946" s="20" t="s">
        <v>1777</v>
      </c>
      <c r="B946" s="150"/>
      <c r="C946" s="21" t="s">
        <v>747</v>
      </c>
      <c r="D946" s="109" t="s">
        <v>13228</v>
      </c>
      <c r="E946" s="109"/>
      <c r="F946" s="391" t="s">
        <v>14308</v>
      </c>
      <c r="G946" s="23"/>
      <c r="H946" s="23"/>
      <c r="I946" s="23"/>
      <c r="J946" s="23"/>
      <c r="K946" s="23"/>
      <c r="L946" s="375"/>
      <c r="M946" s="351"/>
      <c r="N946" s="267">
        <f t="shared" si="162"/>
        <v>0</v>
      </c>
      <c r="O946" s="268">
        <f t="shared" si="163"/>
        <v>0</v>
      </c>
      <c r="P946" s="239"/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/>
      <c r="AC946" s="196">
        <f t="shared" si="155"/>
        <v>0</v>
      </c>
      <c r="AD946" s="196">
        <f t="shared" si="156"/>
        <v>0</v>
      </c>
      <c r="AE946" s="196">
        <f t="shared" si="157"/>
        <v>0</v>
      </c>
      <c r="AF946" s="2">
        <f t="shared" si="158"/>
        <v>0</v>
      </c>
      <c r="AG946" s="2">
        <f t="shared" si="159"/>
        <v>0</v>
      </c>
    </row>
    <row r="947" spans="1:33">
      <c r="A947" s="20" t="s">
        <v>1778</v>
      </c>
      <c r="B947" s="150"/>
      <c r="C947" s="21" t="s">
        <v>747</v>
      </c>
      <c r="D947" s="109" t="s">
        <v>13207</v>
      </c>
      <c r="E947" s="109"/>
      <c r="F947" s="391" t="s">
        <v>14308</v>
      </c>
      <c r="G947" s="23" t="s">
        <v>13999</v>
      </c>
      <c r="H947" s="23" t="s">
        <v>14309</v>
      </c>
      <c r="I947" s="23" t="s">
        <v>25143</v>
      </c>
      <c r="J947" s="23" t="s">
        <v>27003</v>
      </c>
      <c r="K947" s="23"/>
      <c r="L947" s="375" t="s">
        <v>45</v>
      </c>
      <c r="M947" s="351" t="s">
        <v>7787</v>
      </c>
      <c r="N947" s="267">
        <f t="shared" si="162"/>
        <v>0</v>
      </c>
      <c r="O947" s="268">
        <f t="shared" si="163"/>
        <v>50</v>
      </c>
      <c r="P947" s="239">
        <f>550+200-200-500</f>
        <v>50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26997</v>
      </c>
      <c r="AC947" s="196">
        <f t="shared" si="155"/>
        <v>50</v>
      </c>
      <c r="AD947" s="196">
        <f t="shared" si="156"/>
        <v>50</v>
      </c>
      <c r="AE947" s="196">
        <f t="shared" si="157"/>
        <v>0</v>
      </c>
      <c r="AF947" s="2">
        <f t="shared" si="158"/>
        <v>50</v>
      </c>
      <c r="AG947" s="2">
        <f t="shared" si="159"/>
        <v>0</v>
      </c>
    </row>
    <row r="948" spans="1:33">
      <c r="A948" s="20" t="s">
        <v>1617</v>
      </c>
      <c r="B948" s="152" t="s">
        <v>6158</v>
      </c>
      <c r="C948" s="21" t="s">
        <v>206</v>
      </c>
      <c r="D948" s="109" t="s">
        <v>14126</v>
      </c>
      <c r="E948" s="109"/>
      <c r="F948" s="391" t="s">
        <v>14310</v>
      </c>
      <c r="G948" s="23" t="s">
        <v>14059</v>
      </c>
      <c r="H948" s="23" t="s">
        <v>13997</v>
      </c>
      <c r="I948" s="23" t="s">
        <v>14016</v>
      </c>
      <c r="J948" s="23" t="s">
        <v>22063</v>
      </c>
      <c r="K948" s="23" t="s">
        <v>25982</v>
      </c>
      <c r="L948" s="375" t="s">
        <v>45</v>
      </c>
      <c r="M948" s="351" t="s">
        <v>7787</v>
      </c>
      <c r="N948" s="267">
        <f t="shared" si="162"/>
        <v>0</v>
      </c>
      <c r="O948" s="268">
        <f t="shared" si="163"/>
        <v>600</v>
      </c>
      <c r="P948" s="239">
        <f>1100-500</f>
        <v>600</v>
      </c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 t="s">
        <v>25883</v>
      </c>
      <c r="AC948" s="196">
        <f t="shared" si="155"/>
        <v>600</v>
      </c>
      <c r="AD948" s="196">
        <f t="shared" si="156"/>
        <v>600</v>
      </c>
      <c r="AE948" s="196">
        <f t="shared" si="157"/>
        <v>0</v>
      </c>
      <c r="AF948" s="2">
        <f t="shared" si="158"/>
        <v>600</v>
      </c>
      <c r="AG948" s="2">
        <f t="shared" si="159"/>
        <v>0</v>
      </c>
    </row>
    <row r="949" spans="1:33">
      <c r="A949" s="20" t="s">
        <v>9640</v>
      </c>
      <c r="B949" s="152"/>
      <c r="C949" s="21" t="s">
        <v>206</v>
      </c>
      <c r="D949" s="109" t="s">
        <v>13207</v>
      </c>
      <c r="E949" s="109"/>
      <c r="F949" s="391" t="s">
        <v>14310</v>
      </c>
      <c r="G949" s="23" t="s">
        <v>14311</v>
      </c>
      <c r="H949" s="23" t="s">
        <v>13999</v>
      </c>
      <c r="I949" s="23" t="s">
        <v>14312</v>
      </c>
      <c r="J949" s="23"/>
      <c r="K949" s="23"/>
      <c r="L949" s="375" t="s">
        <v>7787</v>
      </c>
      <c r="M949" s="351" t="s">
        <v>7787</v>
      </c>
      <c r="N949" s="267">
        <f t="shared" si="162"/>
        <v>0</v>
      </c>
      <c r="O949" s="268">
        <f t="shared" si="163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5"/>
        <v>0</v>
      </c>
      <c r="AD949" s="196">
        <f t="shared" si="156"/>
        <v>0</v>
      </c>
      <c r="AE949" s="196">
        <f t="shared" si="157"/>
        <v>0</v>
      </c>
      <c r="AF949" s="2">
        <f t="shared" si="158"/>
        <v>0</v>
      </c>
      <c r="AG949" s="2">
        <f t="shared" si="159"/>
        <v>0</v>
      </c>
    </row>
    <row r="950" spans="1:33">
      <c r="A950" s="20" t="s">
        <v>1618</v>
      </c>
      <c r="B950" s="161"/>
      <c r="C950" s="21" t="s">
        <v>207</v>
      </c>
      <c r="D950" s="109" t="s">
        <v>14233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2"/>
        <v>0</v>
      </c>
      <c r="O950" s="268">
        <f t="shared" si="163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5"/>
        <v>0</v>
      </c>
      <c r="AD950" s="196">
        <f t="shared" si="156"/>
        <v>0</v>
      </c>
      <c r="AE950" s="196">
        <f t="shared" si="157"/>
        <v>0</v>
      </c>
      <c r="AF950" s="2">
        <f t="shared" si="158"/>
        <v>0</v>
      </c>
      <c r="AG950" s="2">
        <f t="shared" si="159"/>
        <v>0</v>
      </c>
    </row>
    <row r="951" spans="1:33">
      <c r="A951" s="20" t="s">
        <v>1619</v>
      </c>
      <c r="B951" s="150"/>
      <c r="C951" s="21" t="s">
        <v>207</v>
      </c>
      <c r="D951" s="109" t="s">
        <v>13991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2"/>
        <v>0</v>
      </c>
      <c r="O951" s="268">
        <f t="shared" si="163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5"/>
        <v>0</v>
      </c>
      <c r="AD951" s="196">
        <f t="shared" si="156"/>
        <v>0</v>
      </c>
      <c r="AE951" s="196">
        <f t="shared" si="157"/>
        <v>0</v>
      </c>
      <c r="AF951" s="2">
        <f t="shared" si="158"/>
        <v>0</v>
      </c>
      <c r="AG951" s="2">
        <f t="shared" si="159"/>
        <v>0</v>
      </c>
    </row>
    <row r="952" spans="1:33">
      <c r="A952" s="20" t="s">
        <v>1620</v>
      </c>
      <c r="B952" s="161"/>
      <c r="C952" s="21" t="s">
        <v>207</v>
      </c>
      <c r="D952" s="109" t="s">
        <v>14314</v>
      </c>
      <c r="E952" s="109" t="s">
        <v>14075</v>
      </c>
      <c r="F952" s="391" t="s">
        <v>14313</v>
      </c>
      <c r="G952" s="23" t="s">
        <v>13975</v>
      </c>
      <c r="H952" s="23"/>
      <c r="I952" s="23"/>
      <c r="J952" s="23"/>
      <c r="K952" s="23"/>
      <c r="L952" s="350"/>
      <c r="M952" s="351"/>
      <c r="N952" s="267">
        <f t="shared" si="162"/>
        <v>0</v>
      </c>
      <c r="O952" s="268">
        <f t="shared" si="163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5"/>
        <v>0</v>
      </c>
      <c r="AD952" s="196">
        <f t="shared" si="156"/>
        <v>0</v>
      </c>
      <c r="AE952" s="196">
        <f t="shared" si="157"/>
        <v>0</v>
      </c>
      <c r="AF952" s="2">
        <f t="shared" si="158"/>
        <v>0</v>
      </c>
      <c r="AG952" s="2">
        <f t="shared" si="159"/>
        <v>0</v>
      </c>
    </row>
    <row r="953" spans="1:33">
      <c r="A953" s="20" t="s">
        <v>1621</v>
      </c>
      <c r="B953" s="150"/>
      <c r="C953" s="21" t="s">
        <v>208</v>
      </c>
      <c r="D953" s="109" t="s">
        <v>13207</v>
      </c>
      <c r="E953" s="109"/>
      <c r="F953" s="391" t="s">
        <v>14315</v>
      </c>
      <c r="G953" s="23" t="s">
        <v>14026</v>
      </c>
      <c r="H953" s="23" t="s">
        <v>13980</v>
      </c>
      <c r="I953" s="23" t="s">
        <v>19201</v>
      </c>
      <c r="J953" s="23"/>
      <c r="K953" s="23"/>
      <c r="L953" s="375" t="s">
        <v>7787</v>
      </c>
      <c r="M953" s="351" t="s">
        <v>7787</v>
      </c>
      <c r="N953" s="267">
        <f t="shared" si="162"/>
        <v>0</v>
      </c>
      <c r="O953" s="268">
        <f t="shared" si="163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5"/>
        <v>0</v>
      </c>
      <c r="AD953" s="196">
        <f t="shared" si="156"/>
        <v>0</v>
      </c>
      <c r="AE953" s="196">
        <f t="shared" si="157"/>
        <v>0</v>
      </c>
      <c r="AF953" s="2">
        <f t="shared" si="158"/>
        <v>0</v>
      </c>
      <c r="AG953" s="2">
        <f t="shared" si="159"/>
        <v>0</v>
      </c>
    </row>
    <row r="954" spans="1:33">
      <c r="A954" s="20" t="s">
        <v>1622</v>
      </c>
      <c r="B954" s="150"/>
      <c r="C954" s="21" t="s">
        <v>210</v>
      </c>
      <c r="D954" s="109" t="s">
        <v>13228</v>
      </c>
      <c r="E954" s="109"/>
      <c r="F954" s="391" t="s">
        <v>14316</v>
      </c>
      <c r="G954" s="23" t="s">
        <v>13986</v>
      </c>
      <c r="H954" s="23"/>
      <c r="I954" s="23"/>
      <c r="J954" s="23"/>
      <c r="K954" s="23"/>
      <c r="L954" s="350"/>
      <c r="M954" s="351"/>
      <c r="N954" s="267">
        <f t="shared" si="162"/>
        <v>0</v>
      </c>
      <c r="O954" s="268">
        <f t="shared" si="163"/>
        <v>0</v>
      </c>
      <c r="P954" s="239"/>
      <c r="Q954" s="239"/>
      <c r="R954" s="239"/>
      <c r="S954" s="239"/>
      <c r="T954" s="239"/>
      <c r="U954" s="240"/>
      <c r="V954" s="240"/>
      <c r="W954" s="240"/>
      <c r="X954" s="278"/>
      <c r="Y954" s="237"/>
      <c r="Z954" s="237"/>
      <c r="AA954" s="279"/>
      <c r="AB954" s="238"/>
      <c r="AC954" s="196">
        <f t="shared" si="155"/>
        <v>0</v>
      </c>
      <c r="AD954" s="196">
        <f t="shared" si="156"/>
        <v>0</v>
      </c>
      <c r="AE954" s="196">
        <f t="shared" si="157"/>
        <v>0</v>
      </c>
      <c r="AF954" s="2">
        <f t="shared" si="158"/>
        <v>0</v>
      </c>
      <c r="AG954" s="2">
        <f t="shared" si="159"/>
        <v>0</v>
      </c>
    </row>
    <row r="955" spans="1:33">
      <c r="A955" s="20" t="s">
        <v>1623</v>
      </c>
      <c r="B955" s="161"/>
      <c r="C955" s="21" t="s">
        <v>211</v>
      </c>
      <c r="D955" s="109" t="s">
        <v>14126</v>
      </c>
      <c r="E955" s="109" t="s">
        <v>14317</v>
      </c>
      <c r="F955" s="391" t="s">
        <v>14318</v>
      </c>
      <c r="G955" s="23" t="s">
        <v>13215</v>
      </c>
      <c r="H955" s="23"/>
      <c r="I955" s="23"/>
      <c r="J955" s="23"/>
      <c r="K955" s="23"/>
      <c r="L955" s="350"/>
      <c r="M955" s="351"/>
      <c r="N955" s="267">
        <f t="shared" si="162"/>
        <v>0</v>
      </c>
      <c r="O955" s="268">
        <f t="shared" si="163"/>
        <v>0</v>
      </c>
      <c r="P955" s="239"/>
      <c r="Q955" s="239"/>
      <c r="R955" s="239"/>
      <c r="S955" s="239"/>
      <c r="T955" s="239"/>
      <c r="U955" s="240"/>
      <c r="V955" s="240"/>
      <c r="W955" s="240">
        <v>0</v>
      </c>
      <c r="X955" s="278"/>
      <c r="Y955" s="237"/>
      <c r="Z955" s="237"/>
      <c r="AA955" s="279"/>
      <c r="AB955" s="238"/>
      <c r="AC955" s="196">
        <f t="shared" si="155"/>
        <v>0</v>
      </c>
      <c r="AD955" s="196">
        <f t="shared" si="156"/>
        <v>0</v>
      </c>
      <c r="AE955" s="196">
        <f t="shared" si="157"/>
        <v>0</v>
      </c>
      <c r="AF955" s="2">
        <f t="shared" si="158"/>
        <v>0</v>
      </c>
      <c r="AG955" s="2">
        <f t="shared" si="159"/>
        <v>0</v>
      </c>
    </row>
    <row r="956" spans="1:33">
      <c r="A956" s="20" t="s">
        <v>1624</v>
      </c>
      <c r="B956" s="162" t="s">
        <v>5836</v>
      </c>
      <c r="C956" s="21" t="s">
        <v>211</v>
      </c>
      <c r="D956" s="109" t="s">
        <v>14126</v>
      </c>
      <c r="E956" s="109"/>
      <c r="F956" s="391" t="s">
        <v>14318</v>
      </c>
      <c r="G956" s="23" t="s">
        <v>14144</v>
      </c>
      <c r="H956" s="23" t="s">
        <v>14319</v>
      </c>
      <c r="I956" s="23" t="s">
        <v>20117</v>
      </c>
      <c r="J956" s="23"/>
      <c r="K956" s="23"/>
      <c r="L956" s="375" t="s">
        <v>7787</v>
      </c>
      <c r="M956" s="351" t="s">
        <v>7787</v>
      </c>
      <c r="N956" s="267">
        <f t="shared" si="162"/>
        <v>0</v>
      </c>
      <c r="O956" s="268">
        <f t="shared" si="163"/>
        <v>0</v>
      </c>
      <c r="P956" s="239"/>
      <c r="Q956" s="239"/>
      <c r="R956" s="239"/>
      <c r="S956" s="239"/>
      <c r="T956" s="239"/>
      <c r="U956" s="240"/>
      <c r="V956" s="240"/>
      <c r="W956" s="240"/>
      <c r="X956" s="278"/>
      <c r="Y956" s="239"/>
      <c r="Z956" s="237"/>
      <c r="AA956" s="279"/>
      <c r="AB956" s="238"/>
      <c r="AC956" s="196">
        <f t="shared" si="155"/>
        <v>0</v>
      </c>
      <c r="AD956" s="196">
        <f t="shared" si="156"/>
        <v>0</v>
      </c>
      <c r="AE956" s="196">
        <f t="shared" si="157"/>
        <v>0</v>
      </c>
      <c r="AF956" s="2">
        <f t="shared" si="158"/>
        <v>0</v>
      </c>
      <c r="AG956" s="2">
        <f t="shared" si="159"/>
        <v>0</v>
      </c>
    </row>
    <row r="957" spans="1:33">
      <c r="A957" s="20" t="s">
        <v>6904</v>
      </c>
      <c r="B957" s="162" t="s">
        <v>6942</v>
      </c>
      <c r="C957" s="21" t="s">
        <v>211</v>
      </c>
      <c r="D957" s="109" t="s">
        <v>13207</v>
      </c>
      <c r="E957" s="109" t="s">
        <v>26683</v>
      </c>
      <c r="F957" s="391" t="s">
        <v>14318</v>
      </c>
      <c r="G957" s="23" t="s">
        <v>14170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 t="s">
        <v>45</v>
      </c>
      <c r="M957" s="351" t="s">
        <v>7787</v>
      </c>
      <c r="N957" s="267">
        <f t="shared" si="162"/>
        <v>0</v>
      </c>
      <c r="O957" s="268">
        <f t="shared" si="163"/>
        <v>1150</v>
      </c>
      <c r="P957" s="239"/>
      <c r="Q957" s="239"/>
      <c r="R957" s="239"/>
      <c r="S957" s="239"/>
      <c r="T957" s="239"/>
      <c r="U957" s="239">
        <f>3000-850-1000-1000+2000-1000-1000+1000-1000+2000-1000</f>
        <v>1150</v>
      </c>
      <c r="V957" s="240"/>
      <c r="W957" s="240"/>
      <c r="X957" s="278"/>
      <c r="Y957" s="239"/>
      <c r="Z957" s="237"/>
      <c r="AA957" s="279"/>
      <c r="AB957" s="238" t="s">
        <v>27521</v>
      </c>
      <c r="AC957" s="196">
        <f t="shared" si="155"/>
        <v>1150</v>
      </c>
      <c r="AD957" s="196">
        <f t="shared" si="156"/>
        <v>1150</v>
      </c>
      <c r="AE957" s="196">
        <f t="shared" si="157"/>
        <v>0</v>
      </c>
      <c r="AF957" s="2">
        <f t="shared" si="158"/>
        <v>1150</v>
      </c>
      <c r="AG957" s="2">
        <f t="shared" si="159"/>
        <v>0</v>
      </c>
    </row>
    <row r="958" spans="1:33">
      <c r="A958" s="20" t="s">
        <v>24012</v>
      </c>
      <c r="B958" s="162"/>
      <c r="C958" s="21" t="s">
        <v>211</v>
      </c>
      <c r="D958" s="109" t="s">
        <v>3096</v>
      </c>
      <c r="E958" s="109" t="s">
        <v>24142</v>
      </c>
      <c r="F958" s="391" t="s">
        <v>4458</v>
      </c>
      <c r="G958" s="23" t="s">
        <v>13928</v>
      </c>
      <c r="H958" s="23" t="s">
        <v>13531</v>
      </c>
      <c r="I958" s="23" t="s">
        <v>13349</v>
      </c>
      <c r="J958" s="23" t="s">
        <v>13301</v>
      </c>
      <c r="K958" s="23" t="s">
        <v>24070</v>
      </c>
      <c r="L958" s="375"/>
      <c r="M958" s="351"/>
      <c r="N958" s="267">
        <f t="shared" si="162"/>
        <v>0</v>
      </c>
      <c r="O958" s="268">
        <f t="shared" si="163"/>
        <v>0</v>
      </c>
      <c r="P958" s="239"/>
      <c r="Q958" s="239"/>
      <c r="R958" s="239"/>
      <c r="S958" s="239"/>
      <c r="T958" s="239"/>
      <c r="U958" s="239"/>
      <c r="V958" s="240"/>
      <c r="W958" s="240"/>
      <c r="X958" s="278"/>
      <c r="Y958" s="239"/>
      <c r="Z958" s="237"/>
      <c r="AA958" s="279"/>
      <c r="AB958" s="238"/>
      <c r="AC958" s="196">
        <f t="shared" si="155"/>
        <v>0</v>
      </c>
      <c r="AD958" s="196">
        <f t="shared" si="156"/>
        <v>0</v>
      </c>
      <c r="AE958" s="196">
        <f t="shared" si="157"/>
        <v>0</v>
      </c>
      <c r="AF958" s="2">
        <f t="shared" si="158"/>
        <v>0</v>
      </c>
      <c r="AG958" s="2">
        <f t="shared" si="159"/>
        <v>0</v>
      </c>
    </row>
    <row r="959" spans="1:33">
      <c r="A959" s="20" t="s">
        <v>10830</v>
      </c>
      <c r="B959" s="162"/>
      <c r="C959" s="21" t="s">
        <v>211</v>
      </c>
      <c r="D959" s="109" t="s">
        <v>13207</v>
      </c>
      <c r="E959" s="109" t="s">
        <v>13994</v>
      </c>
      <c r="F959" s="391" t="s">
        <v>14318</v>
      </c>
      <c r="G959" s="23" t="s">
        <v>14025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2"/>
        <v>0</v>
      </c>
      <c r="O959" s="268">
        <f t="shared" si="163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5"/>
        <v>0</v>
      </c>
      <c r="AD959" s="196">
        <f t="shared" si="156"/>
        <v>0</v>
      </c>
      <c r="AE959" s="196">
        <f t="shared" si="157"/>
        <v>0</v>
      </c>
      <c r="AF959" s="2">
        <f t="shared" si="158"/>
        <v>0</v>
      </c>
      <c r="AG959" s="2">
        <f t="shared" si="159"/>
        <v>0</v>
      </c>
    </row>
    <row r="960" spans="1:33">
      <c r="A960" s="20" t="s">
        <v>19883</v>
      </c>
      <c r="B960" s="162"/>
      <c r="C960" s="21" t="s">
        <v>211</v>
      </c>
      <c r="D960" s="109" t="s">
        <v>3096</v>
      </c>
      <c r="E960" s="109" t="s">
        <v>19542</v>
      </c>
      <c r="F960" s="391" t="s">
        <v>4458</v>
      </c>
      <c r="G960" s="23" t="s">
        <v>19543</v>
      </c>
      <c r="H960" s="23"/>
      <c r="I960" s="23"/>
      <c r="J960" s="23"/>
      <c r="K960" s="23"/>
      <c r="L960" s="375" t="s">
        <v>7787</v>
      </c>
      <c r="M960" s="351" t="s">
        <v>7787</v>
      </c>
      <c r="N960" s="267">
        <f t="shared" si="162"/>
        <v>0</v>
      </c>
      <c r="O960" s="268">
        <f t="shared" si="163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79"/>
      <c r="AB960" s="238"/>
      <c r="AC960" s="196">
        <f t="shared" si="155"/>
        <v>0</v>
      </c>
      <c r="AD960" s="196">
        <f t="shared" si="156"/>
        <v>0</v>
      </c>
      <c r="AE960" s="196">
        <f t="shared" si="157"/>
        <v>0</v>
      </c>
      <c r="AF960" s="2">
        <f t="shared" si="158"/>
        <v>0</v>
      </c>
      <c r="AG960" s="2">
        <f t="shared" si="159"/>
        <v>0</v>
      </c>
    </row>
    <row r="961" spans="1:33">
      <c r="A961" s="20" t="s">
        <v>1625</v>
      </c>
      <c r="B961" s="156" t="s">
        <v>14320</v>
      </c>
      <c r="C961" s="21" t="s">
        <v>212</v>
      </c>
      <c r="D961" s="109" t="s">
        <v>13223</v>
      </c>
      <c r="E961" s="109"/>
      <c r="F961" s="391" t="s">
        <v>14321</v>
      </c>
      <c r="G961" s="23" t="s">
        <v>14322</v>
      </c>
      <c r="H961" s="23" t="s">
        <v>14015</v>
      </c>
      <c r="I961" s="23"/>
      <c r="J961" s="23"/>
      <c r="K961" s="23"/>
      <c r="L961" s="375" t="s">
        <v>7787</v>
      </c>
      <c r="M961" s="351" t="s">
        <v>7787</v>
      </c>
      <c r="N961" s="267">
        <f t="shared" si="162"/>
        <v>0</v>
      </c>
      <c r="O961" s="268">
        <f t="shared" si="163"/>
        <v>0</v>
      </c>
      <c r="P961" s="239"/>
      <c r="Q961" s="239"/>
      <c r="R961" s="239"/>
      <c r="S961" s="239"/>
      <c r="T961" s="239"/>
      <c r="U961" s="240"/>
      <c r="V961" s="240"/>
      <c r="W961" s="240"/>
      <c r="X961" s="278"/>
      <c r="Y961" s="237"/>
      <c r="Z961" s="237"/>
      <c r="AA961" s="285"/>
      <c r="AB961" s="238"/>
      <c r="AC961" s="196">
        <f t="shared" si="155"/>
        <v>0</v>
      </c>
      <c r="AD961" s="196">
        <f t="shared" si="156"/>
        <v>0</v>
      </c>
      <c r="AE961" s="196">
        <f t="shared" si="157"/>
        <v>0</v>
      </c>
      <c r="AF961" s="2">
        <f t="shared" si="158"/>
        <v>0</v>
      </c>
      <c r="AG961" s="2">
        <f t="shared" si="159"/>
        <v>0</v>
      </c>
    </row>
    <row r="962" spans="1:33">
      <c r="A962" s="20" t="s">
        <v>1626</v>
      </c>
      <c r="B962" s="162" t="s">
        <v>14323</v>
      </c>
      <c r="C962" s="21" t="s">
        <v>213</v>
      </c>
      <c r="D962" s="109" t="s">
        <v>14291</v>
      </c>
      <c r="E962" s="109" t="s">
        <v>14075</v>
      </c>
      <c r="F962" s="391" t="s">
        <v>14324</v>
      </c>
      <c r="G962" s="23" t="s">
        <v>14002</v>
      </c>
      <c r="H962" s="23"/>
      <c r="I962" s="23"/>
      <c r="J962" s="23"/>
      <c r="K962" s="23"/>
      <c r="L962" s="375" t="s">
        <v>45</v>
      </c>
      <c r="M962" s="351"/>
      <c r="N962" s="267">
        <f t="shared" si="162"/>
        <v>0</v>
      </c>
      <c r="O962" s="268">
        <f t="shared" si="163"/>
        <v>550</v>
      </c>
      <c r="P962" s="240"/>
      <c r="Q962" s="239"/>
      <c r="R962" s="239"/>
      <c r="S962" s="239"/>
      <c r="T962" s="239"/>
      <c r="U962" s="240">
        <f>3100-2450+900-1000</f>
        <v>550</v>
      </c>
      <c r="V962" s="240"/>
      <c r="W962" s="240"/>
      <c r="X962" s="278"/>
      <c r="Y962" s="237"/>
      <c r="Z962" s="237"/>
      <c r="AA962" s="279"/>
      <c r="AB962" s="238" t="s">
        <v>26138</v>
      </c>
      <c r="AC962" s="196">
        <f t="shared" si="155"/>
        <v>550</v>
      </c>
      <c r="AD962" s="196">
        <f t="shared" si="156"/>
        <v>550</v>
      </c>
      <c r="AE962" s="196">
        <f t="shared" si="157"/>
        <v>0</v>
      </c>
      <c r="AF962" s="2">
        <f t="shared" si="158"/>
        <v>550</v>
      </c>
      <c r="AG962" s="2">
        <f t="shared" si="159"/>
        <v>0</v>
      </c>
    </row>
    <row r="963" spans="1:33">
      <c r="A963" s="20" t="s">
        <v>1628</v>
      </c>
      <c r="B963" s="162" t="s">
        <v>5837</v>
      </c>
      <c r="C963" s="21" t="s">
        <v>214</v>
      </c>
      <c r="D963" s="109" t="s">
        <v>14126</v>
      </c>
      <c r="E963" s="109"/>
      <c r="F963" s="391" t="s">
        <v>14325</v>
      </c>
      <c r="G963" s="23" t="s">
        <v>14144</v>
      </c>
      <c r="H963" s="23" t="s">
        <v>14326</v>
      </c>
      <c r="I963" s="23" t="s">
        <v>25260</v>
      </c>
      <c r="J963" s="23" t="s">
        <v>25315</v>
      </c>
      <c r="K963" s="23" t="s">
        <v>27150</v>
      </c>
      <c r="L963" s="375" t="s">
        <v>27876</v>
      </c>
      <c r="M963" s="351" t="s">
        <v>45</v>
      </c>
      <c r="N963" s="267">
        <f t="shared" si="162"/>
        <v>0</v>
      </c>
      <c r="O963" s="268">
        <f t="shared" si="163"/>
        <v>2700</v>
      </c>
      <c r="P963" s="239"/>
      <c r="Q963" s="239">
        <f>1300-750+200+2500-1000+1700-750-500</f>
        <v>2700</v>
      </c>
      <c r="R963" s="239"/>
      <c r="S963" s="239"/>
      <c r="T963" s="239"/>
      <c r="U963" s="240"/>
      <c r="V963" s="240"/>
      <c r="W963" s="240"/>
      <c r="X963" s="278"/>
      <c r="Y963" s="241"/>
      <c r="Z963" s="279"/>
      <c r="AA963" s="279"/>
      <c r="AB963" s="238" t="s">
        <v>27874</v>
      </c>
      <c r="AC963" s="196">
        <f t="shared" si="155"/>
        <v>2700</v>
      </c>
      <c r="AD963" s="196">
        <f t="shared" si="156"/>
        <v>2700</v>
      </c>
      <c r="AE963" s="196">
        <f t="shared" si="157"/>
        <v>0</v>
      </c>
      <c r="AF963" s="2">
        <f t="shared" si="158"/>
        <v>2700</v>
      </c>
      <c r="AG963" s="2">
        <f t="shared" si="159"/>
        <v>0</v>
      </c>
    </row>
    <row r="964" spans="1:33">
      <c r="A964" s="20" t="s">
        <v>27045</v>
      </c>
      <c r="B964" s="162"/>
      <c r="C964" s="21" t="s">
        <v>214</v>
      </c>
      <c r="D964" s="109" t="s">
        <v>4070</v>
      </c>
      <c r="E964" s="109" t="s">
        <v>27071</v>
      </c>
      <c r="F964" s="391" t="s">
        <v>4461</v>
      </c>
      <c r="G964" s="23" t="s">
        <v>10645</v>
      </c>
      <c r="H964" s="23" t="s">
        <v>25748</v>
      </c>
      <c r="I964" s="23" t="s">
        <v>25749</v>
      </c>
      <c r="J964" s="23" t="s">
        <v>25750</v>
      </c>
      <c r="K964" s="23" t="s">
        <v>12058</v>
      </c>
      <c r="L964" s="375" t="s">
        <v>7787</v>
      </c>
      <c r="M964" s="351" t="s">
        <v>7787</v>
      </c>
      <c r="N964" s="267">
        <f t="shared" ref="N964" si="164">SUM(L964:M964)</f>
        <v>0</v>
      </c>
      <c r="O964" s="268">
        <f t="shared" ref="O964" si="165">SUM(P964:Z964)</f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41"/>
      <c r="Z964" s="237"/>
      <c r="AA964" s="297"/>
      <c r="AB964" s="238"/>
      <c r="AC964" s="196">
        <f t="shared" si="155"/>
        <v>0</v>
      </c>
      <c r="AD964" s="196">
        <f t="shared" si="156"/>
        <v>0</v>
      </c>
      <c r="AE964" s="196">
        <f t="shared" si="157"/>
        <v>0</v>
      </c>
      <c r="AF964" s="2">
        <f t="shared" si="158"/>
        <v>0</v>
      </c>
      <c r="AG964" s="2">
        <f t="shared" si="159"/>
        <v>0</v>
      </c>
    </row>
    <row r="965" spans="1:33">
      <c r="A965" s="20" t="s">
        <v>1627</v>
      </c>
      <c r="B965" s="150"/>
      <c r="C965" s="21" t="s">
        <v>214</v>
      </c>
      <c r="D965" s="109" t="s">
        <v>13223</v>
      </c>
      <c r="E965" s="109"/>
      <c r="F965" s="391" t="s">
        <v>4461</v>
      </c>
      <c r="G965" s="23" t="s">
        <v>13972</v>
      </c>
      <c r="H965" s="23" t="s">
        <v>13996</v>
      </c>
      <c r="I965" s="23" t="s">
        <v>13231</v>
      </c>
      <c r="J965" s="23"/>
      <c r="K965" s="23"/>
      <c r="L965" s="375" t="s">
        <v>7787</v>
      </c>
      <c r="M965" s="351" t="s">
        <v>7787</v>
      </c>
      <c r="N965" s="267">
        <f t="shared" si="162"/>
        <v>0</v>
      </c>
      <c r="O965" s="268">
        <f t="shared" si="163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39"/>
      <c r="AB965" s="238"/>
      <c r="AC965" s="196">
        <f t="shared" si="155"/>
        <v>0</v>
      </c>
      <c r="AD965" s="196">
        <f t="shared" si="156"/>
        <v>0</v>
      </c>
      <c r="AE965" s="196">
        <f t="shared" si="157"/>
        <v>0</v>
      </c>
      <c r="AF965" s="2">
        <f t="shared" si="158"/>
        <v>0</v>
      </c>
      <c r="AG965" s="2">
        <f t="shared" si="159"/>
        <v>0</v>
      </c>
    </row>
    <row r="966" spans="1:33">
      <c r="A966" s="20" t="s">
        <v>1781</v>
      </c>
      <c r="B966" s="150"/>
      <c r="C966" s="21" t="s">
        <v>715</v>
      </c>
      <c r="D966" s="109" t="s">
        <v>14327</v>
      </c>
      <c r="E966" s="109" t="s">
        <v>14043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2"/>
        <v>0</v>
      </c>
      <c r="O966" s="268">
        <f t="shared" si="163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5"/>
        <v>0</v>
      </c>
      <c r="AD966" s="196">
        <f t="shared" si="156"/>
        <v>0</v>
      </c>
      <c r="AE966" s="196">
        <f t="shared" si="157"/>
        <v>0</v>
      </c>
      <c r="AF966" s="2">
        <f t="shared" si="158"/>
        <v>0</v>
      </c>
      <c r="AG966" s="2">
        <f t="shared" si="159"/>
        <v>0</v>
      </c>
    </row>
    <row r="967" spans="1:33">
      <c r="A967" s="20" t="s">
        <v>1782</v>
      </c>
      <c r="B967" s="150"/>
      <c r="C967" s="21" t="s">
        <v>715</v>
      </c>
      <c r="D967" s="109" t="s">
        <v>13991</v>
      </c>
      <c r="E967" s="109" t="s">
        <v>13992</v>
      </c>
      <c r="F967" s="391" t="s">
        <v>14328</v>
      </c>
      <c r="G967" s="23"/>
      <c r="H967" s="23"/>
      <c r="I967" s="23"/>
      <c r="J967" s="23"/>
      <c r="K967" s="23"/>
      <c r="L967" s="350"/>
      <c r="M967" s="351"/>
      <c r="N967" s="267">
        <f t="shared" si="162"/>
        <v>0</v>
      </c>
      <c r="O967" s="268">
        <f t="shared" si="163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5"/>
        <v>0</v>
      </c>
      <c r="AD967" s="196">
        <f t="shared" si="156"/>
        <v>0</v>
      </c>
      <c r="AE967" s="196">
        <f t="shared" si="157"/>
        <v>0</v>
      </c>
      <c r="AF967" s="2">
        <f t="shared" si="158"/>
        <v>0</v>
      </c>
      <c r="AG967" s="2">
        <f t="shared" si="159"/>
        <v>0</v>
      </c>
    </row>
    <row r="968" spans="1:33">
      <c r="A968" s="20" t="s">
        <v>1784</v>
      </c>
      <c r="B968" s="161"/>
      <c r="C968" s="21" t="s">
        <v>715</v>
      </c>
      <c r="D968" s="109" t="s">
        <v>13991</v>
      </c>
      <c r="E968" s="109" t="s">
        <v>13994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2"/>
        <v>0</v>
      </c>
      <c r="O968" s="268">
        <f t="shared" si="163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5"/>
        <v>0</v>
      </c>
      <c r="AD968" s="196">
        <f t="shared" si="156"/>
        <v>0</v>
      </c>
      <c r="AE968" s="196">
        <f t="shared" si="157"/>
        <v>0</v>
      </c>
      <c r="AF968" s="2">
        <f t="shared" si="158"/>
        <v>0</v>
      </c>
      <c r="AG968" s="2">
        <f t="shared" si="159"/>
        <v>0</v>
      </c>
    </row>
    <row r="969" spans="1:33">
      <c r="A969" s="20" t="s">
        <v>1783</v>
      </c>
      <c r="B969" s="150"/>
      <c r="C969" s="21" t="s">
        <v>715</v>
      </c>
      <c r="D969" s="109" t="s">
        <v>13991</v>
      </c>
      <c r="E969" s="109" t="s">
        <v>13210</v>
      </c>
      <c r="F969" s="391" t="s">
        <v>14328</v>
      </c>
      <c r="G969" s="23"/>
      <c r="H969" s="23"/>
      <c r="I969" s="23"/>
      <c r="J969" s="23"/>
      <c r="K969" s="23"/>
      <c r="L969" s="375" t="s">
        <v>7787</v>
      </c>
      <c r="M969" s="351" t="s">
        <v>7787</v>
      </c>
      <c r="N969" s="267">
        <f t="shared" si="162"/>
        <v>0</v>
      </c>
      <c r="O969" s="268">
        <f t="shared" si="163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si="155"/>
        <v>0</v>
      </c>
      <c r="AD969" s="196">
        <f t="shared" si="156"/>
        <v>0</v>
      </c>
      <c r="AE969" s="196">
        <f t="shared" si="157"/>
        <v>0</v>
      </c>
      <c r="AF969" s="2">
        <f t="shared" si="158"/>
        <v>0</v>
      </c>
      <c r="AG969" s="2">
        <f t="shared" si="159"/>
        <v>0</v>
      </c>
    </row>
    <row r="970" spans="1:33">
      <c r="A970" s="20" t="s">
        <v>1779</v>
      </c>
      <c r="B970" s="150"/>
      <c r="C970" s="21" t="s">
        <v>715</v>
      </c>
      <c r="D970" s="109" t="s">
        <v>13228</v>
      </c>
      <c r="E970" s="109"/>
      <c r="F970" s="391" t="s">
        <v>14328</v>
      </c>
      <c r="G970" s="23"/>
      <c r="H970" s="23"/>
      <c r="I970" s="23"/>
      <c r="J970" s="23"/>
      <c r="K970" s="23"/>
      <c r="L970" s="350"/>
      <c r="M970" s="351"/>
      <c r="N970" s="267">
        <f t="shared" si="162"/>
        <v>0</v>
      </c>
      <c r="O970" s="268">
        <f t="shared" si="163"/>
        <v>0</v>
      </c>
      <c r="P970" s="239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ref="AC970:AC1033" si="166">SUM(P970:AA970)</f>
        <v>0</v>
      </c>
      <c r="AD970" s="196">
        <f t="shared" ref="AD970:AD1033" si="167">SUM(P970:AB970)</f>
        <v>0</v>
      </c>
      <c r="AE970" s="196">
        <f t="shared" ref="AE970:AE1033" si="168">SUM(AC970-AD970)</f>
        <v>0</v>
      </c>
      <c r="AF970" s="2">
        <f t="shared" ref="AF970:AF1033" si="169">+AC970</f>
        <v>0</v>
      </c>
      <c r="AG970" s="2">
        <f t="shared" ref="AG970:AG1033" si="170">+AC970-AF970</f>
        <v>0</v>
      </c>
    </row>
    <row r="971" spans="1:33">
      <c r="A971" s="20" t="s">
        <v>1780</v>
      </c>
      <c r="B971" s="156" t="s">
        <v>14329</v>
      </c>
      <c r="C971" s="21" t="s">
        <v>715</v>
      </c>
      <c r="D971" s="109" t="s">
        <v>13207</v>
      </c>
      <c r="E971" s="109"/>
      <c r="F971" s="391" t="s">
        <v>14328</v>
      </c>
      <c r="G971" s="23" t="s">
        <v>13998</v>
      </c>
      <c r="H971" s="23" t="s">
        <v>13996</v>
      </c>
      <c r="I971" s="23" t="s">
        <v>13999</v>
      </c>
      <c r="J971" s="23" t="s">
        <v>13997</v>
      </c>
      <c r="K971" s="23"/>
      <c r="L971" s="375" t="s">
        <v>7787</v>
      </c>
      <c r="M971" s="351" t="s">
        <v>7787</v>
      </c>
      <c r="N971" s="267">
        <f t="shared" si="162"/>
        <v>0</v>
      </c>
      <c r="O971" s="268">
        <f t="shared" si="163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6"/>
        <v>0</v>
      </c>
      <c r="AD971" s="196">
        <f t="shared" si="167"/>
        <v>0</v>
      </c>
      <c r="AE971" s="196">
        <f t="shared" si="168"/>
        <v>0</v>
      </c>
      <c r="AF971" s="2">
        <f t="shared" si="169"/>
        <v>0</v>
      </c>
      <c r="AG971" s="2">
        <f t="shared" si="170"/>
        <v>0</v>
      </c>
    </row>
    <row r="972" spans="1:33">
      <c r="A972" s="20" t="s">
        <v>11992</v>
      </c>
      <c r="B972" s="156"/>
      <c r="C972" s="21" t="s">
        <v>715</v>
      </c>
      <c r="D972" s="109" t="s">
        <v>13232</v>
      </c>
      <c r="E972" s="109"/>
      <c r="F972" s="391" t="s">
        <v>14328</v>
      </c>
      <c r="G972" s="23" t="s">
        <v>13998</v>
      </c>
      <c r="H972" s="23"/>
      <c r="I972" s="23"/>
      <c r="J972" s="23"/>
      <c r="K972" s="23"/>
      <c r="L972" s="375" t="s">
        <v>7787</v>
      </c>
      <c r="M972" s="351"/>
      <c r="N972" s="267">
        <f t="shared" si="162"/>
        <v>0</v>
      </c>
      <c r="O972" s="268">
        <f t="shared" si="163"/>
        <v>0</v>
      </c>
      <c r="P972" s="248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6"/>
        <v>0</v>
      </c>
      <c r="AD972" s="196">
        <f t="shared" si="167"/>
        <v>0</v>
      </c>
      <c r="AE972" s="196">
        <f t="shared" si="168"/>
        <v>0</v>
      </c>
      <c r="AF972" s="2">
        <f t="shared" si="169"/>
        <v>0</v>
      </c>
      <c r="AG972" s="2">
        <f t="shared" si="170"/>
        <v>0</v>
      </c>
    </row>
    <row r="973" spans="1:33">
      <c r="A973" s="20" t="s">
        <v>1629</v>
      </c>
      <c r="B973" s="150"/>
      <c r="C973" s="21" t="s">
        <v>215</v>
      </c>
      <c r="D973" s="109" t="s">
        <v>14233</v>
      </c>
      <c r="E973" s="109" t="s">
        <v>14075</v>
      </c>
      <c r="F973" s="391" t="s">
        <v>14330</v>
      </c>
      <c r="G973" s="23" t="s">
        <v>13975</v>
      </c>
      <c r="H973" s="23"/>
      <c r="I973" s="23"/>
      <c r="J973" s="23"/>
      <c r="K973" s="23"/>
      <c r="L973" s="350" t="s">
        <v>45</v>
      </c>
      <c r="M973" s="351"/>
      <c r="N973" s="267">
        <f t="shared" si="162"/>
        <v>0</v>
      </c>
      <c r="O973" s="268">
        <f t="shared" si="163"/>
        <v>0</v>
      </c>
      <c r="P973" s="239"/>
      <c r="Q973" s="239"/>
      <c r="R973" s="239"/>
      <c r="S973" s="239"/>
      <c r="T973" s="239"/>
      <c r="U973" s="240"/>
      <c r="V973" s="240"/>
      <c r="W973" s="240"/>
      <c r="X973" s="278"/>
      <c r="Y973" s="237"/>
      <c r="Z973" s="237"/>
      <c r="AA973" s="279"/>
      <c r="AB973" s="238"/>
      <c r="AC973" s="196">
        <f t="shared" si="166"/>
        <v>0</v>
      </c>
      <c r="AD973" s="196">
        <f t="shared" si="167"/>
        <v>0</v>
      </c>
      <c r="AE973" s="196">
        <f t="shared" si="168"/>
        <v>0</v>
      </c>
      <c r="AF973" s="2">
        <f t="shared" si="169"/>
        <v>0</v>
      </c>
      <c r="AG973" s="2">
        <f t="shared" si="170"/>
        <v>0</v>
      </c>
    </row>
    <row r="974" spans="1:33">
      <c r="A974" s="20" t="s">
        <v>12238</v>
      </c>
      <c r="B974" s="150"/>
      <c r="C974" s="21" t="s">
        <v>216</v>
      </c>
      <c r="D974" s="109" t="s">
        <v>13991</v>
      </c>
      <c r="E974" s="109"/>
      <c r="F974" s="391" t="s">
        <v>14331</v>
      </c>
      <c r="G974" s="23" t="s">
        <v>14197</v>
      </c>
      <c r="H974" s="23" t="s">
        <v>14014</v>
      </c>
      <c r="I974" s="23" t="s">
        <v>14198</v>
      </c>
      <c r="J974" s="23"/>
      <c r="K974" s="23"/>
      <c r="L974" s="375" t="s">
        <v>45</v>
      </c>
      <c r="M974" s="351" t="s">
        <v>7787</v>
      </c>
      <c r="N974" s="267">
        <f t="shared" si="162"/>
        <v>0</v>
      </c>
      <c r="O974" s="268">
        <f t="shared" si="163"/>
        <v>0</v>
      </c>
      <c r="P974" s="239"/>
      <c r="Q974" s="239"/>
      <c r="R974" s="239"/>
      <c r="S974" s="239"/>
      <c r="T974" s="239"/>
      <c r="U974" s="240"/>
      <c r="V974" s="239"/>
      <c r="W974" s="240"/>
      <c r="X974" s="278"/>
      <c r="Y974" s="237"/>
      <c r="Z974" s="237"/>
      <c r="AA974" s="279"/>
      <c r="AB974" s="238"/>
      <c r="AC974" s="196">
        <f t="shared" si="166"/>
        <v>0</v>
      </c>
      <c r="AD974" s="196">
        <f t="shared" si="167"/>
        <v>0</v>
      </c>
      <c r="AE974" s="196">
        <f t="shared" si="168"/>
        <v>0</v>
      </c>
      <c r="AF974" s="2">
        <f t="shared" si="169"/>
        <v>0</v>
      </c>
      <c r="AG974" s="2">
        <f t="shared" si="170"/>
        <v>0</v>
      </c>
    </row>
    <row r="975" spans="1:33">
      <c r="A975" s="20" t="s">
        <v>19957</v>
      </c>
      <c r="B975" s="150"/>
      <c r="C975" s="21" t="s">
        <v>216</v>
      </c>
      <c r="D975" s="109" t="s">
        <v>20021</v>
      </c>
      <c r="E975" s="109"/>
      <c r="F975" s="391" t="s">
        <v>20026</v>
      </c>
      <c r="G975" s="23" t="s">
        <v>6133</v>
      </c>
      <c r="H975" s="23" t="s">
        <v>26969</v>
      </c>
      <c r="I975" s="23"/>
      <c r="J975" s="23"/>
      <c r="K975" s="23"/>
      <c r="L975" s="375" t="s">
        <v>45</v>
      </c>
      <c r="M975" s="351"/>
      <c r="N975" s="267">
        <f t="shared" si="162"/>
        <v>0</v>
      </c>
      <c r="O975" s="268">
        <f t="shared" si="163"/>
        <v>400</v>
      </c>
      <c r="P975" s="239"/>
      <c r="Q975" s="239">
        <f>700-300</f>
        <v>400</v>
      </c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 t="s">
        <v>26970</v>
      </c>
      <c r="AC975" s="196">
        <f t="shared" si="166"/>
        <v>400</v>
      </c>
      <c r="AD975" s="196">
        <f t="shared" si="167"/>
        <v>400</v>
      </c>
      <c r="AE975" s="196">
        <f t="shared" si="168"/>
        <v>0</v>
      </c>
      <c r="AF975" s="2">
        <f t="shared" si="169"/>
        <v>400</v>
      </c>
      <c r="AG975" s="2">
        <f t="shared" si="170"/>
        <v>0</v>
      </c>
    </row>
    <row r="976" spans="1:33">
      <c r="A976" s="20" t="s">
        <v>1630</v>
      </c>
      <c r="B976" s="161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2"/>
        <v>0</v>
      </c>
      <c r="O976" s="268">
        <f t="shared" si="163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79"/>
      <c r="AB976" s="238"/>
      <c r="AC976" s="196">
        <f t="shared" si="166"/>
        <v>0</v>
      </c>
      <c r="AD976" s="196">
        <f t="shared" si="167"/>
        <v>0</v>
      </c>
      <c r="AE976" s="196">
        <f t="shared" si="168"/>
        <v>0</v>
      </c>
      <c r="AF976" s="2">
        <f t="shared" si="169"/>
        <v>0</v>
      </c>
      <c r="AG976" s="2">
        <f t="shared" si="170"/>
        <v>0</v>
      </c>
    </row>
    <row r="977" spans="1:33">
      <c r="A977" s="20" t="s">
        <v>1631</v>
      </c>
      <c r="B977" s="150"/>
      <c r="C977" s="21" t="s">
        <v>216</v>
      </c>
      <c r="D977" s="109" t="s">
        <v>14288</v>
      </c>
      <c r="E977" s="109"/>
      <c r="F977" s="391" t="s">
        <v>14331</v>
      </c>
      <c r="G977" s="23" t="s">
        <v>14332</v>
      </c>
      <c r="H977" s="23"/>
      <c r="I977" s="23"/>
      <c r="J977" s="23"/>
      <c r="K977" s="23"/>
      <c r="L977" s="350"/>
      <c r="M977" s="351"/>
      <c r="N977" s="267">
        <f t="shared" si="162"/>
        <v>0</v>
      </c>
      <c r="O977" s="268">
        <f t="shared" si="163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85"/>
      <c r="AB977" s="238"/>
      <c r="AC977" s="196">
        <f t="shared" si="166"/>
        <v>0</v>
      </c>
      <c r="AD977" s="196">
        <f t="shared" si="167"/>
        <v>0</v>
      </c>
      <c r="AE977" s="196">
        <f t="shared" si="168"/>
        <v>0</v>
      </c>
      <c r="AF977" s="2">
        <f t="shared" si="169"/>
        <v>0</v>
      </c>
      <c r="AG977" s="2">
        <f t="shared" si="170"/>
        <v>0</v>
      </c>
    </row>
    <row r="978" spans="1:33">
      <c r="A978" s="20" t="s">
        <v>1632</v>
      </c>
      <c r="B978" s="161"/>
      <c r="C978" s="21" t="s">
        <v>217</v>
      </c>
      <c r="D978" s="109" t="s">
        <v>13223</v>
      </c>
      <c r="E978" s="109"/>
      <c r="F978" s="391" t="s">
        <v>14333</v>
      </c>
      <c r="G978" s="23" t="s">
        <v>14019</v>
      </c>
      <c r="H978" s="23"/>
      <c r="I978" s="23"/>
      <c r="J978" s="23"/>
      <c r="K978" s="23"/>
      <c r="L978" s="350"/>
      <c r="M978" s="351"/>
      <c r="N978" s="267">
        <f t="shared" si="162"/>
        <v>0</v>
      </c>
      <c r="O978" s="268">
        <f t="shared" si="163"/>
        <v>0</v>
      </c>
      <c r="P978" s="239"/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/>
      <c r="AC978" s="196">
        <f t="shared" si="166"/>
        <v>0</v>
      </c>
      <c r="AD978" s="196">
        <f t="shared" si="167"/>
        <v>0</v>
      </c>
      <c r="AE978" s="196">
        <f t="shared" si="168"/>
        <v>0</v>
      </c>
      <c r="AF978" s="2">
        <f t="shared" si="169"/>
        <v>0</v>
      </c>
      <c r="AG978" s="2">
        <f t="shared" si="170"/>
        <v>0</v>
      </c>
    </row>
    <row r="979" spans="1:33">
      <c r="A979" s="20" t="s">
        <v>1633</v>
      </c>
      <c r="B979" s="150"/>
      <c r="C979" s="21" t="s">
        <v>218</v>
      </c>
      <c r="D979" s="109" t="s">
        <v>13223</v>
      </c>
      <c r="E979" s="109"/>
      <c r="F979" s="391" t="s">
        <v>14334</v>
      </c>
      <c r="G979" s="23" t="s">
        <v>14019</v>
      </c>
      <c r="H979" s="23" t="s">
        <v>27353</v>
      </c>
      <c r="I979" s="23"/>
      <c r="J979" s="23"/>
      <c r="K979" s="23"/>
      <c r="L979" s="375" t="s">
        <v>45</v>
      </c>
      <c r="M979" s="351" t="s">
        <v>7787</v>
      </c>
      <c r="N979" s="267">
        <f t="shared" si="162"/>
        <v>0</v>
      </c>
      <c r="O979" s="268">
        <f t="shared" si="163"/>
        <v>50</v>
      </c>
      <c r="P979" s="239">
        <f>250-200</f>
        <v>50</v>
      </c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79"/>
      <c r="AB979" s="238" t="s">
        <v>27330</v>
      </c>
      <c r="AC979" s="196">
        <f t="shared" si="166"/>
        <v>50</v>
      </c>
      <c r="AD979" s="196">
        <f t="shared" si="167"/>
        <v>50</v>
      </c>
      <c r="AE979" s="196">
        <f t="shared" si="168"/>
        <v>0</v>
      </c>
      <c r="AF979" s="2">
        <f t="shared" si="169"/>
        <v>50</v>
      </c>
      <c r="AG979" s="2">
        <f t="shared" si="170"/>
        <v>0</v>
      </c>
    </row>
    <row r="980" spans="1:33">
      <c r="A980" s="20" t="s">
        <v>1634</v>
      </c>
      <c r="B980" s="161"/>
      <c r="C980" s="21" t="s">
        <v>219</v>
      </c>
      <c r="D980" s="109" t="s">
        <v>13223</v>
      </c>
      <c r="E980" s="109"/>
      <c r="F980" s="391" t="s">
        <v>14335</v>
      </c>
      <c r="G980" s="23" t="s">
        <v>14019</v>
      </c>
      <c r="H980" s="23"/>
      <c r="I980" s="23"/>
      <c r="J980" s="23"/>
      <c r="K980" s="23"/>
      <c r="L980" s="366" t="s">
        <v>7787</v>
      </c>
      <c r="M980" s="351"/>
      <c r="N980" s="267">
        <f t="shared" si="162"/>
        <v>0</v>
      </c>
      <c r="O980" s="268">
        <f t="shared" si="163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39"/>
      <c r="AB980" s="238"/>
      <c r="AC980" s="196">
        <f t="shared" si="166"/>
        <v>0</v>
      </c>
      <c r="AD980" s="196">
        <f t="shared" si="167"/>
        <v>0</v>
      </c>
      <c r="AE980" s="196">
        <f t="shared" si="168"/>
        <v>0</v>
      </c>
      <c r="AF980" s="2">
        <f t="shared" si="169"/>
        <v>0</v>
      </c>
      <c r="AG980" s="2">
        <f t="shared" si="170"/>
        <v>0</v>
      </c>
    </row>
    <row r="981" spans="1:33">
      <c r="A981" s="20" t="s">
        <v>8909</v>
      </c>
      <c r="B981" s="150"/>
      <c r="C981" s="21" t="s">
        <v>220</v>
      </c>
      <c r="D981" s="109" t="s">
        <v>14126</v>
      </c>
      <c r="E981" s="109"/>
      <c r="F981" s="391" t="s">
        <v>14336</v>
      </c>
      <c r="G981" s="23" t="s">
        <v>14002</v>
      </c>
      <c r="H981" s="23"/>
      <c r="I981" s="23"/>
      <c r="J981" s="23"/>
      <c r="K981" s="23"/>
      <c r="L981" s="366" t="s">
        <v>7787</v>
      </c>
      <c r="M981" s="351" t="s">
        <v>7787</v>
      </c>
      <c r="N981" s="267">
        <f t="shared" si="162"/>
        <v>0</v>
      </c>
      <c r="O981" s="268">
        <f t="shared" si="163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79"/>
      <c r="AB981" s="238"/>
      <c r="AC981" s="196">
        <f t="shared" si="166"/>
        <v>0</v>
      </c>
      <c r="AD981" s="196">
        <f t="shared" si="167"/>
        <v>0</v>
      </c>
      <c r="AE981" s="196">
        <f t="shared" si="168"/>
        <v>0</v>
      </c>
      <c r="AF981" s="2">
        <f t="shared" si="169"/>
        <v>0</v>
      </c>
      <c r="AG981" s="2">
        <f t="shared" si="170"/>
        <v>0</v>
      </c>
    </row>
    <row r="982" spans="1:33">
      <c r="A982" s="20" t="s">
        <v>1636</v>
      </c>
      <c r="B982" s="150"/>
      <c r="C982" s="21" t="s">
        <v>220</v>
      </c>
      <c r="D982" s="109" t="s">
        <v>14291</v>
      </c>
      <c r="E982" s="109" t="s">
        <v>13994</v>
      </c>
      <c r="F982" s="391" t="s">
        <v>14337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2"/>
        <v>0</v>
      </c>
      <c r="O982" s="268">
        <f t="shared" si="163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85"/>
      <c r="AB982" s="238"/>
      <c r="AC982" s="196">
        <f t="shared" si="166"/>
        <v>0</v>
      </c>
      <c r="AD982" s="196">
        <f t="shared" si="167"/>
        <v>0</v>
      </c>
      <c r="AE982" s="196">
        <f t="shared" si="168"/>
        <v>0</v>
      </c>
      <c r="AF982" s="2">
        <f t="shared" si="169"/>
        <v>0</v>
      </c>
      <c r="AG982" s="2">
        <f t="shared" si="170"/>
        <v>0</v>
      </c>
    </row>
    <row r="983" spans="1:33">
      <c r="A983" s="20" t="s">
        <v>1635</v>
      </c>
      <c r="B983" s="150"/>
      <c r="C983" s="21" t="s">
        <v>220</v>
      </c>
      <c r="D983" s="109" t="s">
        <v>14288</v>
      </c>
      <c r="E983" s="109"/>
      <c r="F983" s="391" t="s">
        <v>14336</v>
      </c>
      <c r="G983" s="23" t="s">
        <v>14023</v>
      </c>
      <c r="H983" s="23"/>
      <c r="I983" s="23"/>
      <c r="J983" s="23"/>
      <c r="K983" s="23"/>
      <c r="L983" s="350"/>
      <c r="M983" s="351"/>
      <c r="N983" s="267">
        <f t="shared" si="162"/>
        <v>0</v>
      </c>
      <c r="O983" s="268">
        <f t="shared" si="163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6"/>
        <v>0</v>
      </c>
      <c r="AD983" s="196">
        <f t="shared" si="167"/>
        <v>0</v>
      </c>
      <c r="AE983" s="196">
        <f t="shared" si="168"/>
        <v>0</v>
      </c>
      <c r="AF983" s="2">
        <f t="shared" si="169"/>
        <v>0</v>
      </c>
      <c r="AG983" s="2">
        <f t="shared" si="170"/>
        <v>0</v>
      </c>
    </row>
    <row r="984" spans="1:33">
      <c r="A984" s="20" t="s">
        <v>1638</v>
      </c>
      <c r="B984" s="150"/>
      <c r="C984" s="21" t="s">
        <v>221</v>
      </c>
      <c r="D984" s="109" t="s">
        <v>13991</v>
      </c>
      <c r="E984" s="109" t="s">
        <v>13210</v>
      </c>
      <c r="F984" s="391" t="s">
        <v>14338</v>
      </c>
      <c r="G984" s="23"/>
      <c r="H984" s="23"/>
      <c r="I984" s="23"/>
      <c r="J984" s="23"/>
      <c r="K984" s="23"/>
      <c r="L984" s="350"/>
      <c r="M984" s="351"/>
      <c r="N984" s="267">
        <f t="shared" si="162"/>
        <v>0</v>
      </c>
      <c r="O984" s="268">
        <f t="shared" si="163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6"/>
        <v>0</v>
      </c>
      <c r="AD984" s="196">
        <f t="shared" si="167"/>
        <v>0</v>
      </c>
      <c r="AE984" s="196">
        <f t="shared" si="168"/>
        <v>0</v>
      </c>
      <c r="AF984" s="2">
        <f t="shared" si="169"/>
        <v>0</v>
      </c>
      <c r="AG984" s="2">
        <f t="shared" si="170"/>
        <v>0</v>
      </c>
    </row>
    <row r="985" spans="1:33">
      <c r="A985" s="20" t="s">
        <v>1637</v>
      </c>
      <c r="B985" s="161"/>
      <c r="C985" s="21" t="s">
        <v>221</v>
      </c>
      <c r="D985" s="109" t="s">
        <v>13207</v>
      </c>
      <c r="E985" s="109"/>
      <c r="F985" s="391" t="s">
        <v>14339</v>
      </c>
      <c r="G985" s="23" t="s">
        <v>13218</v>
      </c>
      <c r="H985" s="23" t="s">
        <v>13999</v>
      </c>
      <c r="I985" s="23"/>
      <c r="J985" s="23"/>
      <c r="K985" s="23"/>
      <c r="L985" s="375"/>
      <c r="M985" s="351"/>
      <c r="N985" s="267">
        <f t="shared" si="162"/>
        <v>0</v>
      </c>
      <c r="O985" s="268">
        <f t="shared" si="163"/>
        <v>0</v>
      </c>
      <c r="P985" s="239"/>
      <c r="Q985" s="239"/>
      <c r="R985" s="239"/>
      <c r="S985" s="239"/>
      <c r="T985" s="239"/>
      <c r="U985" s="240"/>
      <c r="V985" s="240"/>
      <c r="W985" s="240"/>
      <c r="X985" s="278"/>
      <c r="Y985" s="237"/>
      <c r="Z985" s="237"/>
      <c r="AA985" s="279"/>
      <c r="AB985" s="238"/>
      <c r="AC985" s="196">
        <f t="shared" si="166"/>
        <v>0</v>
      </c>
      <c r="AD985" s="196">
        <f t="shared" si="167"/>
        <v>0</v>
      </c>
      <c r="AE985" s="196">
        <f t="shared" si="168"/>
        <v>0</v>
      </c>
      <c r="AF985" s="2">
        <f t="shared" si="169"/>
        <v>0</v>
      </c>
      <c r="AG985" s="2">
        <f t="shared" si="170"/>
        <v>0</v>
      </c>
    </row>
    <row r="986" spans="1:33">
      <c r="A986" s="377" t="s">
        <v>1637</v>
      </c>
      <c r="B986" s="150"/>
      <c r="C986" s="21" t="s">
        <v>221</v>
      </c>
      <c r="D986" s="109" t="s">
        <v>13207</v>
      </c>
      <c r="E986" s="109" t="s">
        <v>26604</v>
      </c>
      <c r="F986" s="391" t="s">
        <v>14339</v>
      </c>
      <c r="G986" s="23" t="s">
        <v>14170</v>
      </c>
      <c r="H986" s="23" t="s">
        <v>13997</v>
      </c>
      <c r="I986" s="23" t="s">
        <v>13999</v>
      </c>
      <c r="J986" s="23" t="s">
        <v>13996</v>
      </c>
      <c r="K986" s="23"/>
      <c r="L986" s="375" t="s">
        <v>7787</v>
      </c>
      <c r="M986" s="351" t="s">
        <v>7787</v>
      </c>
      <c r="N986" s="267">
        <f t="shared" si="162"/>
        <v>0</v>
      </c>
      <c r="O986" s="268">
        <f t="shared" si="163"/>
        <v>1500</v>
      </c>
      <c r="P986" s="240"/>
      <c r="Q986" s="239"/>
      <c r="R986" s="239"/>
      <c r="S986" s="239"/>
      <c r="T986" s="239"/>
      <c r="U986" s="240">
        <f>2000-500</f>
        <v>1500</v>
      </c>
      <c r="V986" s="240"/>
      <c r="W986" s="240"/>
      <c r="X986" s="278"/>
      <c r="Y986" s="237"/>
      <c r="Z986" s="237"/>
      <c r="AA986" s="279"/>
      <c r="AB986" s="238" t="s">
        <v>27780</v>
      </c>
      <c r="AC986" s="196">
        <f t="shared" si="166"/>
        <v>1500</v>
      </c>
      <c r="AD986" s="196">
        <f t="shared" si="167"/>
        <v>1500</v>
      </c>
      <c r="AE986" s="196">
        <f t="shared" si="168"/>
        <v>0</v>
      </c>
      <c r="AF986" s="2">
        <f t="shared" si="169"/>
        <v>1500</v>
      </c>
      <c r="AG986" s="2">
        <f t="shared" si="170"/>
        <v>0</v>
      </c>
    </row>
    <row r="987" spans="1:33">
      <c r="A987" s="20" t="s">
        <v>6794</v>
      </c>
      <c r="B987" s="150"/>
      <c r="C987" s="21" t="s">
        <v>14340</v>
      </c>
      <c r="D987" s="109" t="s">
        <v>13207</v>
      </c>
      <c r="E987" s="109" t="s">
        <v>13994</v>
      </c>
      <c r="F987" s="391" t="s">
        <v>14339</v>
      </c>
      <c r="G987" s="23" t="s">
        <v>14025</v>
      </c>
      <c r="H987" s="23"/>
      <c r="I987" s="23"/>
      <c r="J987" s="23"/>
      <c r="K987" s="23"/>
      <c r="L987" s="375" t="s">
        <v>7787</v>
      </c>
      <c r="M987" s="357" t="s">
        <v>7787</v>
      </c>
      <c r="N987" s="267">
        <f t="shared" si="162"/>
        <v>0</v>
      </c>
      <c r="O987" s="268">
        <f t="shared" si="163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6"/>
        <v>0</v>
      </c>
      <c r="AD987" s="196">
        <f t="shared" si="167"/>
        <v>0</v>
      </c>
      <c r="AE987" s="196">
        <f t="shared" si="168"/>
        <v>0</v>
      </c>
      <c r="AF987" s="2">
        <f t="shared" si="169"/>
        <v>0</v>
      </c>
      <c r="AG987" s="2">
        <f t="shared" si="170"/>
        <v>0</v>
      </c>
    </row>
    <row r="988" spans="1:33">
      <c r="A988" s="20" t="s">
        <v>6795</v>
      </c>
      <c r="B988" s="169" t="s">
        <v>6649</v>
      </c>
      <c r="C988" s="21" t="s">
        <v>14340</v>
      </c>
      <c r="D988" s="109" t="s">
        <v>13207</v>
      </c>
      <c r="E988" s="109" t="s">
        <v>13992</v>
      </c>
      <c r="F988" s="391" t="s">
        <v>14339</v>
      </c>
      <c r="G988" s="23" t="s">
        <v>14025</v>
      </c>
      <c r="H988" s="23"/>
      <c r="I988" s="23"/>
      <c r="J988" s="23"/>
      <c r="K988" s="23"/>
      <c r="L988" s="350"/>
      <c r="M988" s="351"/>
      <c r="N988" s="267">
        <f t="shared" si="162"/>
        <v>0</v>
      </c>
      <c r="O988" s="268">
        <f t="shared" si="163"/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6"/>
        <v>0</v>
      </c>
      <c r="AD988" s="196">
        <f t="shared" si="167"/>
        <v>0</v>
      </c>
      <c r="AE988" s="196">
        <f t="shared" si="168"/>
        <v>0</v>
      </c>
      <c r="AF988" s="2">
        <f t="shared" si="169"/>
        <v>0</v>
      </c>
      <c r="AG988" s="2">
        <f t="shared" si="170"/>
        <v>0</v>
      </c>
    </row>
    <row r="989" spans="1:33">
      <c r="A989" s="20" t="s">
        <v>19884</v>
      </c>
      <c r="B989" s="169"/>
      <c r="C989" s="21" t="s">
        <v>6650</v>
      </c>
      <c r="D989" s="109" t="s">
        <v>3096</v>
      </c>
      <c r="E989" s="109" t="s">
        <v>19347</v>
      </c>
      <c r="F989" s="391" t="s">
        <v>4470</v>
      </c>
      <c r="G989" s="23" t="s">
        <v>14025</v>
      </c>
      <c r="H989" s="23"/>
      <c r="I989" s="23"/>
      <c r="J989" s="23"/>
      <c r="K989" s="23"/>
      <c r="L989" s="375" t="s">
        <v>7787</v>
      </c>
      <c r="M989" s="351" t="s">
        <v>7787</v>
      </c>
      <c r="N989" s="267">
        <f t="shared" ref="N989:N1052" si="171">SUM(L989:M989)</f>
        <v>0</v>
      </c>
      <c r="O989" s="268">
        <f t="shared" ref="O989:O1052" si="172">SUM(P989:Z989)</f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6"/>
        <v>0</v>
      </c>
      <c r="AD989" s="196">
        <f t="shared" si="167"/>
        <v>0</v>
      </c>
      <c r="AE989" s="196">
        <f t="shared" si="168"/>
        <v>0</v>
      </c>
      <c r="AF989" s="2">
        <f t="shared" si="169"/>
        <v>0</v>
      </c>
      <c r="AG989" s="2">
        <f t="shared" si="170"/>
        <v>0</v>
      </c>
    </row>
    <row r="990" spans="1:33">
      <c r="A990" s="20" t="s">
        <v>1785</v>
      </c>
      <c r="B990" s="150"/>
      <c r="C990" s="21" t="s">
        <v>748</v>
      </c>
      <c r="D990" s="109" t="s">
        <v>13228</v>
      </c>
      <c r="E990" s="109"/>
      <c r="F990" s="391" t="s">
        <v>14341</v>
      </c>
      <c r="G990" s="23"/>
      <c r="H990" s="23"/>
      <c r="I990" s="23"/>
      <c r="J990" s="23"/>
      <c r="K990" s="23"/>
      <c r="L990" s="350"/>
      <c r="M990" s="351"/>
      <c r="N990" s="267">
        <f t="shared" si="171"/>
        <v>0</v>
      </c>
      <c r="O990" s="268">
        <f t="shared" si="172"/>
        <v>0</v>
      </c>
      <c r="P990" s="239"/>
      <c r="Q990" s="239"/>
      <c r="R990" s="239"/>
      <c r="S990" s="239"/>
      <c r="T990" s="239"/>
      <c r="U990" s="240"/>
      <c r="V990" s="240"/>
      <c r="W990" s="240"/>
      <c r="X990" s="278"/>
      <c r="Y990" s="237"/>
      <c r="Z990" s="237"/>
      <c r="AA990" s="279"/>
      <c r="AB990" s="238"/>
      <c r="AC990" s="196">
        <f t="shared" si="166"/>
        <v>0</v>
      </c>
      <c r="AD990" s="196">
        <f t="shared" si="167"/>
        <v>0</v>
      </c>
      <c r="AE990" s="196">
        <f t="shared" si="168"/>
        <v>0</v>
      </c>
      <c r="AF990" s="2">
        <f t="shared" si="169"/>
        <v>0</v>
      </c>
      <c r="AG990" s="2">
        <f t="shared" si="170"/>
        <v>0</v>
      </c>
    </row>
    <row r="991" spans="1:33">
      <c r="A991" s="20" t="s">
        <v>1639</v>
      </c>
      <c r="B991" s="150"/>
      <c r="C991" s="21" t="s">
        <v>222</v>
      </c>
      <c r="D991" s="109" t="s">
        <v>14233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75" t="s">
        <v>7787</v>
      </c>
      <c r="M991" s="351" t="s">
        <v>7787</v>
      </c>
      <c r="N991" s="267">
        <f t="shared" si="171"/>
        <v>0</v>
      </c>
      <c r="O991" s="268">
        <f t="shared" si="172"/>
        <v>0</v>
      </c>
      <c r="P991" s="239"/>
      <c r="Q991" s="239"/>
      <c r="R991" s="239"/>
      <c r="S991" s="239"/>
      <c r="T991" s="239"/>
      <c r="U991" s="240"/>
      <c r="V991" s="239"/>
      <c r="W991" s="240"/>
      <c r="X991" s="278"/>
      <c r="Y991" s="237"/>
      <c r="Z991" s="237"/>
      <c r="AA991" s="279"/>
      <c r="AB991" s="238"/>
      <c r="AC991" s="196">
        <f t="shared" si="166"/>
        <v>0</v>
      </c>
      <c r="AD991" s="196">
        <f t="shared" si="167"/>
        <v>0</v>
      </c>
      <c r="AE991" s="196">
        <f t="shared" si="168"/>
        <v>0</v>
      </c>
      <c r="AF991" s="2">
        <f t="shared" si="169"/>
        <v>0</v>
      </c>
      <c r="AG991" s="2">
        <f t="shared" si="170"/>
        <v>0</v>
      </c>
    </row>
    <row r="992" spans="1:33">
      <c r="A992" s="20" t="s">
        <v>1640</v>
      </c>
      <c r="B992" s="150"/>
      <c r="C992" s="21" t="s">
        <v>222</v>
      </c>
      <c r="D992" s="109" t="s">
        <v>14314</v>
      </c>
      <c r="E992" s="109" t="s">
        <v>14075</v>
      </c>
      <c r="F992" s="391" t="s">
        <v>14342</v>
      </c>
      <c r="G992" s="23" t="s">
        <v>13975</v>
      </c>
      <c r="H992" s="23"/>
      <c r="I992" s="23"/>
      <c r="J992" s="23"/>
      <c r="K992" s="23"/>
      <c r="L992" s="350"/>
      <c r="M992" s="351"/>
      <c r="N992" s="267">
        <f t="shared" si="171"/>
        <v>0</v>
      </c>
      <c r="O992" s="268">
        <f t="shared" si="172"/>
        <v>0</v>
      </c>
      <c r="P992" s="239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6"/>
        <v>0</v>
      </c>
      <c r="AD992" s="196">
        <f t="shared" si="167"/>
        <v>0</v>
      </c>
      <c r="AE992" s="196">
        <f t="shared" si="168"/>
        <v>0</v>
      </c>
      <c r="AF992" s="2">
        <f t="shared" si="169"/>
        <v>0</v>
      </c>
      <c r="AG992" s="2">
        <f t="shared" si="170"/>
        <v>0</v>
      </c>
    </row>
    <row r="993" spans="1:33">
      <c r="A993" s="20" t="s">
        <v>1641</v>
      </c>
      <c r="B993" s="150"/>
      <c r="C993" s="21" t="s">
        <v>223</v>
      </c>
      <c r="D993" s="109" t="s">
        <v>13223</v>
      </c>
      <c r="E993" s="109"/>
      <c r="F993" s="391" t="s">
        <v>14343</v>
      </c>
      <c r="G993" s="23" t="s">
        <v>14344</v>
      </c>
      <c r="H993" s="23" t="s">
        <v>13826</v>
      </c>
      <c r="I993" s="23"/>
      <c r="J993" s="23"/>
      <c r="K993" s="23"/>
      <c r="L993" s="375" t="s">
        <v>7787</v>
      </c>
      <c r="M993" s="351"/>
      <c r="N993" s="267">
        <f t="shared" si="171"/>
        <v>0</v>
      </c>
      <c r="O993" s="268">
        <f t="shared" si="172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6"/>
        <v>0</v>
      </c>
      <c r="AD993" s="196">
        <f t="shared" si="167"/>
        <v>0</v>
      </c>
      <c r="AE993" s="196">
        <f t="shared" si="168"/>
        <v>0</v>
      </c>
      <c r="AF993" s="2">
        <f t="shared" si="169"/>
        <v>0</v>
      </c>
      <c r="AG993" s="2">
        <f t="shared" si="170"/>
        <v>0</v>
      </c>
    </row>
    <row r="994" spans="1:33">
      <c r="A994" s="20" t="s">
        <v>10831</v>
      </c>
      <c r="B994" s="150"/>
      <c r="C994" s="21" t="s">
        <v>223</v>
      </c>
      <c r="D994" s="109" t="s">
        <v>14345</v>
      </c>
      <c r="E994" s="109"/>
      <c r="F994" s="391" t="s">
        <v>14343</v>
      </c>
      <c r="G994" s="23" t="s">
        <v>14346</v>
      </c>
      <c r="H994" s="23"/>
      <c r="I994" s="23"/>
      <c r="J994" s="23"/>
      <c r="K994" s="23"/>
      <c r="L994" s="375" t="s">
        <v>7787</v>
      </c>
      <c r="M994" s="351"/>
      <c r="N994" s="267">
        <f t="shared" si="171"/>
        <v>0</v>
      </c>
      <c r="O994" s="268">
        <f t="shared" si="172"/>
        <v>0</v>
      </c>
      <c r="P994" s="248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6"/>
        <v>0</v>
      </c>
      <c r="AD994" s="196">
        <f t="shared" si="167"/>
        <v>0</v>
      </c>
      <c r="AE994" s="196">
        <f t="shared" si="168"/>
        <v>0</v>
      </c>
      <c r="AF994" s="2">
        <f t="shared" si="169"/>
        <v>0</v>
      </c>
      <c r="AG994" s="2">
        <f t="shared" si="170"/>
        <v>0</v>
      </c>
    </row>
    <row r="995" spans="1:33">
      <c r="A995" s="20" t="s">
        <v>1642</v>
      </c>
      <c r="B995" s="150"/>
      <c r="C995" s="21" t="s">
        <v>224</v>
      </c>
      <c r="D995" s="109" t="s">
        <v>14061</v>
      </c>
      <c r="E995" s="109" t="s">
        <v>13210</v>
      </c>
      <c r="F995" s="391" t="s">
        <v>14347</v>
      </c>
      <c r="G995" s="23" t="s">
        <v>14348</v>
      </c>
      <c r="H995" s="23"/>
      <c r="I995" s="23"/>
      <c r="J995" s="23"/>
      <c r="K995" s="23"/>
      <c r="L995" s="350"/>
      <c r="M995" s="351"/>
      <c r="N995" s="267">
        <f t="shared" si="171"/>
        <v>0</v>
      </c>
      <c r="O995" s="268">
        <f t="shared" si="172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6"/>
        <v>0</v>
      </c>
      <c r="AD995" s="196">
        <f t="shared" si="167"/>
        <v>0</v>
      </c>
      <c r="AE995" s="196">
        <f t="shared" si="168"/>
        <v>0</v>
      </c>
      <c r="AF995" s="2">
        <f t="shared" si="169"/>
        <v>0</v>
      </c>
      <c r="AG995" s="2">
        <f t="shared" si="170"/>
        <v>0</v>
      </c>
    </row>
    <row r="996" spans="1:33">
      <c r="A996" s="20" t="s">
        <v>1643</v>
      </c>
      <c r="B996" s="161"/>
      <c r="C996" s="21" t="s">
        <v>224</v>
      </c>
      <c r="D996" s="109" t="s">
        <v>14177</v>
      </c>
      <c r="E996" s="109"/>
      <c r="F996" s="391" t="s">
        <v>14347</v>
      </c>
      <c r="G996" s="23" t="s">
        <v>14218</v>
      </c>
      <c r="H996" s="23"/>
      <c r="I996" s="23"/>
      <c r="J996" s="23"/>
      <c r="K996" s="23"/>
      <c r="L996" s="350"/>
      <c r="M996" s="351"/>
      <c r="N996" s="267">
        <f t="shared" si="171"/>
        <v>0</v>
      </c>
      <c r="O996" s="268">
        <f t="shared" si="172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6"/>
        <v>0</v>
      </c>
      <c r="AD996" s="196">
        <f t="shared" si="167"/>
        <v>0</v>
      </c>
      <c r="AE996" s="196">
        <f t="shared" si="168"/>
        <v>0</v>
      </c>
      <c r="AF996" s="2">
        <f t="shared" si="169"/>
        <v>0</v>
      </c>
      <c r="AG996" s="2">
        <f t="shared" si="170"/>
        <v>0</v>
      </c>
    </row>
    <row r="997" spans="1:33">
      <c r="A997" s="20" t="s">
        <v>1644</v>
      </c>
      <c r="B997" s="150"/>
      <c r="C997" s="21" t="s">
        <v>225</v>
      </c>
      <c r="D997" s="109" t="s">
        <v>14299</v>
      </c>
      <c r="E997" s="109" t="s">
        <v>13210</v>
      </c>
      <c r="F997" s="391" t="s">
        <v>14349</v>
      </c>
      <c r="G997" s="23"/>
      <c r="H997" s="23"/>
      <c r="I997" s="23"/>
      <c r="J997" s="23"/>
      <c r="K997" s="23"/>
      <c r="L997" s="350"/>
      <c r="M997" s="351"/>
      <c r="N997" s="267">
        <f t="shared" si="171"/>
        <v>0</v>
      </c>
      <c r="O997" s="268">
        <f t="shared" si="172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6"/>
        <v>0</v>
      </c>
      <c r="AD997" s="196">
        <f t="shared" si="167"/>
        <v>0</v>
      </c>
      <c r="AE997" s="196">
        <f t="shared" si="168"/>
        <v>0</v>
      </c>
      <c r="AF997" s="2">
        <f t="shared" si="169"/>
        <v>0</v>
      </c>
      <c r="AG997" s="2">
        <f t="shared" si="170"/>
        <v>0</v>
      </c>
    </row>
    <row r="998" spans="1:33">
      <c r="A998" s="20" t="s">
        <v>1645</v>
      </c>
      <c r="B998" s="150"/>
      <c r="C998" s="21" t="s">
        <v>225</v>
      </c>
      <c r="D998" s="109" t="s">
        <v>13207</v>
      </c>
      <c r="E998" s="109"/>
      <c r="F998" s="391" t="s">
        <v>14349</v>
      </c>
      <c r="G998" s="23" t="s">
        <v>7854</v>
      </c>
      <c r="H998" s="23" t="s">
        <v>13495</v>
      </c>
      <c r="I998" s="23"/>
      <c r="J998" s="23"/>
      <c r="K998" s="23"/>
      <c r="L998" s="375" t="s">
        <v>7787</v>
      </c>
      <c r="M998" s="351" t="s">
        <v>7787</v>
      </c>
      <c r="N998" s="267">
        <f t="shared" si="171"/>
        <v>0</v>
      </c>
      <c r="O998" s="268">
        <f t="shared" si="172"/>
        <v>0</v>
      </c>
      <c r="P998" s="239"/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6"/>
        <v>0</v>
      </c>
      <c r="AD998" s="196">
        <f t="shared" si="167"/>
        <v>0</v>
      </c>
      <c r="AE998" s="196">
        <f t="shared" si="168"/>
        <v>0</v>
      </c>
      <c r="AF998" s="2">
        <f t="shared" si="169"/>
        <v>0</v>
      </c>
      <c r="AG998" s="2">
        <f t="shared" si="170"/>
        <v>0</v>
      </c>
    </row>
    <row r="999" spans="1:33">
      <c r="A999" s="20" t="s">
        <v>1646</v>
      </c>
      <c r="B999" s="156" t="s">
        <v>14350</v>
      </c>
      <c r="C999" s="21" t="s">
        <v>226</v>
      </c>
      <c r="D999" s="109" t="s">
        <v>14004</v>
      </c>
      <c r="E999" s="109" t="s">
        <v>14351</v>
      </c>
      <c r="F999" s="391" t="s">
        <v>14352</v>
      </c>
      <c r="G999" s="23" t="s">
        <v>5712</v>
      </c>
      <c r="H999" s="23"/>
      <c r="I999" s="23"/>
      <c r="J999" s="23"/>
      <c r="K999" s="23"/>
      <c r="L999" s="375"/>
      <c r="M999" s="358"/>
      <c r="N999" s="267">
        <f t="shared" si="171"/>
        <v>0</v>
      </c>
      <c r="O999" s="268">
        <f t="shared" si="172"/>
        <v>0</v>
      </c>
      <c r="P999" s="239">
        <v>0</v>
      </c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6"/>
        <v>0</v>
      </c>
      <c r="AD999" s="196">
        <f t="shared" si="167"/>
        <v>0</v>
      </c>
      <c r="AE999" s="196">
        <f t="shared" si="168"/>
        <v>0</v>
      </c>
      <c r="AF999" s="2">
        <f t="shared" si="169"/>
        <v>0</v>
      </c>
      <c r="AG999" s="2">
        <f t="shared" si="170"/>
        <v>0</v>
      </c>
    </row>
    <row r="1000" spans="1:33">
      <c r="A1000" s="20" t="s">
        <v>1647</v>
      </c>
      <c r="B1000" s="150"/>
      <c r="C1000" s="21" t="s">
        <v>226</v>
      </c>
      <c r="D1000" s="109" t="s">
        <v>14299</v>
      </c>
      <c r="E1000" s="109" t="s">
        <v>13210</v>
      </c>
      <c r="F1000" s="391" t="s">
        <v>14353</v>
      </c>
      <c r="G1000" s="23" t="s">
        <v>14195</v>
      </c>
      <c r="H1000" s="23"/>
      <c r="I1000" s="23"/>
      <c r="J1000" s="23"/>
      <c r="K1000" s="23"/>
      <c r="L1000" s="350"/>
      <c r="M1000" s="351" t="s">
        <v>7787</v>
      </c>
      <c r="N1000" s="267">
        <f t="shared" si="171"/>
        <v>0</v>
      </c>
      <c r="O1000" s="268">
        <f t="shared" si="172"/>
        <v>0</v>
      </c>
      <c r="P1000" s="239"/>
      <c r="Q1000" s="239"/>
      <c r="R1000" s="239"/>
      <c r="S1000" s="239"/>
      <c r="T1000" s="239"/>
      <c r="U1000" s="240"/>
      <c r="V1000" s="240"/>
      <c r="W1000" s="240"/>
      <c r="X1000" s="278"/>
      <c r="Y1000" s="237"/>
      <c r="Z1000" s="237"/>
      <c r="AA1000" s="279"/>
      <c r="AB1000" s="238"/>
      <c r="AC1000" s="196">
        <f t="shared" si="166"/>
        <v>0</v>
      </c>
      <c r="AD1000" s="196">
        <f t="shared" si="167"/>
        <v>0</v>
      </c>
      <c r="AE1000" s="196">
        <f t="shared" si="168"/>
        <v>0</v>
      </c>
      <c r="AF1000" s="2">
        <f t="shared" si="169"/>
        <v>0</v>
      </c>
      <c r="AG1000" s="2">
        <f t="shared" si="170"/>
        <v>0</v>
      </c>
    </row>
    <row r="1001" spans="1:33">
      <c r="A1001" s="20" t="s">
        <v>1649</v>
      </c>
      <c r="B1001" s="150"/>
      <c r="C1001" s="21" t="s">
        <v>226</v>
      </c>
      <c r="D1001" s="109" t="s">
        <v>14126</v>
      </c>
      <c r="E1001" s="109" t="s">
        <v>14354</v>
      </c>
      <c r="F1001" s="395" t="s">
        <v>14355</v>
      </c>
      <c r="G1001" s="23" t="s">
        <v>14002</v>
      </c>
      <c r="H1001" s="23" t="s">
        <v>14356</v>
      </c>
      <c r="I1001" s="23" t="s">
        <v>14014</v>
      </c>
      <c r="J1001" s="23" t="s">
        <v>13410</v>
      </c>
      <c r="K1001" s="23" t="s">
        <v>23792</v>
      </c>
      <c r="L1001" s="375"/>
      <c r="M1001" s="351" t="s">
        <v>45</v>
      </c>
      <c r="N1001" s="267">
        <f t="shared" si="171"/>
        <v>0</v>
      </c>
      <c r="O1001" s="268">
        <f t="shared" si="172"/>
        <v>1450</v>
      </c>
      <c r="P1001" s="240">
        <f>650+250-800+1000-800+900-800+900-800+1550+150-1600+550-1000+2500-1200</f>
        <v>1450</v>
      </c>
      <c r="Q1001" s="239"/>
      <c r="R1001" s="239"/>
      <c r="S1001" s="239"/>
      <c r="T1001" s="239"/>
      <c r="U1001" s="240"/>
      <c r="V1001" s="241"/>
      <c r="W1001" s="240"/>
      <c r="X1001" s="278"/>
      <c r="Y1001" s="240"/>
      <c r="Z1001" s="237"/>
      <c r="AA1001" s="279"/>
      <c r="AB1001" s="238" t="s">
        <v>27322</v>
      </c>
      <c r="AC1001" s="196">
        <f t="shared" si="166"/>
        <v>1450</v>
      </c>
      <c r="AD1001" s="196">
        <f t="shared" si="167"/>
        <v>1450</v>
      </c>
      <c r="AE1001" s="196">
        <f t="shared" si="168"/>
        <v>0</v>
      </c>
      <c r="AF1001" s="2">
        <f t="shared" si="169"/>
        <v>1450</v>
      </c>
      <c r="AG1001" s="2">
        <f t="shared" si="170"/>
        <v>0</v>
      </c>
    </row>
    <row r="1002" spans="1:33">
      <c r="A1002" s="20" t="s">
        <v>10750</v>
      </c>
      <c r="B1002" s="150"/>
      <c r="C1002" s="213" t="s">
        <v>226</v>
      </c>
      <c r="D1002" s="109" t="s">
        <v>14126</v>
      </c>
      <c r="E1002" s="202" t="s">
        <v>14167</v>
      </c>
      <c r="F1002" s="396" t="s">
        <v>14357</v>
      </c>
      <c r="G1002" s="380" t="s">
        <v>14358</v>
      </c>
      <c r="H1002" s="380" t="s">
        <v>14359</v>
      </c>
      <c r="I1002" s="380" t="s">
        <v>13972</v>
      </c>
      <c r="J1002" s="23" t="s">
        <v>13905</v>
      </c>
      <c r="K1002" s="380" t="s">
        <v>13495</v>
      </c>
      <c r="L1002" s="375" t="s">
        <v>27686</v>
      </c>
      <c r="M1002" s="351" t="s">
        <v>7787</v>
      </c>
      <c r="N1002" s="267">
        <f t="shared" si="171"/>
        <v>0</v>
      </c>
      <c r="O1002" s="268">
        <f t="shared" si="172"/>
        <v>350</v>
      </c>
      <c r="P1002" s="248">
        <f>400-350+1400-1100</f>
        <v>350</v>
      </c>
      <c r="Q1002" s="248"/>
      <c r="R1002" s="248"/>
      <c r="S1002" s="248"/>
      <c r="T1002" s="248"/>
      <c r="U1002" s="240"/>
      <c r="V1002" s="240"/>
      <c r="W1002" s="240"/>
      <c r="X1002" s="278"/>
      <c r="Y1002" s="240"/>
      <c r="Z1002" s="240"/>
      <c r="AA1002" s="292"/>
      <c r="AB1002" s="389" t="s">
        <v>27737</v>
      </c>
      <c r="AC1002" s="196">
        <f t="shared" si="166"/>
        <v>350</v>
      </c>
      <c r="AD1002" s="196">
        <f t="shared" si="167"/>
        <v>350</v>
      </c>
      <c r="AE1002" s="196">
        <f t="shared" si="168"/>
        <v>0</v>
      </c>
      <c r="AF1002" s="2">
        <f t="shared" si="169"/>
        <v>350</v>
      </c>
      <c r="AG1002" s="2">
        <f t="shared" si="170"/>
        <v>0</v>
      </c>
    </row>
    <row r="1003" spans="1:33">
      <c r="A1003" s="20" t="s">
        <v>1648</v>
      </c>
      <c r="B1003" s="156" t="s">
        <v>14360</v>
      </c>
      <c r="C1003" s="21" t="s">
        <v>226</v>
      </c>
      <c r="D1003" s="109" t="s">
        <v>13207</v>
      </c>
      <c r="E1003" s="109" t="s">
        <v>13969</v>
      </c>
      <c r="F1003" s="397" t="s">
        <v>14357</v>
      </c>
      <c r="G1003" s="23" t="s">
        <v>14020</v>
      </c>
      <c r="H1003" s="23" t="s">
        <v>14361</v>
      </c>
      <c r="I1003" s="23"/>
      <c r="J1003" s="23"/>
      <c r="K1003" s="23"/>
      <c r="L1003" s="375" t="s">
        <v>7787</v>
      </c>
      <c r="M1003" s="351" t="s">
        <v>7787</v>
      </c>
      <c r="N1003" s="267">
        <f t="shared" si="171"/>
        <v>0</v>
      </c>
      <c r="O1003" s="268">
        <f t="shared" si="172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9"/>
      <c r="Z1003" s="237"/>
      <c r="AA1003" s="279"/>
      <c r="AB1003" s="238"/>
      <c r="AC1003" s="196">
        <f t="shared" si="166"/>
        <v>0</v>
      </c>
      <c r="AD1003" s="196">
        <f t="shared" si="167"/>
        <v>0</v>
      </c>
      <c r="AE1003" s="196">
        <f t="shared" si="168"/>
        <v>0</v>
      </c>
      <c r="AF1003" s="2">
        <f t="shared" si="169"/>
        <v>0</v>
      </c>
      <c r="AG1003" s="2">
        <f t="shared" si="170"/>
        <v>0</v>
      </c>
    </row>
    <row r="1004" spans="1:33">
      <c r="A1004" s="20" t="s">
        <v>6796</v>
      </c>
      <c r="B1004" s="156"/>
      <c r="C1004" s="21" t="s">
        <v>226</v>
      </c>
      <c r="D1004" s="109" t="s">
        <v>13207</v>
      </c>
      <c r="E1004" s="109" t="s">
        <v>13971</v>
      </c>
      <c r="F1004" s="397" t="s">
        <v>14357</v>
      </c>
      <c r="G1004" s="23" t="s">
        <v>14020</v>
      </c>
      <c r="H1004" s="23"/>
      <c r="I1004" s="23"/>
      <c r="J1004" s="23"/>
      <c r="K1004" s="23"/>
      <c r="L1004" s="350"/>
      <c r="M1004" s="351"/>
      <c r="N1004" s="267">
        <f t="shared" si="171"/>
        <v>0</v>
      </c>
      <c r="O1004" s="268">
        <f t="shared" si="172"/>
        <v>0</v>
      </c>
      <c r="P1004" s="239"/>
      <c r="Q1004" s="239"/>
      <c r="R1004" s="239"/>
      <c r="S1004" s="239"/>
      <c r="T1004" s="239"/>
      <c r="U1004" s="240"/>
      <c r="V1004" s="240"/>
      <c r="W1004" s="240"/>
      <c r="X1004" s="278"/>
      <c r="Y1004" s="237"/>
      <c r="Z1004" s="237"/>
      <c r="AA1004" s="279"/>
      <c r="AB1004" s="238"/>
      <c r="AC1004" s="196">
        <f t="shared" si="166"/>
        <v>0</v>
      </c>
      <c r="AD1004" s="196">
        <f t="shared" si="167"/>
        <v>0</v>
      </c>
      <c r="AE1004" s="196">
        <f t="shared" si="168"/>
        <v>0</v>
      </c>
      <c r="AF1004" s="2">
        <f t="shared" si="169"/>
        <v>0</v>
      </c>
      <c r="AG1004" s="2">
        <f t="shared" si="170"/>
        <v>0</v>
      </c>
    </row>
    <row r="1005" spans="1:33">
      <c r="A1005" s="20" t="s">
        <v>8538</v>
      </c>
      <c r="B1005" s="156"/>
      <c r="C1005" s="21" t="s">
        <v>226</v>
      </c>
      <c r="D1005" s="109" t="s">
        <v>14288</v>
      </c>
      <c r="E1005" s="109"/>
      <c r="F1005" s="397" t="s">
        <v>14357</v>
      </c>
      <c r="G1005" s="23" t="s">
        <v>14044</v>
      </c>
      <c r="H1005" s="23"/>
      <c r="I1005" s="23"/>
      <c r="J1005" s="23"/>
      <c r="K1005" s="23"/>
      <c r="L1005" s="375" t="s">
        <v>7787</v>
      </c>
      <c r="M1005" s="351" t="s">
        <v>7787</v>
      </c>
      <c r="N1005" s="267">
        <f t="shared" si="171"/>
        <v>0</v>
      </c>
      <c r="O1005" s="268">
        <f t="shared" si="172"/>
        <v>0</v>
      </c>
      <c r="P1005" s="239"/>
      <c r="Q1005" s="239"/>
      <c r="R1005" s="239"/>
      <c r="S1005" s="239"/>
      <c r="T1005" s="239"/>
      <c r="U1005" s="240"/>
      <c r="V1005" s="239"/>
      <c r="W1005" s="240"/>
      <c r="X1005" s="278"/>
      <c r="Y1005" s="237"/>
      <c r="Z1005" s="237"/>
      <c r="AA1005" s="279"/>
      <c r="AB1005" s="238"/>
      <c r="AC1005" s="196">
        <f t="shared" si="166"/>
        <v>0</v>
      </c>
      <c r="AD1005" s="196">
        <f t="shared" si="167"/>
        <v>0</v>
      </c>
      <c r="AE1005" s="196">
        <f t="shared" si="168"/>
        <v>0</v>
      </c>
      <c r="AF1005" s="2">
        <f t="shared" si="169"/>
        <v>0</v>
      </c>
      <c r="AG1005" s="2">
        <f t="shared" si="170"/>
        <v>0</v>
      </c>
    </row>
    <row r="1006" spans="1:33">
      <c r="A1006" s="20" t="s">
        <v>1650</v>
      </c>
      <c r="B1006" s="150"/>
      <c r="C1006" s="21" t="s">
        <v>227</v>
      </c>
      <c r="D1006" s="109" t="s">
        <v>14126</v>
      </c>
      <c r="E1006" s="109"/>
      <c r="F1006" s="391" t="s">
        <v>14362</v>
      </c>
      <c r="G1006" s="23" t="s">
        <v>14363</v>
      </c>
      <c r="H1006" s="23" t="s">
        <v>13942</v>
      </c>
      <c r="I1006" s="23"/>
      <c r="J1006" s="23"/>
      <c r="K1006" s="23"/>
      <c r="L1006" s="375" t="s">
        <v>7787</v>
      </c>
      <c r="M1006" s="351"/>
      <c r="N1006" s="267">
        <f t="shared" si="171"/>
        <v>0</v>
      </c>
      <c r="O1006" s="268">
        <f t="shared" si="172"/>
        <v>300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9">
        <f>400-100</f>
        <v>300</v>
      </c>
      <c r="Z1006" s="237"/>
      <c r="AA1006" s="279"/>
      <c r="AB1006" s="238" t="s">
        <v>22260</v>
      </c>
      <c r="AC1006" s="196">
        <f t="shared" si="166"/>
        <v>300</v>
      </c>
      <c r="AD1006" s="196">
        <f t="shared" si="167"/>
        <v>300</v>
      </c>
      <c r="AE1006" s="196">
        <f t="shared" si="168"/>
        <v>0</v>
      </c>
      <c r="AF1006" s="2">
        <f t="shared" si="169"/>
        <v>300</v>
      </c>
      <c r="AG1006" s="2">
        <f t="shared" si="170"/>
        <v>0</v>
      </c>
    </row>
    <row r="1007" spans="1:33">
      <c r="A1007" s="20" t="s">
        <v>1651</v>
      </c>
      <c r="B1007" s="162" t="s">
        <v>14364</v>
      </c>
      <c r="C1007" s="21" t="s">
        <v>228</v>
      </c>
      <c r="D1007" s="109" t="s">
        <v>13207</v>
      </c>
      <c r="E1007" s="109"/>
      <c r="F1007" s="391" t="s">
        <v>14365</v>
      </c>
      <c r="G1007" s="23" t="s">
        <v>14002</v>
      </c>
      <c r="H1007" s="23" t="s">
        <v>14263</v>
      </c>
      <c r="I1007" s="23"/>
      <c r="J1007" s="23"/>
      <c r="K1007" s="23"/>
      <c r="L1007" s="356" t="s">
        <v>7787</v>
      </c>
      <c r="M1007" s="351" t="s">
        <v>7787</v>
      </c>
      <c r="N1007" s="267">
        <f t="shared" si="171"/>
        <v>0</v>
      </c>
      <c r="O1007" s="268">
        <f t="shared" si="172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6"/>
        <v>0</v>
      </c>
      <c r="AD1007" s="196">
        <f t="shared" si="167"/>
        <v>0</v>
      </c>
      <c r="AE1007" s="196">
        <f t="shared" si="168"/>
        <v>0</v>
      </c>
      <c r="AF1007" s="2">
        <f t="shared" si="169"/>
        <v>0</v>
      </c>
      <c r="AG1007" s="2">
        <f t="shared" si="170"/>
        <v>0</v>
      </c>
    </row>
    <row r="1008" spans="1:33">
      <c r="A1008" s="20" t="s">
        <v>1788</v>
      </c>
      <c r="B1008" s="150"/>
      <c r="C1008" s="21" t="s">
        <v>684</v>
      </c>
      <c r="D1008" s="109" t="s">
        <v>13991</v>
      </c>
      <c r="E1008" s="109" t="s">
        <v>13994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71"/>
        <v>0</v>
      </c>
      <c r="O1008" s="268">
        <f t="shared" si="172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6"/>
        <v>0</v>
      </c>
      <c r="AD1008" s="196">
        <f t="shared" si="167"/>
        <v>0</v>
      </c>
      <c r="AE1008" s="196">
        <f t="shared" si="168"/>
        <v>0</v>
      </c>
      <c r="AF1008" s="2">
        <f t="shared" si="169"/>
        <v>0</v>
      </c>
      <c r="AG1008" s="2">
        <f t="shared" si="170"/>
        <v>0</v>
      </c>
    </row>
    <row r="1009" spans="1:33">
      <c r="A1009" s="20" t="s">
        <v>1790</v>
      </c>
      <c r="B1009" s="150"/>
      <c r="C1009" s="21" t="s">
        <v>684</v>
      </c>
      <c r="D1009" s="109" t="s">
        <v>14004</v>
      </c>
      <c r="E1009" s="109" t="s">
        <v>13210</v>
      </c>
      <c r="F1009" s="391" t="s">
        <v>14366</v>
      </c>
      <c r="G1009" s="23"/>
      <c r="H1009" s="23"/>
      <c r="I1009" s="23"/>
      <c r="J1009" s="23"/>
      <c r="K1009" s="23"/>
      <c r="L1009" s="350"/>
      <c r="M1009" s="351"/>
      <c r="N1009" s="267">
        <f t="shared" si="171"/>
        <v>0</v>
      </c>
      <c r="O1009" s="268">
        <f t="shared" si="172"/>
        <v>0</v>
      </c>
      <c r="P1009" s="239"/>
      <c r="Q1009" s="239"/>
      <c r="R1009" s="239"/>
      <c r="S1009" s="239"/>
      <c r="T1009" s="239"/>
      <c r="U1009" s="240"/>
      <c r="V1009" s="240"/>
      <c r="W1009" s="240"/>
      <c r="X1009" s="278"/>
      <c r="Y1009" s="237"/>
      <c r="Z1009" s="237"/>
      <c r="AA1009" s="279"/>
      <c r="AB1009" s="238"/>
      <c r="AC1009" s="196">
        <f t="shared" si="166"/>
        <v>0</v>
      </c>
      <c r="AD1009" s="196">
        <f t="shared" si="167"/>
        <v>0</v>
      </c>
      <c r="AE1009" s="196">
        <f t="shared" si="168"/>
        <v>0</v>
      </c>
      <c r="AF1009" s="2">
        <f t="shared" si="169"/>
        <v>0</v>
      </c>
      <c r="AG1009" s="2">
        <f t="shared" si="170"/>
        <v>0</v>
      </c>
    </row>
    <row r="1010" spans="1:33">
      <c r="A1010" s="20" t="s">
        <v>1786</v>
      </c>
      <c r="B1010" s="150"/>
      <c r="C1010" s="21" t="s">
        <v>684</v>
      </c>
      <c r="D1010" s="109" t="s">
        <v>13228</v>
      </c>
      <c r="E1010" s="109"/>
      <c r="F1010" s="391" t="s">
        <v>14366</v>
      </c>
      <c r="G1010" s="23" t="s">
        <v>14002</v>
      </c>
      <c r="H1010" s="23" t="s">
        <v>14056</v>
      </c>
      <c r="I1010" s="23" t="s">
        <v>14019</v>
      </c>
      <c r="J1010" s="23" t="s">
        <v>14059</v>
      </c>
      <c r="K1010" s="23"/>
      <c r="L1010" s="375" t="s">
        <v>45</v>
      </c>
      <c r="M1010" s="351" t="s">
        <v>7787</v>
      </c>
      <c r="N1010" s="267">
        <f t="shared" si="171"/>
        <v>0</v>
      </c>
      <c r="O1010" s="268">
        <f t="shared" si="172"/>
        <v>100</v>
      </c>
      <c r="P1010" s="240"/>
      <c r="Q1010" s="239"/>
      <c r="R1010" s="239"/>
      <c r="S1010" s="239"/>
      <c r="T1010" s="239"/>
      <c r="U1010" s="240">
        <f>500-400</f>
        <v>100</v>
      </c>
      <c r="V1010" s="240"/>
      <c r="W1010" s="240"/>
      <c r="X1010" s="278"/>
      <c r="Y1010" s="237"/>
      <c r="Z1010" s="237"/>
      <c r="AA1010" s="279"/>
      <c r="AB1010" s="238" t="s">
        <v>25318</v>
      </c>
      <c r="AC1010" s="196">
        <f t="shared" si="166"/>
        <v>100</v>
      </c>
      <c r="AD1010" s="196">
        <f t="shared" si="167"/>
        <v>100</v>
      </c>
      <c r="AE1010" s="196">
        <f t="shared" si="168"/>
        <v>0</v>
      </c>
      <c r="AF1010" s="2">
        <f t="shared" si="169"/>
        <v>100</v>
      </c>
      <c r="AG1010" s="2">
        <f t="shared" si="170"/>
        <v>0</v>
      </c>
    </row>
    <row r="1011" spans="1:33">
      <c r="A1011" s="20" t="s">
        <v>1787</v>
      </c>
      <c r="B1011" s="150"/>
      <c r="C1011" s="21" t="s">
        <v>684</v>
      </c>
      <c r="D1011" s="109" t="s">
        <v>13207</v>
      </c>
      <c r="E1011" s="109"/>
      <c r="F1011" s="391" t="s">
        <v>14366</v>
      </c>
      <c r="G1011" s="23" t="s">
        <v>25086</v>
      </c>
      <c r="H1011" s="23"/>
      <c r="I1011" s="23"/>
      <c r="J1011" s="23"/>
      <c r="K1011" s="23"/>
      <c r="L1011" s="375" t="s">
        <v>45</v>
      </c>
      <c r="M1011" s="351" t="s">
        <v>45</v>
      </c>
      <c r="N1011" s="267">
        <f t="shared" si="171"/>
        <v>0</v>
      </c>
      <c r="O1011" s="268">
        <f t="shared" si="172"/>
        <v>600</v>
      </c>
      <c r="P1011" s="239">
        <f>1350+1450-2750+550</f>
        <v>600</v>
      </c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85"/>
      <c r="AB1011" s="238" t="s">
        <v>26824</v>
      </c>
      <c r="AC1011" s="196">
        <f t="shared" si="166"/>
        <v>600</v>
      </c>
      <c r="AD1011" s="196">
        <f t="shared" si="167"/>
        <v>600</v>
      </c>
      <c r="AE1011" s="196">
        <f t="shared" si="168"/>
        <v>0</v>
      </c>
      <c r="AF1011" s="2">
        <f t="shared" si="169"/>
        <v>600</v>
      </c>
      <c r="AG1011" s="2">
        <f t="shared" si="170"/>
        <v>0</v>
      </c>
    </row>
    <row r="1012" spans="1:33">
      <c r="A1012" s="20" t="s">
        <v>1789</v>
      </c>
      <c r="B1012" s="150"/>
      <c r="C1012" s="21" t="s">
        <v>684</v>
      </c>
      <c r="D1012" s="109" t="s">
        <v>13232</v>
      </c>
      <c r="E1012" s="109"/>
      <c r="F1012" s="391" t="s">
        <v>14366</v>
      </c>
      <c r="G1012" s="23"/>
      <c r="H1012" s="23"/>
      <c r="I1012" s="23"/>
      <c r="J1012" s="23"/>
      <c r="K1012" s="23"/>
      <c r="L1012" s="350"/>
      <c r="M1012" s="351"/>
      <c r="N1012" s="267">
        <f t="shared" si="171"/>
        <v>0</v>
      </c>
      <c r="O1012" s="268">
        <f t="shared" si="172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6"/>
        <v>0</v>
      </c>
      <c r="AD1012" s="196">
        <f t="shared" si="167"/>
        <v>0</v>
      </c>
      <c r="AE1012" s="196">
        <f t="shared" si="168"/>
        <v>0</v>
      </c>
      <c r="AF1012" s="2">
        <f t="shared" si="169"/>
        <v>0</v>
      </c>
      <c r="AG1012" s="2">
        <f t="shared" si="170"/>
        <v>0</v>
      </c>
    </row>
    <row r="1013" spans="1:33">
      <c r="A1013" s="20" t="s">
        <v>1791</v>
      </c>
      <c r="B1013" s="150"/>
      <c r="C1013" s="21" t="s">
        <v>684</v>
      </c>
      <c r="D1013" s="109" t="s">
        <v>14061</v>
      </c>
      <c r="E1013" s="109"/>
      <c r="F1013" s="391" t="s">
        <v>14366</v>
      </c>
      <c r="G1013" s="23" t="s">
        <v>7856</v>
      </c>
      <c r="H1013" s="23"/>
      <c r="I1013" s="23"/>
      <c r="J1013" s="23"/>
      <c r="K1013" s="23"/>
      <c r="L1013" s="350"/>
      <c r="M1013" s="351"/>
      <c r="N1013" s="267">
        <f t="shared" si="171"/>
        <v>0</v>
      </c>
      <c r="O1013" s="268">
        <f t="shared" si="172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6"/>
        <v>0</v>
      </c>
      <c r="AD1013" s="196">
        <f t="shared" si="167"/>
        <v>0</v>
      </c>
      <c r="AE1013" s="196">
        <f t="shared" si="168"/>
        <v>0</v>
      </c>
      <c r="AF1013" s="2">
        <f t="shared" si="169"/>
        <v>0</v>
      </c>
      <c r="AG1013" s="2">
        <f t="shared" si="170"/>
        <v>0</v>
      </c>
    </row>
    <row r="1014" spans="1:33">
      <c r="A1014" s="20" t="s">
        <v>1652</v>
      </c>
      <c r="B1014" s="150"/>
      <c r="C1014" s="21" t="s">
        <v>229</v>
      </c>
      <c r="D1014" s="109" t="s">
        <v>14233</v>
      </c>
      <c r="E1014" s="109" t="s">
        <v>14075</v>
      </c>
      <c r="F1014" s="391" t="s">
        <v>14368</v>
      </c>
      <c r="G1014" s="23" t="s">
        <v>13975</v>
      </c>
      <c r="H1014" s="23"/>
      <c r="I1014" s="23"/>
      <c r="J1014" s="23"/>
      <c r="K1014" s="23"/>
      <c r="L1014" s="350"/>
      <c r="M1014" s="351"/>
      <c r="N1014" s="267">
        <f t="shared" si="171"/>
        <v>0</v>
      </c>
      <c r="O1014" s="268">
        <f t="shared" si="172"/>
        <v>0</v>
      </c>
      <c r="P1014" s="239"/>
      <c r="Q1014" s="239"/>
      <c r="R1014" s="239"/>
      <c r="S1014" s="239"/>
      <c r="T1014" s="239"/>
      <c r="U1014" s="240"/>
      <c r="V1014" s="240"/>
      <c r="W1014" s="240"/>
      <c r="X1014" s="278"/>
      <c r="Y1014" s="237"/>
      <c r="Z1014" s="237"/>
      <c r="AA1014" s="279"/>
      <c r="AB1014" s="238"/>
      <c r="AC1014" s="196">
        <f t="shared" si="166"/>
        <v>0</v>
      </c>
      <c r="AD1014" s="196">
        <f t="shared" si="167"/>
        <v>0</v>
      </c>
      <c r="AE1014" s="196">
        <f t="shared" si="168"/>
        <v>0</v>
      </c>
      <c r="AF1014" s="2">
        <f t="shared" si="169"/>
        <v>0</v>
      </c>
      <c r="AG1014" s="2">
        <f t="shared" si="170"/>
        <v>0</v>
      </c>
    </row>
    <row r="1015" spans="1:33">
      <c r="A1015" s="20" t="s">
        <v>6797</v>
      </c>
      <c r="B1015" s="150"/>
      <c r="C1015" s="21" t="s">
        <v>230</v>
      </c>
      <c r="D1015" s="109" t="s">
        <v>14126</v>
      </c>
      <c r="E1015" s="109"/>
      <c r="F1015" s="391" t="s">
        <v>14369</v>
      </c>
      <c r="G1015" s="23" t="s">
        <v>14175</v>
      </c>
      <c r="H1015" s="23" t="s">
        <v>13322</v>
      </c>
      <c r="I1015" s="23" t="s">
        <v>26492</v>
      </c>
      <c r="J1015" s="23"/>
      <c r="K1015" s="23"/>
      <c r="L1015" s="375"/>
      <c r="M1015" s="351" t="s">
        <v>45</v>
      </c>
      <c r="N1015" s="267">
        <f t="shared" si="171"/>
        <v>0</v>
      </c>
      <c r="O1015" s="268">
        <f t="shared" si="172"/>
        <v>1200</v>
      </c>
      <c r="P1015" s="248">
        <v>1200</v>
      </c>
      <c r="Q1015" s="239"/>
      <c r="R1015" s="239"/>
      <c r="S1015" s="239"/>
      <c r="T1015" s="239"/>
      <c r="U1015" s="240"/>
      <c r="V1015" s="240"/>
      <c r="W1015" s="240"/>
      <c r="X1015" s="278"/>
      <c r="Y1015" s="248"/>
      <c r="Z1015" s="237"/>
      <c r="AA1015" s="279"/>
      <c r="AB1015" s="238" t="s">
        <v>27900</v>
      </c>
      <c r="AC1015" s="196">
        <f t="shared" si="166"/>
        <v>1200</v>
      </c>
      <c r="AD1015" s="196">
        <f t="shared" si="167"/>
        <v>1200</v>
      </c>
      <c r="AE1015" s="196">
        <f t="shared" si="168"/>
        <v>0</v>
      </c>
      <c r="AF1015" s="2">
        <f t="shared" si="169"/>
        <v>1200</v>
      </c>
      <c r="AG1015" s="2">
        <f t="shared" si="170"/>
        <v>0</v>
      </c>
    </row>
    <row r="1016" spans="1:33">
      <c r="A1016" s="20" t="s">
        <v>1657</v>
      </c>
      <c r="B1016" s="150"/>
      <c r="C1016" s="21" t="s">
        <v>230</v>
      </c>
      <c r="D1016" s="109" t="s">
        <v>14291</v>
      </c>
      <c r="E1016" s="109" t="s">
        <v>13992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75" t="s">
        <v>7787</v>
      </c>
      <c r="M1016" s="351" t="s">
        <v>7787</v>
      </c>
      <c r="N1016" s="267">
        <f t="shared" si="171"/>
        <v>0</v>
      </c>
      <c r="O1016" s="268">
        <f t="shared" si="172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6"/>
        <v>0</v>
      </c>
      <c r="AD1016" s="196">
        <f t="shared" si="167"/>
        <v>0</v>
      </c>
      <c r="AE1016" s="196">
        <f t="shared" si="168"/>
        <v>0</v>
      </c>
      <c r="AF1016" s="2">
        <f t="shared" si="169"/>
        <v>0</v>
      </c>
      <c r="AG1016" s="2">
        <f t="shared" si="170"/>
        <v>0</v>
      </c>
    </row>
    <row r="1017" spans="1:33">
      <c r="A1017" s="20" t="s">
        <v>1653</v>
      </c>
      <c r="B1017" s="161"/>
      <c r="C1017" s="21" t="s">
        <v>230</v>
      </c>
      <c r="D1017" s="109" t="s">
        <v>14004</v>
      </c>
      <c r="E1017" s="109" t="s">
        <v>14266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71"/>
        <v>0</v>
      </c>
      <c r="O1017" s="268">
        <f t="shared" si="172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6"/>
        <v>0</v>
      </c>
      <c r="AD1017" s="196">
        <f t="shared" si="167"/>
        <v>0</v>
      </c>
      <c r="AE1017" s="196">
        <f t="shared" si="168"/>
        <v>0</v>
      </c>
      <c r="AF1017" s="2">
        <f t="shared" si="169"/>
        <v>0</v>
      </c>
      <c r="AG1017" s="2">
        <f t="shared" si="170"/>
        <v>0</v>
      </c>
    </row>
    <row r="1018" spans="1:33">
      <c r="A1018" s="20" t="s">
        <v>1654</v>
      </c>
      <c r="B1018" s="161"/>
      <c r="C1018" s="21" t="s">
        <v>230</v>
      </c>
      <c r="D1018" s="109" t="s">
        <v>14004</v>
      </c>
      <c r="E1018" s="109" t="s">
        <v>13210</v>
      </c>
      <c r="F1018" s="391" t="s">
        <v>14369</v>
      </c>
      <c r="G1018" s="23" t="s">
        <v>14218</v>
      </c>
      <c r="H1018" s="23"/>
      <c r="I1018" s="23"/>
      <c r="J1018" s="23"/>
      <c r="K1018" s="23"/>
      <c r="L1018" s="350"/>
      <c r="M1018" s="351"/>
      <c r="N1018" s="267">
        <f t="shared" si="171"/>
        <v>0</v>
      </c>
      <c r="O1018" s="268">
        <f t="shared" si="172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6"/>
        <v>0</v>
      </c>
      <c r="AD1018" s="196">
        <f t="shared" si="167"/>
        <v>0</v>
      </c>
      <c r="AE1018" s="196">
        <f t="shared" si="168"/>
        <v>0</v>
      </c>
      <c r="AF1018" s="2">
        <f t="shared" si="169"/>
        <v>0</v>
      </c>
      <c r="AG1018" s="2">
        <f t="shared" si="170"/>
        <v>0</v>
      </c>
    </row>
    <row r="1019" spans="1:33">
      <c r="A1019" s="20" t="s">
        <v>19885</v>
      </c>
      <c r="B1019" s="161"/>
      <c r="C1019" s="21" t="s">
        <v>230</v>
      </c>
      <c r="D1019" s="109" t="s">
        <v>19825</v>
      </c>
      <c r="E1019" s="109" t="s">
        <v>3117</v>
      </c>
      <c r="F1019" s="391" t="s">
        <v>4481</v>
      </c>
      <c r="G1019" s="23" t="s">
        <v>13322</v>
      </c>
      <c r="H1019" s="23"/>
      <c r="I1019" s="23"/>
      <c r="J1019" s="23"/>
      <c r="K1019" s="23"/>
      <c r="L1019" s="375" t="s">
        <v>7787</v>
      </c>
      <c r="M1019" s="351" t="s">
        <v>7787</v>
      </c>
      <c r="N1019" s="267">
        <f t="shared" si="171"/>
        <v>0</v>
      </c>
      <c r="O1019" s="268">
        <f t="shared" si="172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6"/>
        <v>0</v>
      </c>
      <c r="AD1019" s="196">
        <f t="shared" si="167"/>
        <v>0</v>
      </c>
      <c r="AE1019" s="196">
        <f t="shared" si="168"/>
        <v>0</v>
      </c>
      <c r="AF1019" s="2">
        <f t="shared" si="169"/>
        <v>0</v>
      </c>
      <c r="AG1019" s="2">
        <f t="shared" si="170"/>
        <v>0</v>
      </c>
    </row>
    <row r="1020" spans="1:33">
      <c r="A1020" s="20" t="s">
        <v>1655</v>
      </c>
      <c r="B1020" s="161"/>
      <c r="C1020" s="21" t="s">
        <v>19826</v>
      </c>
      <c r="D1020" s="109" t="s">
        <v>14004</v>
      </c>
      <c r="E1020" s="109" t="s">
        <v>14064</v>
      </c>
      <c r="F1020" s="391" t="s">
        <v>14369</v>
      </c>
      <c r="G1020" s="23" t="s">
        <v>14218</v>
      </c>
      <c r="H1020" s="23"/>
      <c r="I1020" s="23"/>
      <c r="J1020" s="23"/>
      <c r="K1020" s="23"/>
      <c r="L1020" s="350"/>
      <c r="M1020" s="351"/>
      <c r="N1020" s="267">
        <f t="shared" si="171"/>
        <v>0</v>
      </c>
      <c r="O1020" s="268">
        <f t="shared" si="172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6"/>
        <v>0</v>
      </c>
      <c r="AD1020" s="196">
        <f t="shared" si="167"/>
        <v>0</v>
      </c>
      <c r="AE1020" s="196">
        <f t="shared" si="168"/>
        <v>0</v>
      </c>
      <c r="AF1020" s="2">
        <f t="shared" si="169"/>
        <v>0</v>
      </c>
      <c r="AG1020" s="2">
        <f t="shared" si="170"/>
        <v>0</v>
      </c>
    </row>
    <row r="1021" spans="1:33">
      <c r="A1021" s="20" t="s">
        <v>1656</v>
      </c>
      <c r="B1021" s="150"/>
      <c r="C1021" s="21" t="s">
        <v>230</v>
      </c>
      <c r="D1021" s="109" t="s">
        <v>14288</v>
      </c>
      <c r="E1021" s="109"/>
      <c r="F1021" s="391" t="s">
        <v>14369</v>
      </c>
      <c r="G1021" s="23" t="s">
        <v>14370</v>
      </c>
      <c r="H1021" s="23" t="s">
        <v>14218</v>
      </c>
      <c r="I1021" s="23"/>
      <c r="J1021" s="23"/>
      <c r="K1021" s="23"/>
      <c r="L1021" s="375" t="s">
        <v>7787</v>
      </c>
      <c r="M1021" s="351" t="s">
        <v>7787</v>
      </c>
      <c r="N1021" s="267">
        <f t="shared" si="171"/>
        <v>0</v>
      </c>
      <c r="O1021" s="268">
        <f t="shared" si="172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6"/>
        <v>0</v>
      </c>
      <c r="AD1021" s="196">
        <f t="shared" si="167"/>
        <v>0</v>
      </c>
      <c r="AE1021" s="196">
        <f t="shared" si="168"/>
        <v>0</v>
      </c>
      <c r="AF1021" s="2">
        <f t="shared" si="169"/>
        <v>0</v>
      </c>
      <c r="AG1021" s="2">
        <f t="shared" si="170"/>
        <v>0</v>
      </c>
    </row>
    <row r="1022" spans="1:33">
      <c r="A1022" s="20" t="s">
        <v>1658</v>
      </c>
      <c r="B1022" s="152" t="s">
        <v>6385</v>
      </c>
      <c r="C1022" s="21" t="s">
        <v>231</v>
      </c>
      <c r="D1022" s="109" t="s">
        <v>13207</v>
      </c>
      <c r="E1022" s="109"/>
      <c r="F1022" s="391" t="s">
        <v>14371</v>
      </c>
      <c r="G1022" s="23" t="s">
        <v>14059</v>
      </c>
      <c r="H1022" s="23"/>
      <c r="I1022" s="23"/>
      <c r="J1022" s="23"/>
      <c r="K1022" s="23"/>
      <c r="L1022" s="375" t="s">
        <v>7787</v>
      </c>
      <c r="M1022" s="351"/>
      <c r="N1022" s="267">
        <f t="shared" si="171"/>
        <v>0</v>
      </c>
      <c r="O1022" s="268">
        <f t="shared" si="172"/>
        <v>0</v>
      </c>
      <c r="P1022" s="239"/>
      <c r="Q1022" s="239"/>
      <c r="R1022" s="239"/>
      <c r="S1022" s="239"/>
      <c r="T1022" s="239"/>
      <c r="U1022" s="240"/>
      <c r="V1022" s="240"/>
      <c r="W1022" s="240"/>
      <c r="X1022" s="278"/>
      <c r="Y1022" s="237"/>
      <c r="Z1022" s="237"/>
      <c r="AA1022" s="279"/>
      <c r="AB1022" s="238"/>
      <c r="AC1022" s="196">
        <f t="shared" si="166"/>
        <v>0</v>
      </c>
      <c r="AD1022" s="196">
        <f t="shared" si="167"/>
        <v>0</v>
      </c>
      <c r="AE1022" s="196">
        <f t="shared" si="168"/>
        <v>0</v>
      </c>
      <c r="AF1022" s="2">
        <f t="shared" si="169"/>
        <v>0</v>
      </c>
      <c r="AG1022" s="2">
        <f t="shared" si="170"/>
        <v>0</v>
      </c>
    </row>
    <row r="1023" spans="1:33">
      <c r="A1023" s="20" t="s">
        <v>21774</v>
      </c>
      <c r="B1023" s="162"/>
      <c r="C1023" s="21" t="s">
        <v>231</v>
      </c>
      <c r="D1023" s="109" t="s">
        <v>21751</v>
      </c>
      <c r="E1023" s="109" t="s">
        <v>21753</v>
      </c>
      <c r="F1023" s="391" t="s">
        <v>4482</v>
      </c>
      <c r="G1023" s="23" t="s">
        <v>21752</v>
      </c>
      <c r="H1023" s="23"/>
      <c r="I1023" s="23"/>
      <c r="J1023" s="23"/>
      <c r="K1023" s="23"/>
      <c r="L1023" s="375" t="s">
        <v>7787</v>
      </c>
      <c r="M1023" s="351"/>
      <c r="N1023" s="267">
        <f t="shared" si="171"/>
        <v>0</v>
      </c>
      <c r="O1023" s="268">
        <f t="shared" si="172"/>
        <v>0</v>
      </c>
      <c r="P1023" s="239"/>
      <c r="Q1023" s="239"/>
      <c r="R1023" s="239"/>
      <c r="S1023" s="239"/>
      <c r="T1023" s="239"/>
      <c r="U1023" s="240"/>
      <c r="V1023" s="244"/>
      <c r="W1023" s="240"/>
      <c r="X1023" s="278"/>
      <c r="Y1023" s="237"/>
      <c r="Z1023" s="237"/>
      <c r="AA1023" s="279"/>
      <c r="AB1023" s="238"/>
      <c r="AC1023" s="196">
        <f t="shared" si="166"/>
        <v>0</v>
      </c>
      <c r="AD1023" s="196">
        <f t="shared" si="167"/>
        <v>0</v>
      </c>
      <c r="AE1023" s="196">
        <f t="shared" si="168"/>
        <v>0</v>
      </c>
      <c r="AF1023" s="2">
        <f t="shared" si="169"/>
        <v>0</v>
      </c>
      <c r="AG1023" s="2">
        <f t="shared" si="170"/>
        <v>0</v>
      </c>
    </row>
    <row r="1024" spans="1:33">
      <c r="A1024" s="20" t="s">
        <v>1659</v>
      </c>
      <c r="B1024" s="156" t="s">
        <v>14372</v>
      </c>
      <c r="C1024" s="21" t="s">
        <v>232</v>
      </c>
      <c r="D1024" s="109" t="s">
        <v>13223</v>
      </c>
      <c r="E1024" s="109"/>
      <c r="F1024" s="391" t="s">
        <v>14373</v>
      </c>
      <c r="G1024" s="23" t="s">
        <v>14374</v>
      </c>
      <c r="H1024" s="23" t="s">
        <v>14099</v>
      </c>
      <c r="I1024" s="23" t="s">
        <v>17743</v>
      </c>
      <c r="J1024" s="23" t="s">
        <v>13940</v>
      </c>
      <c r="K1024" s="23" t="s">
        <v>13912</v>
      </c>
      <c r="L1024" s="375" t="s">
        <v>7787</v>
      </c>
      <c r="M1024" s="351" t="s">
        <v>7787</v>
      </c>
      <c r="N1024" s="267">
        <f t="shared" si="171"/>
        <v>0</v>
      </c>
      <c r="O1024" s="268">
        <f t="shared" si="172"/>
        <v>0</v>
      </c>
      <c r="P1024" s="249"/>
      <c r="Q1024" s="239"/>
      <c r="R1024" s="239"/>
      <c r="S1024" s="239"/>
      <c r="T1024" s="239"/>
      <c r="U1024" s="240"/>
      <c r="V1024" s="249"/>
      <c r="W1024" s="240"/>
      <c r="X1024" s="278"/>
      <c r="Y1024" s="237"/>
      <c r="Z1024" s="237"/>
      <c r="AA1024" s="279"/>
      <c r="AB1024" s="238"/>
      <c r="AC1024" s="196">
        <f t="shared" si="166"/>
        <v>0</v>
      </c>
      <c r="AD1024" s="196">
        <f t="shared" si="167"/>
        <v>0</v>
      </c>
      <c r="AE1024" s="196">
        <f t="shared" si="168"/>
        <v>0</v>
      </c>
      <c r="AF1024" s="2">
        <f t="shared" si="169"/>
        <v>0</v>
      </c>
      <c r="AG1024" s="2">
        <f t="shared" si="170"/>
        <v>0</v>
      </c>
    </row>
    <row r="1025" spans="1:33">
      <c r="A1025" s="20" t="s">
        <v>7510</v>
      </c>
      <c r="B1025" s="156"/>
      <c r="C1025" s="21" t="s">
        <v>14375</v>
      </c>
      <c r="D1025" s="109" t="s">
        <v>13223</v>
      </c>
      <c r="E1025" s="109"/>
      <c r="F1025" s="391" t="s">
        <v>14376</v>
      </c>
      <c r="G1025" s="23" t="s">
        <v>14006</v>
      </c>
      <c r="H1025" s="23"/>
      <c r="I1025" s="23"/>
      <c r="J1025" s="23"/>
      <c r="K1025" s="23"/>
      <c r="L1025" s="375" t="s">
        <v>7787</v>
      </c>
      <c r="M1025" s="351" t="s">
        <v>7787</v>
      </c>
      <c r="N1025" s="267">
        <f t="shared" si="171"/>
        <v>0</v>
      </c>
      <c r="O1025" s="268">
        <f t="shared" si="172"/>
        <v>0</v>
      </c>
      <c r="P1025" s="239"/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/>
      <c r="AC1025" s="196">
        <f t="shared" si="166"/>
        <v>0</v>
      </c>
      <c r="AD1025" s="196">
        <f t="shared" si="167"/>
        <v>0</v>
      </c>
      <c r="AE1025" s="196">
        <f t="shared" si="168"/>
        <v>0</v>
      </c>
      <c r="AF1025" s="2">
        <f t="shared" si="169"/>
        <v>0</v>
      </c>
      <c r="AG1025" s="2">
        <f t="shared" si="170"/>
        <v>0</v>
      </c>
    </row>
    <row r="1026" spans="1:33">
      <c r="A1026" s="20" t="s">
        <v>1660</v>
      </c>
      <c r="B1026" s="150"/>
      <c r="C1026" s="21" t="s">
        <v>233</v>
      </c>
      <c r="D1026" s="109" t="s">
        <v>13223</v>
      </c>
      <c r="E1026" s="109"/>
      <c r="F1026" s="391" t="s">
        <v>14377</v>
      </c>
      <c r="G1026" s="23" t="s">
        <v>14019</v>
      </c>
      <c r="H1026" s="23"/>
      <c r="I1026" s="23"/>
      <c r="J1026" s="23"/>
      <c r="K1026" s="23"/>
      <c r="L1026" s="356" t="s">
        <v>45</v>
      </c>
      <c r="M1026" s="351" t="s">
        <v>45</v>
      </c>
      <c r="N1026" s="267">
        <f t="shared" si="171"/>
        <v>0</v>
      </c>
      <c r="O1026" s="268">
        <f t="shared" si="172"/>
        <v>50</v>
      </c>
      <c r="P1026" s="239">
        <f>1800+1000-2750+150-150</f>
        <v>50</v>
      </c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 t="s">
        <v>26898</v>
      </c>
      <c r="AC1026" s="196">
        <f t="shared" si="166"/>
        <v>50</v>
      </c>
      <c r="AD1026" s="196">
        <f t="shared" si="167"/>
        <v>50</v>
      </c>
      <c r="AE1026" s="196">
        <f t="shared" si="168"/>
        <v>0</v>
      </c>
      <c r="AF1026" s="2">
        <f t="shared" si="169"/>
        <v>50</v>
      </c>
      <c r="AG1026" s="2">
        <f t="shared" si="170"/>
        <v>0</v>
      </c>
    </row>
    <row r="1027" spans="1:33">
      <c r="A1027" s="20" t="s">
        <v>1665</v>
      </c>
      <c r="B1027" s="156" t="s">
        <v>14378</v>
      </c>
      <c r="C1027" s="21" t="s">
        <v>234</v>
      </c>
      <c r="D1027" s="109" t="s">
        <v>14291</v>
      </c>
      <c r="E1027" s="109" t="s">
        <v>13992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71"/>
        <v>0</v>
      </c>
      <c r="O1027" s="268">
        <f t="shared" si="172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6"/>
        <v>0</v>
      </c>
      <c r="AD1027" s="196">
        <f t="shared" si="167"/>
        <v>0</v>
      </c>
      <c r="AE1027" s="196">
        <f t="shared" si="168"/>
        <v>0</v>
      </c>
      <c r="AF1027" s="2">
        <f t="shared" si="169"/>
        <v>0</v>
      </c>
      <c r="AG1027" s="2">
        <f t="shared" si="170"/>
        <v>0</v>
      </c>
    </row>
    <row r="1028" spans="1:33">
      <c r="A1028" s="20" t="s">
        <v>1661</v>
      </c>
      <c r="B1028" s="150"/>
      <c r="C1028" s="21" t="s">
        <v>234</v>
      </c>
      <c r="D1028" s="109" t="s">
        <v>14299</v>
      </c>
      <c r="E1028" s="109" t="s">
        <v>14266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71"/>
        <v>0</v>
      </c>
      <c r="O1028" s="268">
        <f t="shared" si="172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6"/>
        <v>0</v>
      </c>
      <c r="AD1028" s="196">
        <f t="shared" si="167"/>
        <v>0</v>
      </c>
      <c r="AE1028" s="196">
        <f t="shared" si="168"/>
        <v>0</v>
      </c>
      <c r="AF1028" s="2">
        <f t="shared" si="169"/>
        <v>0</v>
      </c>
      <c r="AG1028" s="2">
        <f t="shared" si="170"/>
        <v>0</v>
      </c>
    </row>
    <row r="1029" spans="1:33">
      <c r="A1029" s="20" t="s">
        <v>1663</v>
      </c>
      <c r="B1029" s="150"/>
      <c r="C1029" s="21" t="s">
        <v>234</v>
      </c>
      <c r="D1029" s="109" t="s">
        <v>14299</v>
      </c>
      <c r="E1029" s="109" t="s">
        <v>13210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71"/>
        <v>0</v>
      </c>
      <c r="O1029" s="268">
        <f t="shared" si="172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6"/>
        <v>0</v>
      </c>
      <c r="AD1029" s="196">
        <f t="shared" si="167"/>
        <v>0</v>
      </c>
      <c r="AE1029" s="196">
        <f t="shared" si="168"/>
        <v>0</v>
      </c>
      <c r="AF1029" s="2">
        <f t="shared" si="169"/>
        <v>0</v>
      </c>
      <c r="AG1029" s="2">
        <f t="shared" si="170"/>
        <v>0</v>
      </c>
    </row>
    <row r="1030" spans="1:33">
      <c r="A1030" s="20" t="s">
        <v>1662</v>
      </c>
      <c r="B1030" s="150"/>
      <c r="C1030" s="21" t="s">
        <v>234</v>
      </c>
      <c r="D1030" s="109" t="s">
        <v>14299</v>
      </c>
      <c r="E1030" s="109" t="s">
        <v>14064</v>
      </c>
      <c r="F1030" s="391" t="s">
        <v>14379</v>
      </c>
      <c r="G1030" s="23" t="s">
        <v>14218</v>
      </c>
      <c r="H1030" s="23"/>
      <c r="I1030" s="23"/>
      <c r="J1030" s="23"/>
      <c r="K1030" s="23"/>
      <c r="L1030" s="350"/>
      <c r="M1030" s="351"/>
      <c r="N1030" s="267">
        <f t="shared" si="171"/>
        <v>0</v>
      </c>
      <c r="O1030" s="268">
        <f t="shared" si="172"/>
        <v>0</v>
      </c>
      <c r="P1030" s="239"/>
      <c r="Q1030" s="239"/>
      <c r="R1030" s="239"/>
      <c r="S1030" s="239"/>
      <c r="T1030" s="239"/>
      <c r="U1030" s="240"/>
      <c r="V1030" s="240"/>
      <c r="W1030" s="240"/>
      <c r="X1030" s="278"/>
      <c r="Y1030" s="237"/>
      <c r="Z1030" s="237"/>
      <c r="AA1030" s="279"/>
      <c r="AB1030" s="238"/>
      <c r="AC1030" s="196">
        <f t="shared" si="166"/>
        <v>0</v>
      </c>
      <c r="AD1030" s="196">
        <f t="shared" si="167"/>
        <v>0</v>
      </c>
      <c r="AE1030" s="196">
        <f t="shared" si="168"/>
        <v>0</v>
      </c>
      <c r="AF1030" s="2">
        <f t="shared" si="169"/>
        <v>0</v>
      </c>
      <c r="AG1030" s="2">
        <f t="shared" si="170"/>
        <v>0</v>
      </c>
    </row>
    <row r="1031" spans="1:33">
      <c r="A1031" s="20" t="s">
        <v>10751</v>
      </c>
      <c r="B1031" s="150"/>
      <c r="C1031" s="21" t="s">
        <v>234</v>
      </c>
      <c r="D1031" s="109" t="s">
        <v>14296</v>
      </c>
      <c r="E1031" s="109"/>
      <c r="F1031" s="391" t="s">
        <v>14379</v>
      </c>
      <c r="G1031" s="23" t="s">
        <v>14002</v>
      </c>
      <c r="H1031" s="23" t="s">
        <v>14099</v>
      </c>
      <c r="I1031" s="23"/>
      <c r="J1031" s="23"/>
      <c r="K1031" s="23"/>
      <c r="L1031" s="375" t="s">
        <v>27652</v>
      </c>
      <c r="M1031" s="351" t="s">
        <v>45</v>
      </c>
      <c r="N1031" s="267">
        <f t="shared" si="171"/>
        <v>0</v>
      </c>
      <c r="O1031" s="268">
        <f t="shared" si="172"/>
        <v>250</v>
      </c>
      <c r="P1031" s="239"/>
      <c r="Q1031" s="239"/>
      <c r="R1031" s="239"/>
      <c r="S1031" s="239"/>
      <c r="T1031" s="239"/>
      <c r="U1031" s="240">
        <f>750-500</f>
        <v>250</v>
      </c>
      <c r="V1031" s="240"/>
      <c r="W1031" s="240"/>
      <c r="X1031" s="278"/>
      <c r="Y1031" s="237"/>
      <c r="Z1031" s="237"/>
      <c r="AA1031" s="279"/>
      <c r="AB1031" s="238" t="s">
        <v>27647</v>
      </c>
      <c r="AC1031" s="196">
        <f t="shared" si="166"/>
        <v>250</v>
      </c>
      <c r="AD1031" s="196">
        <f t="shared" si="167"/>
        <v>250</v>
      </c>
      <c r="AE1031" s="196">
        <f t="shared" si="168"/>
        <v>0</v>
      </c>
      <c r="AF1031" s="2">
        <f t="shared" si="169"/>
        <v>250</v>
      </c>
      <c r="AG1031" s="2">
        <f t="shared" si="170"/>
        <v>0</v>
      </c>
    </row>
    <row r="1032" spans="1:33">
      <c r="A1032" s="20" t="s">
        <v>1664</v>
      </c>
      <c r="B1032" s="156" t="s">
        <v>14380</v>
      </c>
      <c r="C1032" s="21" t="s">
        <v>234</v>
      </c>
      <c r="D1032" s="109" t="s">
        <v>14288</v>
      </c>
      <c r="E1032" s="109"/>
      <c r="F1032" s="391" t="s">
        <v>14379</v>
      </c>
      <c r="G1032" s="23" t="s">
        <v>14059</v>
      </c>
      <c r="H1032" s="23" t="s">
        <v>14076</v>
      </c>
      <c r="I1032" s="23" t="s">
        <v>14144</v>
      </c>
      <c r="J1032" s="23" t="s">
        <v>13409</v>
      </c>
      <c r="K1032" s="23"/>
      <c r="L1032" s="375" t="s">
        <v>45</v>
      </c>
      <c r="M1032" s="351" t="s">
        <v>45</v>
      </c>
      <c r="N1032" s="267">
        <f t="shared" si="171"/>
        <v>0</v>
      </c>
      <c r="O1032" s="268">
        <f t="shared" si="172"/>
        <v>750</v>
      </c>
      <c r="P1032" s="239">
        <f>1550-800+1500+800-600-100-400-400-200-100-300-200</f>
        <v>750</v>
      </c>
      <c r="Q1032" s="239"/>
      <c r="R1032" s="239"/>
      <c r="S1032" s="239"/>
      <c r="T1032" s="239"/>
      <c r="U1032" s="240"/>
      <c r="V1032" s="240"/>
      <c r="W1032" s="240"/>
      <c r="X1032" s="278"/>
      <c r="Y1032" s="239"/>
      <c r="Z1032" s="237"/>
      <c r="AA1032" s="279"/>
      <c r="AB1032" s="238" t="s">
        <v>26315</v>
      </c>
      <c r="AC1032" s="196">
        <f t="shared" si="166"/>
        <v>750</v>
      </c>
      <c r="AD1032" s="196">
        <f t="shared" si="167"/>
        <v>750</v>
      </c>
      <c r="AE1032" s="196">
        <f t="shared" si="168"/>
        <v>0</v>
      </c>
      <c r="AF1032" s="2">
        <f t="shared" si="169"/>
        <v>750</v>
      </c>
      <c r="AG1032" s="2">
        <f t="shared" si="170"/>
        <v>0</v>
      </c>
    </row>
    <row r="1033" spans="1:33">
      <c r="A1033" s="20" t="s">
        <v>6798</v>
      </c>
      <c r="B1033" s="156"/>
      <c r="C1033" s="21" t="s">
        <v>234</v>
      </c>
      <c r="D1033" s="109" t="s">
        <v>14381</v>
      </c>
      <c r="E1033" s="109"/>
      <c r="F1033" s="391" t="s">
        <v>14379</v>
      </c>
      <c r="G1033" s="23" t="s">
        <v>14218</v>
      </c>
      <c r="H1033" s="23"/>
      <c r="I1033" s="23"/>
      <c r="J1033" s="23"/>
      <c r="K1033" s="23"/>
      <c r="L1033" s="350"/>
      <c r="M1033" s="362"/>
      <c r="N1033" s="267">
        <f t="shared" si="171"/>
        <v>0</v>
      </c>
      <c r="O1033" s="268">
        <f t="shared" si="172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si="166"/>
        <v>0</v>
      </c>
      <c r="AD1033" s="196">
        <f t="shared" si="167"/>
        <v>0</v>
      </c>
      <c r="AE1033" s="196">
        <f t="shared" si="168"/>
        <v>0</v>
      </c>
      <c r="AF1033" s="2">
        <f t="shared" si="169"/>
        <v>0</v>
      </c>
      <c r="AG1033" s="2">
        <f t="shared" si="170"/>
        <v>0</v>
      </c>
    </row>
    <row r="1034" spans="1:33">
      <c r="A1034" s="20" t="s">
        <v>1666</v>
      </c>
      <c r="B1034" s="161"/>
      <c r="C1034" s="21" t="s">
        <v>235</v>
      </c>
      <c r="D1034" s="109" t="s">
        <v>14004</v>
      </c>
      <c r="E1034" s="109" t="s">
        <v>13210</v>
      </c>
      <c r="F1034" s="391" t="s">
        <v>14382</v>
      </c>
      <c r="G1034" s="23" t="s">
        <v>14020</v>
      </c>
      <c r="H1034" s="23"/>
      <c r="I1034" s="23"/>
      <c r="J1034" s="23"/>
      <c r="K1034" s="23"/>
      <c r="L1034" s="350"/>
      <c r="M1034" s="351"/>
      <c r="N1034" s="267">
        <f t="shared" si="171"/>
        <v>0</v>
      </c>
      <c r="O1034" s="268">
        <f t="shared" si="172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ref="AC1034:AC1097" si="173">SUM(P1034:AA1034)</f>
        <v>0</v>
      </c>
      <c r="AD1034" s="196">
        <f t="shared" ref="AD1034:AD1097" si="174">SUM(P1034:AB1034)</f>
        <v>0</v>
      </c>
      <c r="AE1034" s="196">
        <f t="shared" ref="AE1034:AE1097" si="175">SUM(AC1034-AD1034)</f>
        <v>0</v>
      </c>
      <c r="AF1034" s="2">
        <f t="shared" ref="AF1034:AF1097" si="176">+AC1034</f>
        <v>0</v>
      </c>
      <c r="AG1034" s="2">
        <f t="shared" ref="AG1034:AG1097" si="177">+AC1034-AF1034</f>
        <v>0</v>
      </c>
    </row>
    <row r="1035" spans="1:33">
      <c r="A1035" s="20" t="s">
        <v>1667</v>
      </c>
      <c r="B1035" s="162" t="s">
        <v>5838</v>
      </c>
      <c r="C1035" s="21" t="s">
        <v>235</v>
      </c>
      <c r="D1035" s="109" t="s">
        <v>13207</v>
      </c>
      <c r="E1035" s="109"/>
      <c r="F1035" s="391" t="s">
        <v>14383</v>
      </c>
      <c r="G1035" s="23" t="s">
        <v>14367</v>
      </c>
      <c r="H1035" s="23" t="s">
        <v>13215</v>
      </c>
      <c r="I1035" s="23" t="s">
        <v>13976</v>
      </c>
      <c r="J1035" s="23" t="s">
        <v>14384</v>
      </c>
      <c r="K1035" s="23" t="s">
        <v>14057</v>
      </c>
      <c r="L1035" s="375" t="s">
        <v>7787</v>
      </c>
      <c r="M1035" s="351" t="s">
        <v>7787</v>
      </c>
      <c r="N1035" s="267">
        <f t="shared" si="171"/>
        <v>0</v>
      </c>
      <c r="O1035" s="268">
        <f t="shared" si="172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3"/>
        <v>0</v>
      </c>
      <c r="AD1035" s="196">
        <f t="shared" si="174"/>
        <v>0</v>
      </c>
      <c r="AE1035" s="196">
        <f t="shared" si="175"/>
        <v>0</v>
      </c>
      <c r="AF1035" s="2">
        <f t="shared" si="176"/>
        <v>0</v>
      </c>
      <c r="AG1035" s="2">
        <f t="shared" si="177"/>
        <v>0</v>
      </c>
    </row>
    <row r="1036" spans="1:33">
      <c r="A1036" s="20" t="s">
        <v>1668</v>
      </c>
      <c r="B1036" s="150"/>
      <c r="C1036" s="21" t="s">
        <v>236</v>
      </c>
      <c r="D1036" s="109" t="s">
        <v>13223</v>
      </c>
      <c r="E1036" s="109"/>
      <c r="F1036" s="391" t="s">
        <v>14385</v>
      </c>
      <c r="G1036" s="23" t="s">
        <v>17836</v>
      </c>
      <c r="H1036" s="23"/>
      <c r="I1036" s="23"/>
      <c r="J1036" s="23"/>
      <c r="K1036" s="23"/>
      <c r="L1036" s="375" t="s">
        <v>7787</v>
      </c>
      <c r="M1036" s="351"/>
      <c r="N1036" s="267">
        <f t="shared" si="171"/>
        <v>0</v>
      </c>
      <c r="O1036" s="268">
        <f t="shared" si="172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3"/>
        <v>0</v>
      </c>
      <c r="AD1036" s="196">
        <f t="shared" si="174"/>
        <v>0</v>
      </c>
      <c r="AE1036" s="196">
        <f t="shared" si="175"/>
        <v>0</v>
      </c>
      <c r="AF1036" s="2">
        <f t="shared" si="176"/>
        <v>0</v>
      </c>
      <c r="AG1036" s="2">
        <f t="shared" si="177"/>
        <v>0</v>
      </c>
    </row>
    <row r="1037" spans="1:33">
      <c r="A1037" s="20" t="s">
        <v>1669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14387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71"/>
        <v>0</v>
      </c>
      <c r="O1037" s="268">
        <f t="shared" si="172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3"/>
        <v>0</v>
      </c>
      <c r="AD1037" s="196">
        <f t="shared" si="174"/>
        <v>0</v>
      </c>
      <c r="AE1037" s="196">
        <f t="shared" si="175"/>
        <v>0</v>
      </c>
      <c r="AF1037" s="2">
        <f t="shared" si="176"/>
        <v>0</v>
      </c>
      <c r="AG1037" s="2">
        <f t="shared" si="177"/>
        <v>0</v>
      </c>
    </row>
    <row r="1038" spans="1:33">
      <c r="A1038" s="20" t="s">
        <v>1670</v>
      </c>
      <c r="B1038" s="150"/>
      <c r="C1038" s="21" t="s">
        <v>237</v>
      </c>
      <c r="D1038" s="109" t="s">
        <v>14233</v>
      </c>
      <c r="E1038" s="109" t="s">
        <v>14386</v>
      </c>
      <c r="F1038" s="391" t="s">
        <v>14388</v>
      </c>
      <c r="G1038" s="23" t="s">
        <v>14284</v>
      </c>
      <c r="H1038" s="23"/>
      <c r="I1038" s="23"/>
      <c r="J1038" s="23"/>
      <c r="K1038" s="23"/>
      <c r="L1038" s="350"/>
      <c r="M1038" s="351"/>
      <c r="N1038" s="267">
        <f t="shared" si="171"/>
        <v>0</v>
      </c>
      <c r="O1038" s="268">
        <f t="shared" si="172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3"/>
        <v>0</v>
      </c>
      <c r="AD1038" s="196">
        <f t="shared" si="174"/>
        <v>0</v>
      </c>
      <c r="AE1038" s="196">
        <f t="shared" si="175"/>
        <v>0</v>
      </c>
      <c r="AF1038" s="2">
        <f t="shared" si="176"/>
        <v>0</v>
      </c>
      <c r="AG1038" s="2">
        <f t="shared" si="177"/>
        <v>0</v>
      </c>
    </row>
    <row r="1039" spans="1:33">
      <c r="A1039" s="20" t="s">
        <v>1671</v>
      </c>
      <c r="B1039" s="156" t="s">
        <v>14389</v>
      </c>
      <c r="C1039" s="21" t="s">
        <v>238</v>
      </c>
      <c r="D1039" s="109" t="s">
        <v>13223</v>
      </c>
      <c r="E1039" s="109"/>
      <c r="F1039" s="391" t="s">
        <v>14390</v>
      </c>
      <c r="G1039" s="23" t="s">
        <v>14019</v>
      </c>
      <c r="H1039" s="23"/>
      <c r="I1039" s="23"/>
      <c r="J1039" s="23"/>
      <c r="K1039" s="23"/>
      <c r="L1039" s="375" t="s">
        <v>7787</v>
      </c>
      <c r="M1039" s="351"/>
      <c r="N1039" s="267">
        <f t="shared" si="171"/>
        <v>0</v>
      </c>
      <c r="O1039" s="268">
        <f t="shared" si="172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3"/>
        <v>0</v>
      </c>
      <c r="AD1039" s="196">
        <f t="shared" si="174"/>
        <v>0</v>
      </c>
      <c r="AE1039" s="196">
        <f t="shared" si="175"/>
        <v>0</v>
      </c>
      <c r="AF1039" s="2">
        <f t="shared" si="176"/>
        <v>0</v>
      </c>
      <c r="AG1039" s="2">
        <f t="shared" si="177"/>
        <v>0</v>
      </c>
    </row>
    <row r="1040" spans="1:33">
      <c r="A1040" s="20" t="s">
        <v>1672</v>
      </c>
      <c r="B1040" s="150"/>
      <c r="C1040" s="21" t="s">
        <v>239</v>
      </c>
      <c r="D1040" s="109" t="s">
        <v>14299</v>
      </c>
      <c r="E1040" s="109" t="s">
        <v>13210</v>
      </c>
      <c r="F1040" s="391" t="s">
        <v>14391</v>
      </c>
      <c r="G1040" s="23" t="s">
        <v>14392</v>
      </c>
      <c r="H1040" s="23"/>
      <c r="I1040" s="23"/>
      <c r="J1040" s="23"/>
      <c r="K1040" s="23"/>
      <c r="L1040" s="350"/>
      <c r="M1040" s="351"/>
      <c r="N1040" s="267">
        <f t="shared" si="171"/>
        <v>0</v>
      </c>
      <c r="O1040" s="268">
        <f t="shared" si="172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79"/>
      <c r="AB1040" s="238"/>
      <c r="AC1040" s="196">
        <f t="shared" si="173"/>
        <v>0</v>
      </c>
      <c r="AD1040" s="196">
        <f t="shared" si="174"/>
        <v>0</v>
      </c>
      <c r="AE1040" s="196">
        <f t="shared" si="175"/>
        <v>0</v>
      </c>
      <c r="AF1040" s="2">
        <f t="shared" si="176"/>
        <v>0</v>
      </c>
      <c r="AG1040" s="2">
        <f t="shared" si="177"/>
        <v>0</v>
      </c>
    </row>
    <row r="1041" spans="1:33">
      <c r="A1041" s="20" t="s">
        <v>1673</v>
      </c>
      <c r="B1041" s="150"/>
      <c r="C1041" s="21" t="s">
        <v>239</v>
      </c>
      <c r="D1041" s="109" t="s">
        <v>13223</v>
      </c>
      <c r="E1041" s="109"/>
      <c r="F1041" s="391" t="s">
        <v>14391</v>
      </c>
      <c r="G1041" s="23" t="s">
        <v>14002</v>
      </c>
      <c r="H1041" s="23" t="s">
        <v>24805</v>
      </c>
      <c r="I1041" s="23"/>
      <c r="J1041" s="23"/>
      <c r="K1041" s="23"/>
      <c r="L1041" s="375" t="s">
        <v>7787</v>
      </c>
      <c r="M1041" s="351"/>
      <c r="N1041" s="267">
        <f t="shared" si="171"/>
        <v>0</v>
      </c>
      <c r="O1041" s="268">
        <f t="shared" si="172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9"/>
      <c r="AB1041" s="238"/>
      <c r="AC1041" s="196">
        <f t="shared" si="173"/>
        <v>0</v>
      </c>
      <c r="AD1041" s="196">
        <f t="shared" si="174"/>
        <v>0</v>
      </c>
      <c r="AE1041" s="196">
        <f t="shared" si="175"/>
        <v>0</v>
      </c>
      <c r="AF1041" s="2">
        <f t="shared" si="176"/>
        <v>0</v>
      </c>
      <c r="AG1041" s="2">
        <f t="shared" si="177"/>
        <v>0</v>
      </c>
    </row>
    <row r="1042" spans="1:33">
      <c r="A1042" s="20" t="s">
        <v>1674</v>
      </c>
      <c r="B1042" s="150"/>
      <c r="C1042" s="21" t="s">
        <v>239</v>
      </c>
      <c r="D1042" s="109" t="s">
        <v>14288</v>
      </c>
      <c r="E1042" s="109"/>
      <c r="F1042" s="391" t="s">
        <v>14391</v>
      </c>
      <c r="G1042" s="23" t="s">
        <v>14392</v>
      </c>
      <c r="H1042" s="23"/>
      <c r="I1042" s="23"/>
      <c r="J1042" s="23"/>
      <c r="K1042" s="23"/>
      <c r="L1042" s="350"/>
      <c r="M1042" s="351"/>
      <c r="N1042" s="267">
        <f t="shared" si="171"/>
        <v>0</v>
      </c>
      <c r="O1042" s="268">
        <f t="shared" si="172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37"/>
      <c r="AB1042" s="238"/>
      <c r="AC1042" s="196">
        <f t="shared" si="173"/>
        <v>0</v>
      </c>
      <c r="AD1042" s="196">
        <f t="shared" si="174"/>
        <v>0</v>
      </c>
      <c r="AE1042" s="196">
        <f t="shared" si="175"/>
        <v>0</v>
      </c>
      <c r="AF1042" s="2">
        <f t="shared" si="176"/>
        <v>0</v>
      </c>
      <c r="AG1042" s="2">
        <f t="shared" si="177"/>
        <v>0</v>
      </c>
    </row>
    <row r="1043" spans="1:33">
      <c r="A1043" s="20" t="s">
        <v>1675</v>
      </c>
      <c r="B1043" s="150"/>
      <c r="C1043" s="21" t="s">
        <v>240</v>
      </c>
      <c r="D1043" s="109" t="s">
        <v>13223</v>
      </c>
      <c r="E1043" s="109"/>
      <c r="F1043" s="391" t="s">
        <v>14393</v>
      </c>
      <c r="G1043" s="23" t="s">
        <v>14019</v>
      </c>
      <c r="H1043" s="23"/>
      <c r="I1043" s="23"/>
      <c r="J1043" s="23"/>
      <c r="K1043" s="23"/>
      <c r="L1043" s="350"/>
      <c r="M1043" s="351"/>
      <c r="N1043" s="267">
        <f t="shared" si="171"/>
        <v>0</v>
      </c>
      <c r="O1043" s="268">
        <f t="shared" si="172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3"/>
        <v>0</v>
      </c>
      <c r="AD1043" s="196">
        <f t="shared" si="174"/>
        <v>0</v>
      </c>
      <c r="AE1043" s="196">
        <f t="shared" si="175"/>
        <v>0</v>
      </c>
      <c r="AF1043" s="2">
        <f t="shared" si="176"/>
        <v>0</v>
      </c>
      <c r="AG1043" s="2">
        <f t="shared" si="177"/>
        <v>0</v>
      </c>
    </row>
    <row r="1044" spans="1:33">
      <c r="A1044" s="20" t="s">
        <v>1676</v>
      </c>
      <c r="B1044" s="150"/>
      <c r="C1044" s="21" t="s">
        <v>241</v>
      </c>
      <c r="D1044" s="109" t="s">
        <v>13223</v>
      </c>
      <c r="E1044" s="109"/>
      <c r="F1044" s="391" t="s">
        <v>14394</v>
      </c>
      <c r="G1044" s="23" t="s">
        <v>14019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71"/>
        <v>0</v>
      </c>
      <c r="O1044" s="268">
        <f t="shared" si="172"/>
        <v>0</v>
      </c>
      <c r="P1044" s="239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3"/>
        <v>0</v>
      </c>
      <c r="AD1044" s="196">
        <f t="shared" si="174"/>
        <v>0</v>
      </c>
      <c r="AE1044" s="196">
        <f t="shared" si="175"/>
        <v>0</v>
      </c>
      <c r="AF1044" s="2">
        <f t="shared" si="176"/>
        <v>0</v>
      </c>
      <c r="AG1044" s="2">
        <f t="shared" si="177"/>
        <v>0</v>
      </c>
    </row>
    <row r="1045" spans="1:33">
      <c r="A1045" s="20" t="s">
        <v>1677</v>
      </c>
      <c r="B1045" s="156" t="s">
        <v>14395</v>
      </c>
      <c r="C1045" s="21" t="s">
        <v>242</v>
      </c>
      <c r="D1045" s="109" t="s">
        <v>13223</v>
      </c>
      <c r="E1045" s="109"/>
      <c r="F1045" s="391" t="s">
        <v>14396</v>
      </c>
      <c r="G1045" s="23" t="s">
        <v>14374</v>
      </c>
      <c r="H1045" s="23"/>
      <c r="I1045" s="23"/>
      <c r="J1045" s="23"/>
      <c r="K1045" s="23"/>
      <c r="L1045" s="375" t="s">
        <v>7787</v>
      </c>
      <c r="M1045" s="351" t="s">
        <v>7787</v>
      </c>
      <c r="N1045" s="267">
        <f t="shared" si="171"/>
        <v>0</v>
      </c>
      <c r="O1045" s="268">
        <f t="shared" si="172"/>
        <v>0</v>
      </c>
      <c r="P1045" s="248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3"/>
        <v>0</v>
      </c>
      <c r="AD1045" s="196">
        <f t="shared" si="174"/>
        <v>0</v>
      </c>
      <c r="AE1045" s="196">
        <f t="shared" si="175"/>
        <v>0</v>
      </c>
      <c r="AF1045" s="2">
        <f t="shared" si="176"/>
        <v>0</v>
      </c>
      <c r="AG1045" s="2">
        <f t="shared" si="177"/>
        <v>0</v>
      </c>
    </row>
    <row r="1046" spans="1:33">
      <c r="A1046" s="20" t="s">
        <v>1678</v>
      </c>
      <c r="B1046" s="150"/>
      <c r="C1046" s="21" t="s">
        <v>243</v>
      </c>
      <c r="D1046" s="109" t="s">
        <v>14288</v>
      </c>
      <c r="E1046" s="109"/>
      <c r="F1046" s="391" t="s">
        <v>14397</v>
      </c>
      <c r="G1046" s="23" t="s">
        <v>13980</v>
      </c>
      <c r="H1046" s="23"/>
      <c r="I1046" s="23"/>
      <c r="J1046" s="23"/>
      <c r="K1046" s="23"/>
      <c r="L1046" s="350"/>
      <c r="M1046" s="351"/>
      <c r="N1046" s="267">
        <f t="shared" si="171"/>
        <v>0</v>
      </c>
      <c r="O1046" s="268">
        <f t="shared" si="172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3"/>
        <v>0</v>
      </c>
      <c r="AD1046" s="196">
        <f t="shared" si="174"/>
        <v>0</v>
      </c>
      <c r="AE1046" s="196">
        <f t="shared" si="175"/>
        <v>0</v>
      </c>
      <c r="AF1046" s="2">
        <f t="shared" si="176"/>
        <v>0</v>
      </c>
      <c r="AG1046" s="2">
        <f t="shared" si="177"/>
        <v>0</v>
      </c>
    </row>
    <row r="1047" spans="1:33">
      <c r="A1047" s="20" t="s">
        <v>7779</v>
      </c>
      <c r="B1047" s="150"/>
      <c r="C1047" s="21" t="s">
        <v>243</v>
      </c>
      <c r="D1047" s="109" t="s">
        <v>13223</v>
      </c>
      <c r="E1047" s="109"/>
      <c r="F1047" s="391" t="s">
        <v>14397</v>
      </c>
      <c r="G1047" s="23" t="s">
        <v>14398</v>
      </c>
      <c r="H1047" s="23"/>
      <c r="I1047" s="23"/>
      <c r="J1047" s="23"/>
      <c r="K1047" s="23"/>
      <c r="L1047" s="375" t="s">
        <v>7787</v>
      </c>
      <c r="M1047" s="351"/>
      <c r="N1047" s="267">
        <f t="shared" si="171"/>
        <v>0</v>
      </c>
      <c r="O1047" s="268">
        <f t="shared" si="172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3"/>
        <v>0</v>
      </c>
      <c r="AD1047" s="196">
        <f t="shared" si="174"/>
        <v>0</v>
      </c>
      <c r="AE1047" s="196">
        <f t="shared" si="175"/>
        <v>0</v>
      </c>
      <c r="AF1047" s="2">
        <f t="shared" si="176"/>
        <v>0</v>
      </c>
      <c r="AG1047" s="2">
        <f t="shared" si="177"/>
        <v>0</v>
      </c>
    </row>
    <row r="1048" spans="1:33">
      <c r="A1048" s="20" t="s">
        <v>1679</v>
      </c>
      <c r="B1048" s="150"/>
      <c r="C1048" s="21" t="s">
        <v>244</v>
      </c>
      <c r="D1048" s="109" t="s">
        <v>13207</v>
      </c>
      <c r="E1048" s="109"/>
      <c r="F1048" s="391" t="s">
        <v>14399</v>
      </c>
      <c r="G1048" s="23" t="s">
        <v>14205</v>
      </c>
      <c r="H1048" s="23"/>
      <c r="I1048" s="23"/>
      <c r="J1048" s="23"/>
      <c r="K1048" s="23"/>
      <c r="L1048" s="350"/>
      <c r="M1048" s="351"/>
      <c r="N1048" s="267">
        <f t="shared" si="171"/>
        <v>0</v>
      </c>
      <c r="O1048" s="268">
        <f t="shared" si="172"/>
        <v>0</v>
      </c>
      <c r="P1048" s="239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3"/>
        <v>0</v>
      </c>
      <c r="AD1048" s="196">
        <f t="shared" si="174"/>
        <v>0</v>
      </c>
      <c r="AE1048" s="196">
        <f t="shared" si="175"/>
        <v>0</v>
      </c>
      <c r="AF1048" s="2">
        <f t="shared" si="176"/>
        <v>0</v>
      </c>
      <c r="AG1048" s="2">
        <f t="shared" si="177"/>
        <v>0</v>
      </c>
    </row>
    <row r="1049" spans="1:33">
      <c r="A1049" s="20" t="s">
        <v>1680</v>
      </c>
      <c r="B1049" s="161"/>
      <c r="C1049" s="21" t="s">
        <v>245</v>
      </c>
      <c r="D1049" s="109" t="s">
        <v>13223</v>
      </c>
      <c r="E1049" s="109"/>
      <c r="F1049" s="391" t="s">
        <v>14400</v>
      </c>
      <c r="G1049" s="23" t="s">
        <v>14019</v>
      </c>
      <c r="H1049" s="23"/>
      <c r="I1049" s="23"/>
      <c r="J1049" s="23"/>
      <c r="K1049" s="23"/>
      <c r="L1049" s="375" t="s">
        <v>7787</v>
      </c>
      <c r="M1049" s="351"/>
      <c r="N1049" s="267">
        <f t="shared" si="171"/>
        <v>0</v>
      </c>
      <c r="O1049" s="268">
        <f t="shared" si="172"/>
        <v>0</v>
      </c>
      <c r="P1049" s="241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3"/>
        <v>0</v>
      </c>
      <c r="AD1049" s="196">
        <f t="shared" si="174"/>
        <v>0</v>
      </c>
      <c r="AE1049" s="196">
        <f t="shared" si="175"/>
        <v>0</v>
      </c>
      <c r="AF1049" s="2">
        <f t="shared" si="176"/>
        <v>0</v>
      </c>
      <c r="AG1049" s="2">
        <f t="shared" si="177"/>
        <v>0</v>
      </c>
    </row>
    <row r="1050" spans="1:33">
      <c r="A1050" s="20" t="s">
        <v>1681</v>
      </c>
      <c r="B1050" s="150"/>
      <c r="C1050" s="21" t="s">
        <v>246</v>
      </c>
      <c r="D1050" s="109" t="s">
        <v>14004</v>
      </c>
      <c r="E1050" s="109" t="s">
        <v>14401</v>
      </c>
      <c r="F1050" s="391" t="s">
        <v>14402</v>
      </c>
      <c r="G1050" s="23" t="s">
        <v>14020</v>
      </c>
      <c r="H1050" s="23"/>
      <c r="I1050" s="23"/>
      <c r="J1050" s="23"/>
      <c r="K1050" s="23"/>
      <c r="L1050" s="350"/>
      <c r="M1050" s="351"/>
      <c r="N1050" s="267">
        <f t="shared" si="171"/>
        <v>0</v>
      </c>
      <c r="O1050" s="268">
        <f t="shared" si="172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3"/>
        <v>0</v>
      </c>
      <c r="AD1050" s="196">
        <f t="shared" si="174"/>
        <v>0</v>
      </c>
      <c r="AE1050" s="196">
        <f t="shared" si="175"/>
        <v>0</v>
      </c>
      <c r="AF1050" s="2">
        <f t="shared" si="176"/>
        <v>0</v>
      </c>
      <c r="AG1050" s="2">
        <f t="shared" si="177"/>
        <v>0</v>
      </c>
    </row>
    <row r="1051" spans="1:33">
      <c r="A1051" s="20" t="s">
        <v>8539</v>
      </c>
      <c r="B1051" s="150"/>
      <c r="C1051" s="21" t="s">
        <v>246</v>
      </c>
      <c r="D1051" s="109" t="s">
        <v>14004</v>
      </c>
      <c r="E1051" s="109" t="s">
        <v>14279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71"/>
        <v>0</v>
      </c>
      <c r="O1051" s="268">
        <f t="shared" si="172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3"/>
        <v>0</v>
      </c>
      <c r="AD1051" s="196">
        <f t="shared" si="174"/>
        <v>0</v>
      </c>
      <c r="AE1051" s="196">
        <f t="shared" si="175"/>
        <v>0</v>
      </c>
      <c r="AF1051" s="2">
        <f t="shared" si="176"/>
        <v>0</v>
      </c>
      <c r="AG1051" s="2">
        <f t="shared" si="177"/>
        <v>0</v>
      </c>
    </row>
    <row r="1052" spans="1:33">
      <c r="A1052" s="20" t="s">
        <v>8540</v>
      </c>
      <c r="B1052" s="150"/>
      <c r="C1052" s="21" t="s">
        <v>246</v>
      </c>
      <c r="D1052" s="109" t="s">
        <v>14004</v>
      </c>
      <c r="E1052" s="109" t="s">
        <v>14404</v>
      </c>
      <c r="F1052" s="391" t="s">
        <v>14402</v>
      </c>
      <c r="G1052" s="23" t="s">
        <v>14403</v>
      </c>
      <c r="H1052" s="23" t="s">
        <v>14175</v>
      </c>
      <c r="I1052" s="23"/>
      <c r="J1052" s="23"/>
      <c r="K1052" s="23"/>
      <c r="L1052" s="375" t="s">
        <v>7787</v>
      </c>
      <c r="M1052" s="351" t="s">
        <v>7787</v>
      </c>
      <c r="N1052" s="267">
        <f t="shared" si="171"/>
        <v>0</v>
      </c>
      <c r="O1052" s="268">
        <f t="shared" si="172"/>
        <v>0</v>
      </c>
      <c r="P1052" s="239"/>
      <c r="Q1052" s="239"/>
      <c r="R1052" s="239"/>
      <c r="S1052" s="239"/>
      <c r="T1052" s="239"/>
      <c r="U1052" s="240"/>
      <c r="V1052" s="240"/>
      <c r="W1052" s="240"/>
      <c r="X1052" s="278"/>
      <c r="Y1052" s="237"/>
      <c r="Z1052" s="237"/>
      <c r="AA1052" s="279"/>
      <c r="AB1052" s="238"/>
      <c r="AC1052" s="196">
        <f t="shared" si="173"/>
        <v>0</v>
      </c>
      <c r="AD1052" s="196">
        <f t="shared" si="174"/>
        <v>0</v>
      </c>
      <c r="AE1052" s="196">
        <f t="shared" si="175"/>
        <v>0</v>
      </c>
      <c r="AF1052" s="2">
        <f t="shared" si="176"/>
        <v>0</v>
      </c>
      <c r="AG1052" s="2">
        <f t="shared" si="177"/>
        <v>0</v>
      </c>
    </row>
    <row r="1053" spans="1:33">
      <c r="A1053" s="20" t="s">
        <v>1682</v>
      </c>
      <c r="B1053" s="150"/>
      <c r="C1053" s="21" t="s">
        <v>246</v>
      </c>
      <c r="D1053" s="109" t="s">
        <v>13207</v>
      </c>
      <c r="E1053" s="109" t="s">
        <v>3128</v>
      </c>
      <c r="F1053" s="391" t="s">
        <v>14402</v>
      </c>
      <c r="G1053" s="23" t="s">
        <v>14020</v>
      </c>
      <c r="H1053" s="23" t="s">
        <v>13972</v>
      </c>
      <c r="I1053" s="23" t="s">
        <v>14361</v>
      </c>
      <c r="J1053" s="23" t="s">
        <v>14016</v>
      </c>
      <c r="K1053" s="23" t="s">
        <v>14036</v>
      </c>
      <c r="L1053" s="375" t="s">
        <v>27951</v>
      </c>
      <c r="M1053" s="351" t="s">
        <v>45</v>
      </c>
      <c r="N1053" s="267">
        <f t="shared" ref="N1053:N1118" si="178">SUM(L1053:M1053)</f>
        <v>0</v>
      </c>
      <c r="O1053" s="268">
        <f t="shared" ref="O1053:O1118" si="179">SUM(P1053:Z1053)</f>
        <v>1300</v>
      </c>
      <c r="P1053" s="239"/>
      <c r="Q1053" s="239"/>
      <c r="R1053" s="239"/>
      <c r="S1053" s="239"/>
      <c r="T1053" s="239"/>
      <c r="U1053" s="239">
        <f>5850-4250+1500-1800</f>
        <v>1300</v>
      </c>
      <c r="V1053" s="240"/>
      <c r="W1053" s="240"/>
      <c r="X1053" s="278"/>
      <c r="Y1053" s="239"/>
      <c r="Z1053" s="237"/>
      <c r="AA1053" s="237"/>
      <c r="AB1053" s="238" t="s">
        <v>27953</v>
      </c>
      <c r="AC1053" s="196">
        <f t="shared" si="173"/>
        <v>1300</v>
      </c>
      <c r="AD1053" s="196">
        <f t="shared" si="174"/>
        <v>1300</v>
      </c>
      <c r="AE1053" s="196">
        <f t="shared" si="175"/>
        <v>0</v>
      </c>
      <c r="AF1053" s="2">
        <f t="shared" si="176"/>
        <v>1300</v>
      </c>
      <c r="AG1053" s="2">
        <f t="shared" si="177"/>
        <v>0</v>
      </c>
    </row>
    <row r="1054" spans="1:33">
      <c r="A1054" s="20" t="s">
        <v>10216</v>
      </c>
      <c r="B1054" s="150"/>
      <c r="C1054" s="21" t="s">
        <v>246</v>
      </c>
      <c r="D1054" s="109" t="s">
        <v>14126</v>
      </c>
      <c r="E1054" s="109"/>
      <c r="F1054" s="391" t="s">
        <v>14402</v>
      </c>
      <c r="G1054" s="23" t="s">
        <v>20087</v>
      </c>
      <c r="H1054" s="23" t="s">
        <v>13972</v>
      </c>
      <c r="I1054" s="23" t="s">
        <v>14361</v>
      </c>
      <c r="J1054" s="23" t="s">
        <v>14359</v>
      </c>
      <c r="K1054" s="23" t="s">
        <v>13571</v>
      </c>
      <c r="L1054" s="375" t="s">
        <v>45</v>
      </c>
      <c r="M1054" s="351" t="s">
        <v>7787</v>
      </c>
      <c r="N1054" s="267">
        <f t="shared" si="178"/>
        <v>0</v>
      </c>
      <c r="O1054" s="268">
        <f t="shared" si="179"/>
        <v>100</v>
      </c>
      <c r="P1054" s="241"/>
      <c r="Q1054" s="241"/>
      <c r="R1054" s="239"/>
      <c r="S1054" s="241"/>
      <c r="T1054" s="239"/>
      <c r="U1054" s="240">
        <f>600-500+800-800</f>
        <v>100</v>
      </c>
      <c r="V1054" s="239"/>
      <c r="W1054" s="240"/>
      <c r="X1054" s="278"/>
      <c r="Y1054" s="241"/>
      <c r="Z1054" s="237"/>
      <c r="AA1054" s="279"/>
      <c r="AB1054" s="238" t="s">
        <v>26848</v>
      </c>
      <c r="AC1054" s="196">
        <f t="shared" si="173"/>
        <v>100</v>
      </c>
      <c r="AD1054" s="196">
        <f t="shared" si="174"/>
        <v>100</v>
      </c>
      <c r="AE1054" s="196">
        <f t="shared" si="175"/>
        <v>0</v>
      </c>
      <c r="AF1054" s="2">
        <f t="shared" si="176"/>
        <v>100</v>
      </c>
      <c r="AG1054" s="2">
        <f t="shared" si="177"/>
        <v>0</v>
      </c>
    </row>
    <row r="1055" spans="1:33">
      <c r="A1055" s="20" t="s">
        <v>18326</v>
      </c>
      <c r="B1055" s="150"/>
      <c r="C1055" s="21" t="s">
        <v>246</v>
      </c>
      <c r="D1055" s="109" t="s">
        <v>18336</v>
      </c>
      <c r="E1055" s="109"/>
      <c r="F1055" s="391" t="s">
        <v>4499</v>
      </c>
      <c r="G1055" s="23" t="s">
        <v>14359</v>
      </c>
      <c r="H1055" s="23"/>
      <c r="I1055" s="23"/>
      <c r="J1055" s="23"/>
      <c r="K1055" s="23"/>
      <c r="L1055" s="375" t="s">
        <v>7787</v>
      </c>
      <c r="M1055" s="351"/>
      <c r="N1055" s="267">
        <f t="shared" si="178"/>
        <v>0</v>
      </c>
      <c r="O1055" s="268">
        <f t="shared" si="179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3"/>
        <v>0</v>
      </c>
      <c r="AD1055" s="196">
        <f t="shared" si="174"/>
        <v>0</v>
      </c>
      <c r="AE1055" s="196">
        <f t="shared" si="175"/>
        <v>0</v>
      </c>
      <c r="AF1055" s="2">
        <f t="shared" si="176"/>
        <v>0</v>
      </c>
      <c r="AG1055" s="2">
        <f t="shared" si="177"/>
        <v>0</v>
      </c>
    </row>
    <row r="1056" spans="1:33">
      <c r="A1056" s="20" t="s">
        <v>19886</v>
      </c>
      <c r="B1056" s="150"/>
      <c r="C1056" s="21" t="s">
        <v>246</v>
      </c>
      <c r="D1056" s="109" t="s">
        <v>19330</v>
      </c>
      <c r="E1056" s="109" t="s">
        <v>19331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8"/>
        <v>0</v>
      </c>
      <c r="O1056" s="268">
        <f t="shared" si="179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3"/>
        <v>0</v>
      </c>
      <c r="AD1056" s="196">
        <f t="shared" si="174"/>
        <v>0</v>
      </c>
      <c r="AE1056" s="196">
        <f t="shared" si="175"/>
        <v>0</v>
      </c>
      <c r="AF1056" s="2">
        <f t="shared" si="176"/>
        <v>0</v>
      </c>
      <c r="AG1056" s="2">
        <f t="shared" si="177"/>
        <v>0</v>
      </c>
    </row>
    <row r="1057" spans="1:33">
      <c r="A1057" s="20" t="s">
        <v>19887</v>
      </c>
      <c r="B1057" s="150"/>
      <c r="C1057" s="21" t="s">
        <v>246</v>
      </c>
      <c r="D1057" s="109" t="s">
        <v>19330</v>
      </c>
      <c r="E1057" s="109" t="s">
        <v>19332</v>
      </c>
      <c r="F1057" s="391" t="s">
        <v>4499</v>
      </c>
      <c r="G1057" s="23" t="s">
        <v>13515</v>
      </c>
      <c r="H1057" s="23"/>
      <c r="I1057" s="23"/>
      <c r="J1057" s="23"/>
      <c r="K1057" s="23"/>
      <c r="L1057" s="375" t="s">
        <v>7787</v>
      </c>
      <c r="M1057" s="351" t="s">
        <v>7787</v>
      </c>
      <c r="N1057" s="267">
        <f t="shared" si="178"/>
        <v>0</v>
      </c>
      <c r="O1057" s="268">
        <f t="shared" si="179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3"/>
        <v>0</v>
      </c>
      <c r="AD1057" s="196">
        <f t="shared" si="174"/>
        <v>0</v>
      </c>
      <c r="AE1057" s="196">
        <f t="shared" si="175"/>
        <v>0</v>
      </c>
      <c r="AF1057" s="2">
        <f t="shared" si="176"/>
        <v>0</v>
      </c>
      <c r="AG1057" s="2">
        <f t="shared" si="177"/>
        <v>0</v>
      </c>
    </row>
    <row r="1058" spans="1:33">
      <c r="A1058" s="20" t="s">
        <v>1683</v>
      </c>
      <c r="B1058" s="150"/>
      <c r="C1058" s="21" t="s">
        <v>247</v>
      </c>
      <c r="D1058" s="109" t="s">
        <v>14004</v>
      </c>
      <c r="E1058" s="109" t="s">
        <v>13210</v>
      </c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8"/>
        <v>0</v>
      </c>
      <c r="O1058" s="268">
        <f t="shared" si="179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3"/>
        <v>0</v>
      </c>
      <c r="AD1058" s="196">
        <f t="shared" si="174"/>
        <v>0</v>
      </c>
      <c r="AE1058" s="196">
        <f t="shared" si="175"/>
        <v>0</v>
      </c>
      <c r="AF1058" s="2">
        <f t="shared" si="176"/>
        <v>0</v>
      </c>
      <c r="AG1058" s="2">
        <f t="shared" si="177"/>
        <v>0</v>
      </c>
    </row>
    <row r="1059" spans="1:33">
      <c r="A1059" s="20" t="s">
        <v>1684</v>
      </c>
      <c r="B1059" s="150"/>
      <c r="C1059" s="21" t="s">
        <v>247</v>
      </c>
      <c r="D1059" s="109" t="s">
        <v>13223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8"/>
        <v>0</v>
      </c>
      <c r="O1059" s="268">
        <f t="shared" si="179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3"/>
        <v>0</v>
      </c>
      <c r="AD1059" s="196">
        <f t="shared" si="174"/>
        <v>0</v>
      </c>
      <c r="AE1059" s="196">
        <f t="shared" si="175"/>
        <v>0</v>
      </c>
      <c r="AF1059" s="2">
        <f t="shared" si="176"/>
        <v>0</v>
      </c>
      <c r="AG1059" s="2">
        <f t="shared" si="177"/>
        <v>0</v>
      </c>
    </row>
    <row r="1060" spans="1:33">
      <c r="A1060" s="20" t="s">
        <v>1685</v>
      </c>
      <c r="B1060" s="150"/>
      <c r="C1060" s="21" t="s">
        <v>247</v>
      </c>
      <c r="D1060" s="109" t="s">
        <v>14288</v>
      </c>
      <c r="E1060" s="109"/>
      <c r="F1060" s="391" t="s">
        <v>14405</v>
      </c>
      <c r="G1060" s="23" t="s">
        <v>7851</v>
      </c>
      <c r="H1060" s="23"/>
      <c r="I1060" s="23"/>
      <c r="J1060" s="23"/>
      <c r="K1060" s="23"/>
      <c r="L1060" s="350"/>
      <c r="M1060" s="351"/>
      <c r="N1060" s="267">
        <f t="shared" si="178"/>
        <v>0</v>
      </c>
      <c r="O1060" s="268">
        <f t="shared" si="179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3"/>
        <v>0</v>
      </c>
      <c r="AD1060" s="196">
        <f t="shared" si="174"/>
        <v>0</v>
      </c>
      <c r="AE1060" s="196">
        <f t="shared" si="175"/>
        <v>0</v>
      </c>
      <c r="AF1060" s="2">
        <f t="shared" si="176"/>
        <v>0</v>
      </c>
      <c r="AG1060" s="2">
        <f t="shared" si="177"/>
        <v>0</v>
      </c>
    </row>
    <row r="1061" spans="1:33">
      <c r="A1061" s="20" t="s">
        <v>1686</v>
      </c>
      <c r="B1061" s="150"/>
      <c r="C1061" s="21" t="s">
        <v>248</v>
      </c>
      <c r="D1061" s="109" t="s">
        <v>13207</v>
      </c>
      <c r="E1061" s="109"/>
      <c r="F1061" s="391" t="s">
        <v>14406</v>
      </c>
      <c r="G1061" s="23" t="s">
        <v>14407</v>
      </c>
      <c r="H1061" s="23"/>
      <c r="I1061" s="23"/>
      <c r="J1061" s="23"/>
      <c r="K1061" s="23"/>
      <c r="L1061" s="350"/>
      <c r="M1061" s="351"/>
      <c r="N1061" s="267">
        <f t="shared" si="178"/>
        <v>0</v>
      </c>
      <c r="O1061" s="268">
        <f t="shared" si="179"/>
        <v>0</v>
      </c>
      <c r="P1061" s="239"/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/>
      <c r="AC1061" s="196">
        <f t="shared" si="173"/>
        <v>0</v>
      </c>
      <c r="AD1061" s="196">
        <f t="shared" si="174"/>
        <v>0</v>
      </c>
      <c r="AE1061" s="196">
        <f t="shared" si="175"/>
        <v>0</v>
      </c>
      <c r="AF1061" s="2">
        <f t="shared" si="176"/>
        <v>0</v>
      </c>
      <c r="AG1061" s="2">
        <f t="shared" si="177"/>
        <v>0</v>
      </c>
    </row>
    <row r="1062" spans="1:33">
      <c r="A1062" s="20" t="s">
        <v>1688</v>
      </c>
      <c r="B1062" s="161"/>
      <c r="C1062" s="21" t="s">
        <v>249</v>
      </c>
      <c r="D1062" s="109" t="s">
        <v>13207</v>
      </c>
      <c r="E1062" s="109" t="s">
        <v>13969</v>
      </c>
      <c r="F1062" s="391" t="s">
        <v>14408</v>
      </c>
      <c r="G1062" s="23" t="s">
        <v>25904</v>
      </c>
      <c r="H1062" s="23" t="s">
        <v>21312</v>
      </c>
      <c r="I1062" s="23" t="s">
        <v>25905</v>
      </c>
      <c r="J1062" s="23" t="s">
        <v>14016</v>
      </c>
      <c r="K1062" s="23" t="s">
        <v>14014</v>
      </c>
      <c r="L1062" s="375" t="s">
        <v>27931</v>
      </c>
      <c r="M1062" s="351" t="s">
        <v>45</v>
      </c>
      <c r="N1062" s="267">
        <f t="shared" si="178"/>
        <v>0</v>
      </c>
      <c r="O1062" s="268">
        <f t="shared" si="179"/>
        <v>1200</v>
      </c>
      <c r="P1062" s="239">
        <f>300+900</f>
        <v>1200</v>
      </c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 t="s">
        <v>27934</v>
      </c>
      <c r="AC1062" s="196">
        <f t="shared" si="173"/>
        <v>1200</v>
      </c>
      <c r="AD1062" s="196">
        <f t="shared" si="174"/>
        <v>1200</v>
      </c>
      <c r="AE1062" s="196">
        <f t="shared" si="175"/>
        <v>0</v>
      </c>
      <c r="AF1062" s="2">
        <f t="shared" si="176"/>
        <v>1200</v>
      </c>
      <c r="AG1062" s="2">
        <f t="shared" si="177"/>
        <v>0</v>
      </c>
    </row>
    <row r="1063" spans="1:33">
      <c r="A1063" s="20" t="s">
        <v>1687</v>
      </c>
      <c r="B1063" s="150"/>
      <c r="C1063" s="21" t="s">
        <v>249</v>
      </c>
      <c r="D1063" s="109" t="s">
        <v>14061</v>
      </c>
      <c r="E1063" s="109" t="s">
        <v>13210</v>
      </c>
      <c r="F1063" s="391" t="s">
        <v>14408</v>
      </c>
      <c r="G1063" s="23" t="s">
        <v>14056</v>
      </c>
      <c r="H1063" s="23" t="s">
        <v>14059</v>
      </c>
      <c r="I1063" s="23"/>
      <c r="J1063" s="23"/>
      <c r="K1063" s="23"/>
      <c r="L1063" s="375" t="s">
        <v>7787</v>
      </c>
      <c r="M1063" s="357" t="s">
        <v>7787</v>
      </c>
      <c r="N1063" s="267">
        <f t="shared" si="178"/>
        <v>0</v>
      </c>
      <c r="O1063" s="268">
        <f t="shared" si="179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3"/>
        <v>0</v>
      </c>
      <c r="AD1063" s="196">
        <f t="shared" si="174"/>
        <v>0</v>
      </c>
      <c r="AE1063" s="196">
        <f t="shared" si="175"/>
        <v>0</v>
      </c>
      <c r="AF1063" s="2">
        <f t="shared" si="176"/>
        <v>0</v>
      </c>
      <c r="AG1063" s="2">
        <f t="shared" si="177"/>
        <v>0</v>
      </c>
    </row>
    <row r="1064" spans="1:33">
      <c r="A1064" s="20" t="s">
        <v>22564</v>
      </c>
      <c r="B1064" s="150"/>
      <c r="C1064" s="21" t="s">
        <v>249</v>
      </c>
      <c r="D1064" s="109" t="s">
        <v>22586</v>
      </c>
      <c r="E1064" s="109" t="s">
        <v>22587</v>
      </c>
      <c r="F1064" s="391" t="s">
        <v>4501</v>
      </c>
      <c r="G1064" s="23" t="s">
        <v>18851</v>
      </c>
      <c r="H1064" s="23"/>
      <c r="I1064" s="23"/>
      <c r="J1064" s="23"/>
      <c r="K1064" s="23"/>
      <c r="L1064" s="375" t="s">
        <v>7787</v>
      </c>
      <c r="M1064" s="357" t="s">
        <v>7787</v>
      </c>
      <c r="N1064" s="267">
        <f t="shared" si="178"/>
        <v>0</v>
      </c>
      <c r="O1064" s="268">
        <f t="shared" si="179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3"/>
        <v>0</v>
      </c>
      <c r="AD1064" s="196">
        <f t="shared" si="174"/>
        <v>0</v>
      </c>
      <c r="AE1064" s="196">
        <f t="shared" si="175"/>
        <v>0</v>
      </c>
      <c r="AF1064" s="2">
        <f t="shared" si="176"/>
        <v>0</v>
      </c>
      <c r="AG1064" s="2">
        <f t="shared" si="177"/>
        <v>0</v>
      </c>
    </row>
    <row r="1065" spans="1:33">
      <c r="A1065" s="20" t="s">
        <v>1689</v>
      </c>
      <c r="B1065" s="150"/>
      <c r="C1065" s="21" t="s">
        <v>250</v>
      </c>
      <c r="D1065" s="109" t="s">
        <v>13223</v>
      </c>
      <c r="E1065" s="109"/>
      <c r="F1065" s="391" t="s">
        <v>14409</v>
      </c>
      <c r="G1065" s="23" t="s">
        <v>14006</v>
      </c>
      <c r="H1065" s="23"/>
      <c r="I1065" s="23"/>
      <c r="J1065" s="23"/>
      <c r="K1065" s="23"/>
      <c r="L1065" s="350"/>
      <c r="M1065" s="351"/>
      <c r="N1065" s="267">
        <f t="shared" si="178"/>
        <v>0</v>
      </c>
      <c r="O1065" s="268">
        <f t="shared" si="179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3"/>
        <v>0</v>
      </c>
      <c r="AD1065" s="196">
        <f t="shared" si="174"/>
        <v>0</v>
      </c>
      <c r="AE1065" s="196">
        <f t="shared" si="175"/>
        <v>0</v>
      </c>
      <c r="AF1065" s="2">
        <f t="shared" si="176"/>
        <v>0</v>
      </c>
      <c r="AG1065" s="2">
        <f t="shared" si="177"/>
        <v>0</v>
      </c>
    </row>
    <row r="1066" spans="1:33">
      <c r="A1066" s="20" t="s">
        <v>6799</v>
      </c>
      <c r="B1066" s="152" t="s">
        <v>14410</v>
      </c>
      <c r="C1066" s="21" t="s">
        <v>251</v>
      </c>
      <c r="D1066" s="109" t="s">
        <v>14004</v>
      </c>
      <c r="E1066" s="109" t="s">
        <v>13994</v>
      </c>
      <c r="F1066" s="391" t="s">
        <v>14411</v>
      </c>
      <c r="G1066" s="23" t="s">
        <v>14403</v>
      </c>
      <c r="H1066" s="23"/>
      <c r="I1066" s="23"/>
      <c r="J1066" s="23"/>
      <c r="K1066" s="23"/>
      <c r="L1066" s="350"/>
      <c r="M1066" s="351"/>
      <c r="N1066" s="267">
        <f t="shared" si="178"/>
        <v>0</v>
      </c>
      <c r="O1066" s="268">
        <f t="shared" si="179"/>
        <v>0</v>
      </c>
      <c r="P1066" s="239"/>
      <c r="Q1066" s="239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3"/>
        <v>0</v>
      </c>
      <c r="AD1066" s="196">
        <f t="shared" si="174"/>
        <v>0</v>
      </c>
      <c r="AE1066" s="196">
        <f t="shared" si="175"/>
        <v>0</v>
      </c>
      <c r="AF1066" s="2">
        <f t="shared" si="176"/>
        <v>0</v>
      </c>
      <c r="AG1066" s="2">
        <f t="shared" si="177"/>
        <v>0</v>
      </c>
    </row>
    <row r="1067" spans="1:33">
      <c r="A1067" s="20" t="s">
        <v>1690</v>
      </c>
      <c r="B1067" s="150"/>
      <c r="C1067" s="21" t="s">
        <v>251</v>
      </c>
      <c r="D1067" s="109" t="s">
        <v>13223</v>
      </c>
      <c r="E1067" s="109"/>
      <c r="F1067" s="391" t="s">
        <v>14412</v>
      </c>
      <c r="G1067" s="23" t="s">
        <v>14019</v>
      </c>
      <c r="H1067" s="23" t="s">
        <v>13215</v>
      </c>
      <c r="I1067" s="23"/>
      <c r="J1067" s="23"/>
      <c r="K1067" s="23"/>
      <c r="L1067" s="350"/>
      <c r="M1067" s="351"/>
      <c r="N1067" s="267">
        <f t="shared" si="178"/>
        <v>0</v>
      </c>
      <c r="O1067" s="268">
        <f t="shared" si="179"/>
        <v>0</v>
      </c>
      <c r="P1067" s="239"/>
      <c r="Q1067" s="248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3"/>
        <v>0</v>
      </c>
      <c r="AD1067" s="196">
        <f t="shared" si="174"/>
        <v>0</v>
      </c>
      <c r="AE1067" s="196">
        <f t="shared" si="175"/>
        <v>0</v>
      </c>
      <c r="AF1067" s="2">
        <f t="shared" si="176"/>
        <v>0</v>
      </c>
      <c r="AG1067" s="2">
        <f t="shared" si="177"/>
        <v>0</v>
      </c>
    </row>
    <row r="1068" spans="1:33">
      <c r="A1068" s="20" t="s">
        <v>1691</v>
      </c>
      <c r="B1068" s="150"/>
      <c r="C1068" s="21" t="s">
        <v>251</v>
      </c>
      <c r="D1068" s="109" t="s">
        <v>13207</v>
      </c>
      <c r="E1068" s="109"/>
      <c r="F1068" s="391" t="s">
        <v>14412</v>
      </c>
      <c r="G1068" s="23" t="s">
        <v>14413</v>
      </c>
      <c r="H1068" s="23" t="s">
        <v>14414</v>
      </c>
      <c r="I1068" s="23"/>
      <c r="J1068" s="23"/>
      <c r="K1068" s="23"/>
      <c r="L1068" s="350"/>
      <c r="M1068" s="351"/>
      <c r="N1068" s="267">
        <f t="shared" si="178"/>
        <v>0</v>
      </c>
      <c r="O1068" s="268">
        <f t="shared" si="179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3"/>
        <v>0</v>
      </c>
      <c r="AD1068" s="196">
        <f t="shared" si="174"/>
        <v>0</v>
      </c>
      <c r="AE1068" s="196">
        <f t="shared" si="175"/>
        <v>0</v>
      </c>
      <c r="AF1068" s="2">
        <f t="shared" si="176"/>
        <v>0</v>
      </c>
      <c r="AG1068" s="2">
        <f t="shared" si="177"/>
        <v>0</v>
      </c>
    </row>
    <row r="1069" spans="1:33">
      <c r="A1069" s="20" t="s">
        <v>1792</v>
      </c>
      <c r="B1069" s="150"/>
      <c r="C1069" s="21" t="s">
        <v>749</v>
      </c>
      <c r="D1069" s="109" t="s">
        <v>13207</v>
      </c>
      <c r="E1069" s="109"/>
      <c r="F1069" s="391" t="s">
        <v>14415</v>
      </c>
      <c r="G1069" s="23"/>
      <c r="H1069" s="23"/>
      <c r="I1069" s="23"/>
      <c r="J1069" s="23"/>
      <c r="K1069" s="23"/>
      <c r="L1069" s="350"/>
      <c r="M1069" s="351"/>
      <c r="N1069" s="267">
        <f t="shared" si="178"/>
        <v>0</v>
      </c>
      <c r="O1069" s="268">
        <f t="shared" si="179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3"/>
        <v>0</v>
      </c>
      <c r="AD1069" s="196">
        <f t="shared" si="174"/>
        <v>0</v>
      </c>
      <c r="AE1069" s="196">
        <f t="shared" si="175"/>
        <v>0</v>
      </c>
      <c r="AF1069" s="2">
        <f t="shared" si="176"/>
        <v>0</v>
      </c>
      <c r="AG1069" s="2">
        <f t="shared" si="177"/>
        <v>0</v>
      </c>
    </row>
    <row r="1070" spans="1:33">
      <c r="A1070" s="20" t="s">
        <v>1692</v>
      </c>
      <c r="B1070" s="150"/>
      <c r="C1070" s="21" t="s">
        <v>252</v>
      </c>
      <c r="D1070" s="109" t="s">
        <v>13223</v>
      </c>
      <c r="E1070" s="109"/>
      <c r="F1070" s="391" t="s">
        <v>14416</v>
      </c>
      <c r="G1070" s="23" t="s">
        <v>14019</v>
      </c>
      <c r="H1070" s="23"/>
      <c r="I1070" s="23"/>
      <c r="J1070" s="23"/>
      <c r="K1070" s="23"/>
      <c r="L1070" s="350"/>
      <c r="M1070" s="351"/>
      <c r="N1070" s="267">
        <f t="shared" si="178"/>
        <v>0</v>
      </c>
      <c r="O1070" s="268">
        <f t="shared" si="179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3"/>
        <v>0</v>
      </c>
      <c r="AD1070" s="196">
        <f t="shared" si="174"/>
        <v>0</v>
      </c>
      <c r="AE1070" s="196">
        <f t="shared" si="175"/>
        <v>0</v>
      </c>
      <c r="AF1070" s="2">
        <f t="shared" si="176"/>
        <v>0</v>
      </c>
      <c r="AG1070" s="2">
        <f t="shared" si="177"/>
        <v>0</v>
      </c>
    </row>
    <row r="1071" spans="1:33">
      <c r="A1071" s="20" t="s">
        <v>1693</v>
      </c>
      <c r="B1071" s="161"/>
      <c r="C1071" s="21" t="s">
        <v>14417</v>
      </c>
      <c r="D1071" s="109" t="s">
        <v>13223</v>
      </c>
      <c r="E1071" s="109"/>
      <c r="F1071" s="391" t="s">
        <v>14418</v>
      </c>
      <c r="G1071" s="23" t="s">
        <v>14006</v>
      </c>
      <c r="H1071" s="23"/>
      <c r="I1071" s="23"/>
      <c r="J1071" s="23"/>
      <c r="K1071" s="23"/>
      <c r="L1071" s="350"/>
      <c r="M1071" s="351"/>
      <c r="N1071" s="267">
        <f t="shared" si="178"/>
        <v>0</v>
      </c>
      <c r="O1071" s="268">
        <f t="shared" si="179"/>
        <v>0</v>
      </c>
      <c r="P1071" s="239"/>
      <c r="Q1071" s="239"/>
      <c r="R1071" s="239"/>
      <c r="S1071" s="239"/>
      <c r="T1071" s="239"/>
      <c r="U1071" s="240"/>
      <c r="V1071" s="240"/>
      <c r="W1071" s="240"/>
      <c r="X1071" s="278"/>
      <c r="Y1071" s="237"/>
      <c r="Z1071" s="237"/>
      <c r="AA1071" s="279"/>
      <c r="AB1071" s="238"/>
      <c r="AC1071" s="196">
        <f t="shared" si="173"/>
        <v>0</v>
      </c>
      <c r="AD1071" s="196">
        <f t="shared" si="174"/>
        <v>0</v>
      </c>
      <c r="AE1071" s="196">
        <f t="shared" si="175"/>
        <v>0</v>
      </c>
      <c r="AF1071" s="2">
        <f t="shared" si="176"/>
        <v>0</v>
      </c>
      <c r="AG1071" s="2">
        <f t="shared" si="177"/>
        <v>0</v>
      </c>
    </row>
    <row r="1072" spans="1:33">
      <c r="A1072" s="20" t="s">
        <v>1694</v>
      </c>
      <c r="B1072" s="162" t="s">
        <v>14419</v>
      </c>
      <c r="C1072" s="21" t="s">
        <v>253</v>
      </c>
      <c r="D1072" s="109" t="s">
        <v>13207</v>
      </c>
      <c r="E1072" s="109"/>
      <c r="F1072" s="391" t="s">
        <v>14418</v>
      </c>
      <c r="G1072" s="23" t="s">
        <v>14002</v>
      </c>
      <c r="H1072" s="23" t="s">
        <v>14420</v>
      </c>
      <c r="I1072" s="23" t="s">
        <v>6133</v>
      </c>
      <c r="J1072" s="23" t="s">
        <v>24450</v>
      </c>
      <c r="K1072" s="23" t="s">
        <v>26479</v>
      </c>
      <c r="L1072" s="375">
        <f>600+1600</f>
        <v>2200</v>
      </c>
      <c r="M1072" s="351" t="s">
        <v>45</v>
      </c>
      <c r="N1072" s="267">
        <f t="shared" si="178"/>
        <v>2200</v>
      </c>
      <c r="O1072" s="268">
        <f t="shared" si="179"/>
        <v>0</v>
      </c>
      <c r="P1072" s="240"/>
      <c r="Q1072" s="239"/>
      <c r="R1072" s="239"/>
      <c r="S1072" s="239"/>
      <c r="T1072" s="239"/>
      <c r="U1072" s="240"/>
      <c r="V1072" s="240"/>
      <c r="W1072" s="240"/>
      <c r="X1072" s="278"/>
      <c r="Y1072" s="237"/>
      <c r="Z1072" s="237"/>
      <c r="AA1072" s="279"/>
      <c r="AB1072" s="238"/>
      <c r="AC1072" s="196">
        <f t="shared" si="173"/>
        <v>0</v>
      </c>
      <c r="AD1072" s="196">
        <f t="shared" si="174"/>
        <v>0</v>
      </c>
      <c r="AE1072" s="196">
        <f t="shared" si="175"/>
        <v>0</v>
      </c>
      <c r="AF1072" s="2">
        <f t="shared" si="176"/>
        <v>0</v>
      </c>
      <c r="AG1072" s="2">
        <f t="shared" si="177"/>
        <v>0</v>
      </c>
    </row>
    <row r="1073" spans="1:33">
      <c r="A1073" s="20" t="s">
        <v>20501</v>
      </c>
      <c r="B1073" s="162"/>
      <c r="C1073" s="21" t="s">
        <v>253</v>
      </c>
      <c r="D1073" s="109" t="s">
        <v>20739</v>
      </c>
      <c r="E1073" s="109"/>
      <c r="F1073" s="391" t="s">
        <v>4506</v>
      </c>
      <c r="G1073" s="23" t="s">
        <v>20740</v>
      </c>
      <c r="H1073" s="23"/>
      <c r="I1073" s="23"/>
      <c r="J1073" s="23"/>
      <c r="K1073" s="23"/>
      <c r="L1073" s="375" t="s">
        <v>7787</v>
      </c>
      <c r="M1073" s="351"/>
      <c r="N1073" s="267">
        <f t="shared" si="178"/>
        <v>0</v>
      </c>
      <c r="O1073" s="268">
        <f t="shared" si="179"/>
        <v>0</v>
      </c>
      <c r="P1073" s="244"/>
      <c r="Q1073" s="239"/>
      <c r="R1073" s="239"/>
      <c r="S1073" s="239"/>
      <c r="T1073" s="239"/>
      <c r="U1073" s="240"/>
      <c r="V1073" s="244"/>
      <c r="W1073" s="240"/>
      <c r="X1073" s="278"/>
      <c r="Y1073" s="243"/>
      <c r="Z1073" s="237"/>
      <c r="AA1073" s="279"/>
      <c r="AB1073" s="238"/>
      <c r="AC1073" s="196">
        <f t="shared" si="173"/>
        <v>0</v>
      </c>
      <c r="AD1073" s="196">
        <f t="shared" si="174"/>
        <v>0</v>
      </c>
      <c r="AE1073" s="196">
        <f t="shared" si="175"/>
        <v>0</v>
      </c>
      <c r="AF1073" s="2">
        <f t="shared" si="176"/>
        <v>0</v>
      </c>
      <c r="AG1073" s="2">
        <f t="shared" si="177"/>
        <v>0</v>
      </c>
    </row>
    <row r="1074" spans="1:33">
      <c r="A1074" s="20" t="s">
        <v>1695</v>
      </c>
      <c r="B1074" s="162" t="s">
        <v>14421</v>
      </c>
      <c r="C1074" s="21" t="s">
        <v>254</v>
      </c>
      <c r="D1074" s="109" t="s">
        <v>13207</v>
      </c>
      <c r="E1074" s="109"/>
      <c r="F1074" s="391" t="s">
        <v>14422</v>
      </c>
      <c r="G1074" s="23" t="s">
        <v>14002</v>
      </c>
      <c r="H1074" s="23" t="s">
        <v>13937</v>
      </c>
      <c r="I1074" s="23" t="s">
        <v>13370</v>
      </c>
      <c r="J1074" s="23" t="s">
        <v>13409</v>
      </c>
      <c r="K1074" s="23" t="s">
        <v>24159</v>
      </c>
      <c r="L1074" s="375" t="s">
        <v>7787</v>
      </c>
      <c r="M1074" s="351" t="s">
        <v>7787</v>
      </c>
      <c r="N1074" s="267">
        <f t="shared" si="178"/>
        <v>0</v>
      </c>
      <c r="O1074" s="268">
        <f t="shared" si="179"/>
        <v>450</v>
      </c>
      <c r="P1074" s="239"/>
      <c r="Q1074" s="239"/>
      <c r="R1074" s="239"/>
      <c r="S1074" s="239"/>
      <c r="T1074" s="239"/>
      <c r="U1074" s="240">
        <f>1800-1700+450-50-50</f>
        <v>450</v>
      </c>
      <c r="V1074" s="239"/>
      <c r="W1074" s="240"/>
      <c r="X1074" s="278"/>
      <c r="Y1074" s="239"/>
      <c r="Z1074" s="237"/>
      <c r="AA1074" s="279"/>
      <c r="AB1074" s="238" t="s">
        <v>24999</v>
      </c>
      <c r="AC1074" s="196">
        <f t="shared" si="173"/>
        <v>450</v>
      </c>
      <c r="AD1074" s="196">
        <f t="shared" si="174"/>
        <v>450</v>
      </c>
      <c r="AE1074" s="196">
        <f t="shared" si="175"/>
        <v>0</v>
      </c>
      <c r="AF1074" s="2">
        <f t="shared" si="176"/>
        <v>450</v>
      </c>
      <c r="AG1074" s="2">
        <f t="shared" si="177"/>
        <v>0</v>
      </c>
    </row>
    <row r="1075" spans="1:33">
      <c r="A1075" s="20" t="s">
        <v>1696</v>
      </c>
      <c r="B1075" s="156" t="s">
        <v>14423</v>
      </c>
      <c r="C1075" s="21" t="s">
        <v>255</v>
      </c>
      <c r="D1075" s="109" t="s">
        <v>13223</v>
      </c>
      <c r="E1075" s="109"/>
      <c r="F1075" s="391" t="s">
        <v>14424</v>
      </c>
      <c r="G1075" s="23" t="s">
        <v>14019</v>
      </c>
      <c r="H1075" s="23" t="s">
        <v>17078</v>
      </c>
      <c r="I1075" s="23"/>
      <c r="J1075" s="23"/>
      <c r="K1075" s="23"/>
      <c r="L1075" s="375" t="s">
        <v>7787</v>
      </c>
      <c r="M1075" s="351" t="s">
        <v>7787</v>
      </c>
      <c r="N1075" s="267">
        <f t="shared" si="178"/>
        <v>0</v>
      </c>
      <c r="O1075" s="268">
        <f t="shared" si="179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39"/>
      <c r="AB1075" s="238"/>
      <c r="AC1075" s="196">
        <f t="shared" si="173"/>
        <v>0</v>
      </c>
      <c r="AD1075" s="196">
        <f t="shared" si="174"/>
        <v>0</v>
      </c>
      <c r="AE1075" s="196">
        <f t="shared" si="175"/>
        <v>0</v>
      </c>
      <c r="AF1075" s="2">
        <f t="shared" si="176"/>
        <v>0</v>
      </c>
      <c r="AG1075" s="2">
        <f t="shared" si="177"/>
        <v>0</v>
      </c>
    </row>
    <row r="1076" spans="1:33">
      <c r="A1076" s="20" t="s">
        <v>20502</v>
      </c>
      <c r="B1076" s="156"/>
      <c r="C1076" s="21" t="s">
        <v>255</v>
      </c>
      <c r="D1076" s="109" t="s">
        <v>3137</v>
      </c>
      <c r="E1076" s="109"/>
      <c r="F1076" s="391" t="s">
        <v>4508</v>
      </c>
      <c r="G1076" s="23" t="s">
        <v>20934</v>
      </c>
      <c r="H1076" s="23" t="s">
        <v>17078</v>
      </c>
      <c r="I1076" s="23"/>
      <c r="J1076" s="23"/>
      <c r="K1076" s="23"/>
      <c r="L1076" s="375" t="s">
        <v>7787</v>
      </c>
      <c r="M1076" s="351"/>
      <c r="N1076" s="267">
        <f t="shared" si="178"/>
        <v>0</v>
      </c>
      <c r="O1076" s="268">
        <f t="shared" si="179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9"/>
      <c r="Z1076" s="237"/>
      <c r="AA1076" s="247"/>
      <c r="AB1076" s="238"/>
      <c r="AC1076" s="196">
        <f t="shared" si="173"/>
        <v>0</v>
      </c>
      <c r="AD1076" s="196">
        <f t="shared" si="174"/>
        <v>0</v>
      </c>
      <c r="AE1076" s="196">
        <f t="shared" si="175"/>
        <v>0</v>
      </c>
      <c r="AF1076" s="2">
        <f t="shared" si="176"/>
        <v>0</v>
      </c>
      <c r="AG1076" s="2">
        <f t="shared" si="177"/>
        <v>0</v>
      </c>
    </row>
    <row r="1077" spans="1:33">
      <c r="A1077" s="20" t="s">
        <v>1697</v>
      </c>
      <c r="B1077" s="150"/>
      <c r="C1077" s="21" t="s">
        <v>256</v>
      </c>
      <c r="D1077" s="109" t="s">
        <v>14425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8"/>
        <v>0</v>
      </c>
      <c r="O1077" s="268">
        <f t="shared" si="179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3"/>
        <v>0</v>
      </c>
      <c r="AD1077" s="196">
        <f t="shared" si="174"/>
        <v>0</v>
      </c>
      <c r="AE1077" s="196">
        <f t="shared" si="175"/>
        <v>0</v>
      </c>
      <c r="AF1077" s="2">
        <f t="shared" si="176"/>
        <v>0</v>
      </c>
      <c r="AG1077" s="2">
        <f t="shared" si="177"/>
        <v>0</v>
      </c>
    </row>
    <row r="1078" spans="1:33">
      <c r="A1078" s="20" t="s">
        <v>1698</v>
      </c>
      <c r="B1078" s="150"/>
      <c r="C1078" s="21" t="s">
        <v>256</v>
      </c>
      <c r="D1078" s="109" t="s">
        <v>14142</v>
      </c>
      <c r="E1078" s="109"/>
      <c r="F1078" s="391" t="s">
        <v>14426</v>
      </c>
      <c r="G1078" s="23" t="s">
        <v>13975</v>
      </c>
      <c r="H1078" s="23"/>
      <c r="I1078" s="23"/>
      <c r="J1078" s="23"/>
      <c r="K1078" s="23"/>
      <c r="L1078" s="350"/>
      <c r="M1078" s="351"/>
      <c r="N1078" s="267">
        <f t="shared" si="178"/>
        <v>0</v>
      </c>
      <c r="O1078" s="268">
        <f t="shared" si="179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79"/>
      <c r="AB1078" s="238"/>
      <c r="AC1078" s="196">
        <f t="shared" si="173"/>
        <v>0</v>
      </c>
      <c r="AD1078" s="196">
        <f t="shared" si="174"/>
        <v>0</v>
      </c>
      <c r="AE1078" s="196">
        <f t="shared" si="175"/>
        <v>0</v>
      </c>
      <c r="AF1078" s="2">
        <f t="shared" si="176"/>
        <v>0</v>
      </c>
      <c r="AG1078" s="2">
        <f t="shared" si="177"/>
        <v>0</v>
      </c>
    </row>
    <row r="1079" spans="1:33">
      <c r="A1079" s="20" t="s">
        <v>1793</v>
      </c>
      <c r="B1079" s="150"/>
      <c r="C1079" s="21" t="s">
        <v>750</v>
      </c>
      <c r="D1079" s="109" t="s">
        <v>13228</v>
      </c>
      <c r="E1079" s="109"/>
      <c r="F1079" s="391" t="s">
        <v>14427</v>
      </c>
      <c r="G1079" s="23"/>
      <c r="H1079" s="23"/>
      <c r="I1079" s="23"/>
      <c r="J1079" s="23"/>
      <c r="K1079" s="23"/>
      <c r="L1079" s="375" t="s">
        <v>7787</v>
      </c>
      <c r="M1079" s="351"/>
      <c r="N1079" s="267">
        <f t="shared" si="178"/>
        <v>0</v>
      </c>
      <c r="O1079" s="268">
        <f t="shared" si="179"/>
        <v>0</v>
      </c>
      <c r="P1079" s="239"/>
      <c r="Q1079" s="239"/>
      <c r="R1079" s="239"/>
      <c r="S1079" s="239"/>
      <c r="T1079" s="239"/>
      <c r="U1079" s="240"/>
      <c r="V1079" s="240"/>
      <c r="W1079" s="240"/>
      <c r="X1079" s="278"/>
      <c r="Y1079" s="237"/>
      <c r="Z1079" s="237"/>
      <c r="AA1079" s="237"/>
      <c r="AB1079" s="238"/>
      <c r="AC1079" s="196">
        <f t="shared" si="173"/>
        <v>0</v>
      </c>
      <c r="AD1079" s="196">
        <f t="shared" si="174"/>
        <v>0</v>
      </c>
      <c r="AE1079" s="196">
        <f t="shared" si="175"/>
        <v>0</v>
      </c>
      <c r="AF1079" s="2">
        <f t="shared" si="176"/>
        <v>0</v>
      </c>
      <c r="AG1079" s="2">
        <f t="shared" si="177"/>
        <v>0</v>
      </c>
    </row>
    <row r="1080" spans="1:33">
      <c r="A1080" s="20" t="s">
        <v>1699</v>
      </c>
      <c r="B1080" s="150"/>
      <c r="C1080" s="21" t="s">
        <v>257</v>
      </c>
      <c r="D1080" s="109" t="s">
        <v>14425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62" t="s">
        <v>7787</v>
      </c>
      <c r="N1080" s="267">
        <f t="shared" si="178"/>
        <v>0</v>
      </c>
      <c r="O1080" s="268">
        <f t="shared" si="179"/>
        <v>0</v>
      </c>
      <c r="P1080" s="239"/>
      <c r="Q1080" s="239"/>
      <c r="R1080" s="239"/>
      <c r="S1080" s="239"/>
      <c r="T1080" s="239"/>
      <c r="U1080" s="240"/>
      <c r="V1080" s="239"/>
      <c r="W1080" s="240"/>
      <c r="X1080" s="278"/>
      <c r="Y1080" s="237"/>
      <c r="Z1080" s="237"/>
      <c r="AA1080" s="279"/>
      <c r="AB1080" s="238"/>
      <c r="AC1080" s="196">
        <f t="shared" si="173"/>
        <v>0</v>
      </c>
      <c r="AD1080" s="196">
        <f t="shared" si="174"/>
        <v>0</v>
      </c>
      <c r="AE1080" s="196">
        <f t="shared" si="175"/>
        <v>0</v>
      </c>
      <c r="AF1080" s="2">
        <f t="shared" si="176"/>
        <v>0</v>
      </c>
      <c r="AG1080" s="2">
        <f t="shared" si="177"/>
        <v>0</v>
      </c>
    </row>
    <row r="1081" spans="1:33">
      <c r="A1081" s="20" t="s">
        <v>1700</v>
      </c>
      <c r="B1081" s="150"/>
      <c r="C1081" s="21" t="s">
        <v>257</v>
      </c>
      <c r="D1081" s="109" t="s">
        <v>14142</v>
      </c>
      <c r="E1081" s="109"/>
      <c r="F1081" s="391" t="s">
        <v>14428</v>
      </c>
      <c r="G1081" s="23" t="s">
        <v>13975</v>
      </c>
      <c r="H1081" s="23"/>
      <c r="I1081" s="23"/>
      <c r="J1081" s="23"/>
      <c r="K1081" s="23"/>
      <c r="L1081" s="350"/>
      <c r="M1081" s="351"/>
      <c r="N1081" s="267">
        <f t="shared" si="178"/>
        <v>0</v>
      </c>
      <c r="O1081" s="268">
        <f t="shared" si="179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3"/>
        <v>0</v>
      </c>
      <c r="AD1081" s="196">
        <f t="shared" si="174"/>
        <v>0</v>
      </c>
      <c r="AE1081" s="196">
        <f t="shared" si="175"/>
        <v>0</v>
      </c>
      <c r="AF1081" s="2">
        <f t="shared" si="176"/>
        <v>0</v>
      </c>
      <c r="AG1081" s="2">
        <f t="shared" si="177"/>
        <v>0</v>
      </c>
    </row>
    <row r="1082" spans="1:33">
      <c r="A1082" s="20" t="s">
        <v>1701</v>
      </c>
      <c r="B1082" s="150"/>
      <c r="C1082" s="21" t="s">
        <v>258</v>
      </c>
      <c r="D1082" s="109" t="s">
        <v>13223</v>
      </c>
      <c r="E1082" s="109"/>
      <c r="F1082" s="391" t="s">
        <v>14429</v>
      </c>
      <c r="G1082" s="23" t="s">
        <v>14019</v>
      </c>
      <c r="H1082" s="23"/>
      <c r="I1082" s="23"/>
      <c r="J1082" s="23"/>
      <c r="K1082" s="23"/>
      <c r="L1082" s="350"/>
      <c r="M1082" s="351"/>
      <c r="N1082" s="267">
        <f t="shared" si="178"/>
        <v>0</v>
      </c>
      <c r="O1082" s="268">
        <f t="shared" si="179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3"/>
        <v>0</v>
      </c>
      <c r="AD1082" s="196">
        <f t="shared" si="174"/>
        <v>0</v>
      </c>
      <c r="AE1082" s="196">
        <f t="shared" si="175"/>
        <v>0</v>
      </c>
      <c r="AF1082" s="2">
        <f t="shared" si="176"/>
        <v>0</v>
      </c>
      <c r="AG1082" s="2">
        <f t="shared" si="177"/>
        <v>0</v>
      </c>
    </row>
    <row r="1083" spans="1:33">
      <c r="A1083" s="20" t="s">
        <v>1702</v>
      </c>
      <c r="B1083" s="150"/>
      <c r="C1083" s="21" t="s">
        <v>259</v>
      </c>
      <c r="D1083" s="109" t="s">
        <v>14126</v>
      </c>
      <c r="E1083" s="109"/>
      <c r="F1083" s="391" t="s">
        <v>14430</v>
      </c>
      <c r="G1083" s="23" t="s">
        <v>14002</v>
      </c>
      <c r="H1083" s="23" t="s">
        <v>14431</v>
      </c>
      <c r="I1083" s="23"/>
      <c r="J1083" s="23"/>
      <c r="K1083" s="23"/>
      <c r="L1083" s="350"/>
      <c r="M1083" s="351"/>
      <c r="N1083" s="267">
        <f t="shared" si="178"/>
        <v>0</v>
      </c>
      <c r="O1083" s="268">
        <f t="shared" si="179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79"/>
      <c r="AB1083" s="238"/>
      <c r="AC1083" s="196">
        <f t="shared" si="173"/>
        <v>0</v>
      </c>
      <c r="AD1083" s="196">
        <f t="shared" si="174"/>
        <v>0</v>
      </c>
      <c r="AE1083" s="196">
        <f t="shared" si="175"/>
        <v>0</v>
      </c>
      <c r="AF1083" s="2">
        <f t="shared" si="176"/>
        <v>0</v>
      </c>
      <c r="AG1083" s="2">
        <f t="shared" si="177"/>
        <v>0</v>
      </c>
    </row>
    <row r="1084" spans="1:33">
      <c r="A1084" s="20" t="s">
        <v>6800</v>
      </c>
      <c r="B1084" s="156" t="s">
        <v>14432</v>
      </c>
      <c r="C1084" s="21" t="s">
        <v>14433</v>
      </c>
      <c r="D1084" s="109" t="s">
        <v>14434</v>
      </c>
      <c r="E1084" s="109"/>
      <c r="F1084" s="391" t="s">
        <v>14435</v>
      </c>
      <c r="G1084" s="23" t="s">
        <v>14367</v>
      </c>
      <c r="H1084" s="23"/>
      <c r="I1084" s="23"/>
      <c r="J1084" s="23"/>
      <c r="K1084" s="23"/>
      <c r="L1084" s="350"/>
      <c r="M1084" s="351"/>
      <c r="N1084" s="267">
        <f t="shared" si="178"/>
        <v>0</v>
      </c>
      <c r="O1084" s="268">
        <f t="shared" si="179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85"/>
      <c r="AB1084" s="238"/>
      <c r="AC1084" s="196">
        <f t="shared" si="173"/>
        <v>0</v>
      </c>
      <c r="AD1084" s="196">
        <f t="shared" si="174"/>
        <v>0</v>
      </c>
      <c r="AE1084" s="196">
        <f t="shared" si="175"/>
        <v>0</v>
      </c>
      <c r="AF1084" s="2">
        <f t="shared" si="176"/>
        <v>0</v>
      </c>
      <c r="AG1084" s="2">
        <f t="shared" si="177"/>
        <v>0</v>
      </c>
    </row>
    <row r="1085" spans="1:33">
      <c r="A1085" s="20" t="s">
        <v>1703</v>
      </c>
      <c r="B1085" s="150"/>
      <c r="C1085" s="21" t="s">
        <v>260</v>
      </c>
      <c r="D1085" s="109" t="s">
        <v>13207</v>
      </c>
      <c r="E1085" s="109"/>
      <c r="F1085" s="391" t="s">
        <v>14436</v>
      </c>
      <c r="G1085" s="23" t="s">
        <v>14367</v>
      </c>
      <c r="H1085" s="23" t="s">
        <v>16630</v>
      </c>
      <c r="I1085" s="23"/>
      <c r="J1085" s="23"/>
      <c r="K1085" s="23"/>
      <c r="L1085" s="375" t="s">
        <v>7787</v>
      </c>
      <c r="M1085" s="351"/>
      <c r="N1085" s="267">
        <f t="shared" si="178"/>
        <v>0</v>
      </c>
      <c r="O1085" s="268">
        <f t="shared" si="179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79"/>
      <c r="AB1085" s="238"/>
      <c r="AC1085" s="196">
        <f t="shared" si="173"/>
        <v>0</v>
      </c>
      <c r="AD1085" s="196">
        <f t="shared" si="174"/>
        <v>0</v>
      </c>
      <c r="AE1085" s="196">
        <f t="shared" si="175"/>
        <v>0</v>
      </c>
      <c r="AF1085" s="2">
        <f t="shared" si="176"/>
        <v>0</v>
      </c>
      <c r="AG1085" s="2">
        <f t="shared" si="177"/>
        <v>0</v>
      </c>
    </row>
    <row r="1086" spans="1:33">
      <c r="A1086" s="20" t="s">
        <v>23353</v>
      </c>
      <c r="B1086" s="150"/>
      <c r="C1086" s="21" t="s">
        <v>260</v>
      </c>
      <c r="D1086" s="109" t="s">
        <v>3137</v>
      </c>
      <c r="E1086" s="109"/>
      <c r="F1086" s="391" t="s">
        <v>4513</v>
      </c>
      <c r="G1086" s="23" t="s">
        <v>23384</v>
      </c>
      <c r="H1086" s="23"/>
      <c r="I1086" s="23"/>
      <c r="J1086" s="23"/>
      <c r="K1086" s="23"/>
      <c r="L1086" s="375"/>
      <c r="M1086" s="351"/>
      <c r="N1086" s="267">
        <f t="shared" si="178"/>
        <v>0</v>
      </c>
      <c r="O1086" s="268">
        <f t="shared" si="179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85"/>
      <c r="AB1086" s="238"/>
      <c r="AC1086" s="196">
        <f t="shared" si="173"/>
        <v>0</v>
      </c>
      <c r="AD1086" s="196">
        <f t="shared" si="174"/>
        <v>0</v>
      </c>
      <c r="AE1086" s="196">
        <f t="shared" si="175"/>
        <v>0</v>
      </c>
      <c r="AF1086" s="2">
        <f t="shared" si="176"/>
        <v>0</v>
      </c>
      <c r="AG1086" s="2">
        <f t="shared" si="177"/>
        <v>0</v>
      </c>
    </row>
    <row r="1087" spans="1:33">
      <c r="A1087" s="20" t="s">
        <v>6801</v>
      </c>
      <c r="B1087" s="161"/>
      <c r="C1087" s="21" t="s">
        <v>14437</v>
      </c>
      <c r="D1087" s="109" t="s">
        <v>13223</v>
      </c>
      <c r="E1087" s="109"/>
      <c r="F1087" s="391" t="s">
        <v>14438</v>
      </c>
      <c r="G1087" s="23" t="s">
        <v>14006</v>
      </c>
      <c r="H1087" s="23" t="s">
        <v>13226</v>
      </c>
      <c r="I1087" s="23" t="s">
        <v>15379</v>
      </c>
      <c r="J1087" s="23"/>
      <c r="K1087" s="23"/>
      <c r="L1087" s="375" t="s">
        <v>7787</v>
      </c>
      <c r="M1087" s="351" t="s">
        <v>7787</v>
      </c>
      <c r="N1087" s="267">
        <f t="shared" si="178"/>
        <v>0</v>
      </c>
      <c r="O1087" s="268">
        <f t="shared" si="179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79"/>
      <c r="AB1087" s="238"/>
      <c r="AC1087" s="196">
        <f t="shared" si="173"/>
        <v>0</v>
      </c>
      <c r="AD1087" s="196">
        <f t="shared" si="174"/>
        <v>0</v>
      </c>
      <c r="AE1087" s="196">
        <f t="shared" si="175"/>
        <v>0</v>
      </c>
      <c r="AF1087" s="2">
        <f t="shared" si="176"/>
        <v>0</v>
      </c>
      <c r="AG1087" s="2">
        <f t="shared" si="177"/>
        <v>0</v>
      </c>
    </row>
    <row r="1088" spans="1:33">
      <c r="A1088" s="20" t="s">
        <v>1704</v>
      </c>
      <c r="B1088" s="150"/>
      <c r="C1088" s="21" t="s">
        <v>261</v>
      </c>
      <c r="D1088" s="109" t="s">
        <v>13223</v>
      </c>
      <c r="E1088" s="109"/>
      <c r="F1088" s="391" t="s">
        <v>14439</v>
      </c>
      <c r="G1088" s="23" t="s">
        <v>14019</v>
      </c>
      <c r="H1088" s="23"/>
      <c r="I1088" s="23"/>
      <c r="J1088" s="23"/>
      <c r="K1088" s="23"/>
      <c r="L1088" s="375" t="s">
        <v>7787</v>
      </c>
      <c r="M1088" s="351"/>
      <c r="N1088" s="267">
        <f t="shared" si="178"/>
        <v>0</v>
      </c>
      <c r="O1088" s="268">
        <f t="shared" si="179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85"/>
      <c r="AB1088" s="238"/>
      <c r="AC1088" s="196">
        <f t="shared" si="173"/>
        <v>0</v>
      </c>
      <c r="AD1088" s="196">
        <f t="shared" si="174"/>
        <v>0</v>
      </c>
      <c r="AE1088" s="196">
        <f t="shared" si="175"/>
        <v>0</v>
      </c>
      <c r="AF1088" s="2">
        <f t="shared" si="176"/>
        <v>0</v>
      </c>
      <c r="AG1088" s="2">
        <f t="shared" si="177"/>
        <v>0</v>
      </c>
    </row>
    <row r="1089" spans="1:33">
      <c r="A1089" s="20" t="s">
        <v>1794</v>
      </c>
      <c r="B1089" s="150"/>
      <c r="C1089" s="21" t="s">
        <v>751</v>
      </c>
      <c r="D1089" s="109" t="s">
        <v>13228</v>
      </c>
      <c r="E1089" s="109"/>
      <c r="F1089" s="391" t="s">
        <v>14440</v>
      </c>
      <c r="G1089" s="23" t="s">
        <v>14019</v>
      </c>
      <c r="H1089" s="23"/>
      <c r="I1089" s="23"/>
      <c r="J1089" s="23"/>
      <c r="K1089" s="23"/>
      <c r="L1089" s="375" t="s">
        <v>45</v>
      </c>
      <c r="M1089" s="351"/>
      <c r="N1089" s="267">
        <f t="shared" si="178"/>
        <v>0</v>
      </c>
      <c r="O1089" s="268">
        <f t="shared" si="179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79"/>
      <c r="AB1089" s="238"/>
      <c r="AC1089" s="196">
        <f t="shared" si="173"/>
        <v>0</v>
      </c>
      <c r="AD1089" s="196">
        <f t="shared" si="174"/>
        <v>0</v>
      </c>
      <c r="AE1089" s="196">
        <f t="shared" si="175"/>
        <v>0</v>
      </c>
      <c r="AF1089" s="2">
        <f t="shared" si="176"/>
        <v>0</v>
      </c>
      <c r="AG1089" s="2">
        <f t="shared" si="177"/>
        <v>0</v>
      </c>
    </row>
    <row r="1090" spans="1:33">
      <c r="A1090" s="20" t="s">
        <v>1705</v>
      </c>
      <c r="B1090" s="150"/>
      <c r="C1090" s="21" t="s">
        <v>262</v>
      </c>
      <c r="D1090" s="109" t="s">
        <v>13207</v>
      </c>
      <c r="E1090" s="109"/>
      <c r="F1090" s="391" t="s">
        <v>14441</v>
      </c>
      <c r="G1090" s="23" t="s">
        <v>14403</v>
      </c>
      <c r="H1090" s="23"/>
      <c r="I1090" s="23"/>
      <c r="J1090" s="23"/>
      <c r="K1090" s="23"/>
      <c r="L1090" s="350"/>
      <c r="M1090" s="364"/>
      <c r="N1090" s="267">
        <f t="shared" si="178"/>
        <v>0</v>
      </c>
      <c r="O1090" s="268">
        <f t="shared" si="179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3"/>
        <v>0</v>
      </c>
      <c r="AD1090" s="196">
        <f t="shared" si="174"/>
        <v>0</v>
      </c>
      <c r="AE1090" s="196">
        <f t="shared" si="175"/>
        <v>0</v>
      </c>
      <c r="AF1090" s="2">
        <f t="shared" si="176"/>
        <v>0</v>
      </c>
      <c r="AG1090" s="2">
        <f t="shared" si="177"/>
        <v>0</v>
      </c>
    </row>
    <row r="1091" spans="1:33">
      <c r="A1091" s="20" t="s">
        <v>1706</v>
      </c>
      <c r="B1091" s="156" t="s">
        <v>14442</v>
      </c>
      <c r="C1091" s="21" t="s">
        <v>14443</v>
      </c>
      <c r="D1091" s="109" t="s">
        <v>13223</v>
      </c>
      <c r="E1091" s="109"/>
      <c r="F1091" s="391" t="s">
        <v>14444</v>
      </c>
      <c r="G1091" s="23" t="s">
        <v>14019</v>
      </c>
      <c r="H1091" s="23"/>
      <c r="I1091" s="23"/>
      <c r="J1091" s="23"/>
      <c r="K1091" s="23"/>
      <c r="L1091" s="350"/>
      <c r="M1091" s="364"/>
      <c r="N1091" s="267">
        <f t="shared" si="178"/>
        <v>0</v>
      </c>
      <c r="O1091" s="268">
        <f t="shared" si="179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85"/>
      <c r="AB1091" s="238"/>
      <c r="AC1091" s="196">
        <f t="shared" si="173"/>
        <v>0</v>
      </c>
      <c r="AD1091" s="196">
        <f t="shared" si="174"/>
        <v>0</v>
      </c>
      <c r="AE1091" s="196">
        <f t="shared" si="175"/>
        <v>0</v>
      </c>
      <c r="AF1091" s="2">
        <f t="shared" si="176"/>
        <v>0</v>
      </c>
      <c r="AG1091" s="2">
        <f t="shared" si="177"/>
        <v>0</v>
      </c>
    </row>
    <row r="1092" spans="1:33">
      <c r="A1092" s="20" t="s">
        <v>1707</v>
      </c>
      <c r="B1092" s="150"/>
      <c r="C1092" s="21" t="s">
        <v>263</v>
      </c>
      <c r="D1092" s="109" t="s">
        <v>14288</v>
      </c>
      <c r="E1092" s="109"/>
      <c r="F1092" s="391" t="s">
        <v>14445</v>
      </c>
      <c r="G1092" s="23" t="s">
        <v>14392</v>
      </c>
      <c r="H1092" s="23"/>
      <c r="I1092" s="23"/>
      <c r="J1092" s="23"/>
      <c r="K1092" s="23"/>
      <c r="L1092" s="350"/>
      <c r="M1092" s="351"/>
      <c r="N1092" s="267">
        <f t="shared" si="178"/>
        <v>0</v>
      </c>
      <c r="O1092" s="268">
        <f t="shared" si="179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3"/>
        <v>0</v>
      </c>
      <c r="AD1092" s="196">
        <f t="shared" si="174"/>
        <v>0</v>
      </c>
      <c r="AE1092" s="196">
        <f t="shared" si="175"/>
        <v>0</v>
      </c>
      <c r="AF1092" s="2">
        <f t="shared" si="176"/>
        <v>0</v>
      </c>
      <c r="AG1092" s="2">
        <f t="shared" si="177"/>
        <v>0</v>
      </c>
    </row>
    <row r="1093" spans="1:33">
      <c r="A1093" s="20" t="s">
        <v>1708</v>
      </c>
      <c r="B1093" s="150"/>
      <c r="C1093" s="21" t="s">
        <v>264</v>
      </c>
      <c r="D1093" s="109" t="s">
        <v>13207</v>
      </c>
      <c r="E1093" s="109"/>
      <c r="F1093" s="391" t="s">
        <v>14446</v>
      </c>
      <c r="G1093" s="23" t="s">
        <v>14002</v>
      </c>
      <c r="H1093" s="23"/>
      <c r="I1093" s="23"/>
      <c r="J1093" s="23"/>
      <c r="K1093" s="23"/>
      <c r="L1093" s="375" t="s">
        <v>7787</v>
      </c>
      <c r="M1093" s="351" t="s">
        <v>7787</v>
      </c>
      <c r="N1093" s="267">
        <f t="shared" si="178"/>
        <v>0</v>
      </c>
      <c r="O1093" s="268">
        <f t="shared" si="179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3"/>
        <v>0</v>
      </c>
      <c r="AD1093" s="196">
        <f t="shared" si="174"/>
        <v>0</v>
      </c>
      <c r="AE1093" s="196">
        <f t="shared" si="175"/>
        <v>0</v>
      </c>
      <c r="AF1093" s="2">
        <f t="shared" si="176"/>
        <v>0</v>
      </c>
      <c r="AG1093" s="2">
        <f t="shared" si="177"/>
        <v>0</v>
      </c>
    </row>
    <row r="1094" spans="1:33">
      <c r="A1094" s="20" t="s">
        <v>1709</v>
      </c>
      <c r="B1094" s="161"/>
      <c r="C1094" s="21" t="s">
        <v>265</v>
      </c>
      <c r="D1094" s="109" t="s">
        <v>14288</v>
      </c>
      <c r="E1094" s="109"/>
      <c r="F1094" s="391" t="s">
        <v>14447</v>
      </c>
      <c r="G1094" s="23"/>
      <c r="H1094" s="23"/>
      <c r="I1094" s="23"/>
      <c r="J1094" s="23"/>
      <c r="K1094" s="23"/>
      <c r="L1094" s="364"/>
      <c r="M1094" s="351"/>
      <c r="N1094" s="267">
        <f t="shared" si="178"/>
        <v>0</v>
      </c>
      <c r="O1094" s="268">
        <f t="shared" si="179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3"/>
        <v>0</v>
      </c>
      <c r="AD1094" s="196">
        <f t="shared" si="174"/>
        <v>0</v>
      </c>
      <c r="AE1094" s="196">
        <f t="shared" si="175"/>
        <v>0</v>
      </c>
      <c r="AF1094" s="2">
        <f t="shared" si="176"/>
        <v>0</v>
      </c>
      <c r="AG1094" s="2">
        <f t="shared" si="177"/>
        <v>0</v>
      </c>
    </row>
    <row r="1095" spans="1:33">
      <c r="A1095" s="20" t="s">
        <v>1710</v>
      </c>
      <c r="B1095" s="161"/>
      <c r="C1095" s="21" t="s">
        <v>266</v>
      </c>
      <c r="D1095" s="109" t="s">
        <v>14448</v>
      </c>
      <c r="E1095" s="109"/>
      <c r="F1095" s="391" t="s">
        <v>14449</v>
      </c>
      <c r="G1095" s="23" t="s">
        <v>14023</v>
      </c>
      <c r="H1095" s="23"/>
      <c r="I1095" s="23"/>
      <c r="J1095" s="23"/>
      <c r="K1095" s="23"/>
      <c r="L1095" s="367" t="s">
        <v>7787</v>
      </c>
      <c r="M1095" s="351"/>
      <c r="N1095" s="267">
        <f t="shared" si="178"/>
        <v>0</v>
      </c>
      <c r="O1095" s="268">
        <f t="shared" si="179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3"/>
        <v>0</v>
      </c>
      <c r="AD1095" s="196">
        <f t="shared" si="174"/>
        <v>0</v>
      </c>
      <c r="AE1095" s="196">
        <f t="shared" si="175"/>
        <v>0</v>
      </c>
      <c r="AF1095" s="2">
        <f t="shared" si="176"/>
        <v>0</v>
      </c>
      <c r="AG1095" s="2">
        <f t="shared" si="177"/>
        <v>0</v>
      </c>
    </row>
    <row r="1096" spans="1:33">
      <c r="A1096" s="20" t="s">
        <v>1711</v>
      </c>
      <c r="B1096" s="161"/>
      <c r="C1096" s="21" t="s">
        <v>267</v>
      </c>
      <c r="D1096" s="109" t="s">
        <v>13207</v>
      </c>
      <c r="E1096" s="109"/>
      <c r="F1096" s="391" t="s">
        <v>14450</v>
      </c>
      <c r="G1096" s="23" t="s">
        <v>14403</v>
      </c>
      <c r="H1096" s="23"/>
      <c r="I1096" s="23"/>
      <c r="J1096" s="23"/>
      <c r="K1096" s="23"/>
      <c r="L1096" s="364"/>
      <c r="M1096" s="351"/>
      <c r="N1096" s="267">
        <f t="shared" si="178"/>
        <v>0</v>
      </c>
      <c r="O1096" s="268">
        <f t="shared" si="179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3"/>
        <v>0</v>
      </c>
      <c r="AD1096" s="196">
        <f t="shared" si="174"/>
        <v>0</v>
      </c>
      <c r="AE1096" s="196">
        <f t="shared" si="175"/>
        <v>0</v>
      </c>
      <c r="AF1096" s="2">
        <f t="shared" si="176"/>
        <v>0</v>
      </c>
      <c r="AG1096" s="2">
        <f t="shared" si="177"/>
        <v>0</v>
      </c>
    </row>
    <row r="1097" spans="1:33">
      <c r="A1097" s="20" t="s">
        <v>1797</v>
      </c>
      <c r="B1097" s="161"/>
      <c r="C1097" s="21" t="s">
        <v>752</v>
      </c>
      <c r="D1097" s="109" t="s">
        <v>14004</v>
      </c>
      <c r="E1097" s="109" t="s">
        <v>13210</v>
      </c>
      <c r="F1097" s="391" t="s">
        <v>14451</v>
      </c>
      <c r="G1097" s="23"/>
      <c r="H1097" s="23"/>
      <c r="I1097" s="23"/>
      <c r="J1097" s="23"/>
      <c r="K1097" s="23"/>
      <c r="L1097" s="364"/>
      <c r="M1097" s="351"/>
      <c r="N1097" s="267">
        <f t="shared" si="178"/>
        <v>0</v>
      </c>
      <c r="O1097" s="268">
        <f t="shared" si="179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si="173"/>
        <v>0</v>
      </c>
      <c r="AD1097" s="196">
        <f t="shared" si="174"/>
        <v>0</v>
      </c>
      <c r="AE1097" s="196">
        <f t="shared" si="175"/>
        <v>0</v>
      </c>
      <c r="AF1097" s="2">
        <f t="shared" si="176"/>
        <v>0</v>
      </c>
      <c r="AG1097" s="2">
        <f t="shared" si="177"/>
        <v>0</v>
      </c>
    </row>
    <row r="1098" spans="1:33">
      <c r="A1098" s="20" t="s">
        <v>1795</v>
      </c>
      <c r="B1098" s="161"/>
      <c r="C1098" s="21" t="s">
        <v>752</v>
      </c>
      <c r="D1098" s="109" t="s">
        <v>13228</v>
      </c>
      <c r="E1098" s="109"/>
      <c r="F1098" s="391" t="s">
        <v>14452</v>
      </c>
      <c r="G1098" s="23" t="s">
        <v>13215</v>
      </c>
      <c r="H1098" s="23" t="s">
        <v>14002</v>
      </c>
      <c r="I1098" s="23" t="s">
        <v>13486</v>
      </c>
      <c r="J1098" s="23"/>
      <c r="K1098" s="23"/>
      <c r="L1098" s="367" t="s">
        <v>27358</v>
      </c>
      <c r="M1098" s="351"/>
      <c r="N1098" s="267">
        <f t="shared" si="178"/>
        <v>0</v>
      </c>
      <c r="O1098" s="268">
        <f t="shared" si="179"/>
        <v>0</v>
      </c>
      <c r="P1098" s="239"/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/>
      <c r="AC1098" s="196">
        <f t="shared" ref="AC1098:AC1161" si="180">SUM(P1098:AA1098)</f>
        <v>0</v>
      </c>
      <c r="AD1098" s="196">
        <f t="shared" ref="AD1098:AD1161" si="181">SUM(P1098:AB1098)</f>
        <v>0</v>
      </c>
      <c r="AE1098" s="196">
        <f t="shared" ref="AE1098:AE1161" si="182">SUM(AC1098-AD1098)</f>
        <v>0</v>
      </c>
      <c r="AF1098" s="2">
        <f t="shared" ref="AF1098:AF1161" si="183">+AC1098</f>
        <v>0</v>
      </c>
      <c r="AG1098" s="2">
        <f t="shared" ref="AG1098:AG1161" si="184">+AC1098-AF1098</f>
        <v>0</v>
      </c>
    </row>
    <row r="1099" spans="1:33">
      <c r="A1099" s="20" t="s">
        <v>26127</v>
      </c>
      <c r="B1099" s="161"/>
      <c r="C1099" s="21" t="s">
        <v>752</v>
      </c>
      <c r="D1099" s="109" t="s">
        <v>3101</v>
      </c>
      <c r="E1099" s="109" t="s">
        <v>26278</v>
      </c>
      <c r="F1099" s="391" t="s">
        <v>14452</v>
      </c>
      <c r="G1099" s="23" t="s">
        <v>18250</v>
      </c>
      <c r="H1099" s="23"/>
      <c r="I1099" s="23"/>
      <c r="J1099" s="23"/>
      <c r="K1099" s="23"/>
      <c r="L1099" s="367" t="s">
        <v>45</v>
      </c>
      <c r="M1099" s="351"/>
      <c r="N1099" s="267">
        <f t="shared" ref="N1099" si="185">SUM(L1099:M1099)</f>
        <v>0</v>
      </c>
      <c r="O1099" s="268">
        <f t="shared" ref="O1099" si="186">SUM(P1099:Z1099)</f>
        <v>100</v>
      </c>
      <c r="P1099" s="239">
        <f>600-500</f>
        <v>100</v>
      </c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 t="s">
        <v>26282</v>
      </c>
      <c r="AC1099" s="196">
        <f t="shared" si="180"/>
        <v>100</v>
      </c>
      <c r="AD1099" s="196">
        <f t="shared" si="181"/>
        <v>100</v>
      </c>
      <c r="AE1099" s="196">
        <f t="shared" si="182"/>
        <v>0</v>
      </c>
      <c r="AF1099" s="2">
        <f t="shared" si="183"/>
        <v>100</v>
      </c>
      <c r="AG1099" s="2">
        <f t="shared" si="184"/>
        <v>0</v>
      </c>
    </row>
    <row r="1100" spans="1:33">
      <c r="A1100" s="20" t="s">
        <v>8214</v>
      </c>
      <c r="B1100" s="161"/>
      <c r="C1100" s="21" t="s">
        <v>752</v>
      </c>
      <c r="D1100" s="109" t="s">
        <v>14453</v>
      </c>
      <c r="E1100" s="109" t="s">
        <v>14454</v>
      </c>
      <c r="F1100" s="391" t="s">
        <v>14452</v>
      </c>
      <c r="G1100" s="23" t="s">
        <v>14013</v>
      </c>
      <c r="H1100" s="23"/>
      <c r="I1100" s="23"/>
      <c r="J1100" s="23"/>
      <c r="K1100" s="23"/>
      <c r="L1100" s="367" t="s">
        <v>7787</v>
      </c>
      <c r="M1100" s="351"/>
      <c r="N1100" s="267">
        <f t="shared" si="178"/>
        <v>0</v>
      </c>
      <c r="O1100" s="268">
        <f t="shared" si="179"/>
        <v>0</v>
      </c>
      <c r="P1100" s="239"/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/>
      <c r="AC1100" s="196">
        <f t="shared" si="180"/>
        <v>0</v>
      </c>
      <c r="AD1100" s="196">
        <f t="shared" si="181"/>
        <v>0</v>
      </c>
      <c r="AE1100" s="196">
        <f t="shared" si="182"/>
        <v>0</v>
      </c>
      <c r="AF1100" s="2">
        <f t="shared" si="183"/>
        <v>0</v>
      </c>
      <c r="AG1100" s="2">
        <f t="shared" si="184"/>
        <v>0</v>
      </c>
    </row>
    <row r="1101" spans="1:33">
      <c r="A1101" s="20" t="s">
        <v>1796</v>
      </c>
      <c r="B1101" s="161"/>
      <c r="C1101" s="21" t="s">
        <v>752</v>
      </c>
      <c r="D1101" s="109" t="s">
        <v>13207</v>
      </c>
      <c r="E1101" s="109" t="s">
        <v>25326</v>
      </c>
      <c r="F1101" s="391" t="s">
        <v>14455</v>
      </c>
      <c r="G1101" s="23" t="s">
        <v>13982</v>
      </c>
      <c r="H1101" s="23" t="s">
        <v>25328</v>
      </c>
      <c r="I1101" s="23"/>
      <c r="J1101" s="23"/>
      <c r="K1101" s="23"/>
      <c r="L1101" s="367" t="s">
        <v>45</v>
      </c>
      <c r="M1101" s="351" t="s">
        <v>45</v>
      </c>
      <c r="N1101" s="267">
        <f t="shared" si="178"/>
        <v>0</v>
      </c>
      <c r="O1101" s="268">
        <f t="shared" si="179"/>
        <v>200</v>
      </c>
      <c r="P1101" s="239">
        <f>2000+200-2000</f>
        <v>200</v>
      </c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 t="s">
        <v>25334</v>
      </c>
      <c r="AC1101" s="196">
        <f t="shared" si="180"/>
        <v>200</v>
      </c>
      <c r="AD1101" s="196">
        <f t="shared" si="181"/>
        <v>200</v>
      </c>
      <c r="AE1101" s="196">
        <f t="shared" si="182"/>
        <v>0</v>
      </c>
      <c r="AF1101" s="2">
        <f t="shared" si="183"/>
        <v>200</v>
      </c>
      <c r="AG1101" s="2">
        <f t="shared" si="184"/>
        <v>0</v>
      </c>
    </row>
    <row r="1102" spans="1:33">
      <c r="A1102" s="20" t="s">
        <v>27046</v>
      </c>
      <c r="B1102" s="150"/>
      <c r="C1102" s="21" t="s">
        <v>752</v>
      </c>
      <c r="D1102" s="109" t="s">
        <v>3096</v>
      </c>
      <c r="E1102" s="109" t="s">
        <v>25327</v>
      </c>
      <c r="F1102" s="391" t="s">
        <v>27072</v>
      </c>
      <c r="G1102" s="23"/>
      <c r="H1102" s="23"/>
      <c r="I1102" s="23"/>
      <c r="J1102" s="23"/>
      <c r="K1102" s="23"/>
      <c r="L1102" s="364"/>
      <c r="M1102" s="351"/>
      <c r="N1102" s="267">
        <f t="shared" ref="N1102:N1103" si="187">SUM(L1102:M1102)</f>
        <v>0</v>
      </c>
      <c r="O1102" s="268">
        <f t="shared" ref="O1102:O1103" si="188">SUM(P1102:Z1102)</f>
        <v>0</v>
      </c>
      <c r="P1102" s="239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80"/>
        <v>0</v>
      </c>
      <c r="AD1102" s="196">
        <f t="shared" si="181"/>
        <v>0</v>
      </c>
      <c r="AE1102" s="196">
        <f t="shared" si="182"/>
        <v>0</v>
      </c>
      <c r="AF1102" s="2">
        <f t="shared" si="183"/>
        <v>0</v>
      </c>
      <c r="AG1102" s="2">
        <f t="shared" si="184"/>
        <v>0</v>
      </c>
    </row>
    <row r="1103" spans="1:33">
      <c r="A1103" s="20" t="s">
        <v>1712</v>
      </c>
      <c r="B1103" s="150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87"/>
        <v>0</v>
      </c>
      <c r="O1103" s="268">
        <f t="shared" si="188"/>
        <v>0</v>
      </c>
      <c r="P1103" s="248"/>
      <c r="Q1103" s="239"/>
      <c r="R1103" s="239"/>
      <c r="S1103" s="239"/>
      <c r="T1103" s="239"/>
      <c r="U1103" s="240"/>
      <c r="V1103" s="240"/>
      <c r="W1103" s="240"/>
      <c r="X1103" s="278"/>
      <c r="Y1103" s="237"/>
      <c r="Z1103" s="237"/>
      <c r="AA1103" s="279"/>
      <c r="AB1103" s="238"/>
      <c r="AC1103" s="196">
        <f t="shared" si="180"/>
        <v>0</v>
      </c>
      <c r="AD1103" s="196">
        <f t="shared" si="181"/>
        <v>0</v>
      </c>
      <c r="AE1103" s="196">
        <f t="shared" si="182"/>
        <v>0</v>
      </c>
      <c r="AF1103" s="2">
        <f t="shared" si="183"/>
        <v>0</v>
      </c>
      <c r="AG1103" s="2">
        <f t="shared" si="184"/>
        <v>0</v>
      </c>
    </row>
    <row r="1104" spans="1:33">
      <c r="A1104" s="20" t="s">
        <v>1713</v>
      </c>
      <c r="B1104" s="161"/>
      <c r="C1104" s="21" t="s">
        <v>268</v>
      </c>
      <c r="D1104" s="109" t="s">
        <v>14425</v>
      </c>
      <c r="E1104" s="109" t="s">
        <v>14075</v>
      </c>
      <c r="F1104" s="391" t="s">
        <v>14456</v>
      </c>
      <c r="G1104" s="23" t="s">
        <v>13975</v>
      </c>
      <c r="H1104" s="23"/>
      <c r="I1104" s="23"/>
      <c r="J1104" s="23"/>
      <c r="K1104" s="23"/>
      <c r="L1104" s="364"/>
      <c r="M1104" s="351"/>
      <c r="N1104" s="267">
        <f t="shared" si="178"/>
        <v>0</v>
      </c>
      <c r="O1104" s="268">
        <f t="shared" si="179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9"/>
      <c r="Z1104" s="237"/>
      <c r="AA1104" s="279"/>
      <c r="AB1104" s="238"/>
      <c r="AC1104" s="196">
        <f t="shared" si="180"/>
        <v>0</v>
      </c>
      <c r="AD1104" s="196">
        <f t="shared" si="181"/>
        <v>0</v>
      </c>
      <c r="AE1104" s="196">
        <f t="shared" si="182"/>
        <v>0</v>
      </c>
      <c r="AF1104" s="2">
        <f t="shared" si="183"/>
        <v>0</v>
      </c>
      <c r="AG1104" s="2">
        <f t="shared" si="184"/>
        <v>0</v>
      </c>
    </row>
    <row r="1105" spans="1:33">
      <c r="A1105" s="20" t="s">
        <v>1714</v>
      </c>
      <c r="B1105" s="161"/>
      <c r="C1105" s="21" t="s">
        <v>269</v>
      </c>
      <c r="D1105" s="109" t="s">
        <v>13207</v>
      </c>
      <c r="E1105" s="109"/>
      <c r="F1105" s="391" t="s">
        <v>14457</v>
      </c>
      <c r="G1105" s="23" t="s">
        <v>14458</v>
      </c>
      <c r="H1105" s="23"/>
      <c r="I1105" s="23"/>
      <c r="J1105" s="23"/>
      <c r="K1105" s="23"/>
      <c r="L1105" s="364"/>
      <c r="M1105" s="351"/>
      <c r="N1105" s="267">
        <f t="shared" si="178"/>
        <v>0</v>
      </c>
      <c r="O1105" s="268">
        <f t="shared" si="179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80"/>
        <v>0</v>
      </c>
      <c r="AD1105" s="196">
        <f t="shared" si="181"/>
        <v>0</v>
      </c>
      <c r="AE1105" s="196">
        <f t="shared" si="182"/>
        <v>0</v>
      </c>
      <c r="AF1105" s="2">
        <f t="shared" si="183"/>
        <v>0</v>
      </c>
      <c r="AG1105" s="2">
        <f t="shared" si="184"/>
        <v>0</v>
      </c>
    </row>
    <row r="1106" spans="1:33">
      <c r="A1106" s="20" t="s">
        <v>1715</v>
      </c>
      <c r="B1106" s="150"/>
      <c r="C1106" s="21" t="s">
        <v>271</v>
      </c>
      <c r="D1106" s="109" t="s">
        <v>14233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64"/>
      <c r="M1106" s="351"/>
      <c r="N1106" s="267">
        <f t="shared" si="178"/>
        <v>0</v>
      </c>
      <c r="O1106" s="268">
        <f t="shared" si="179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39"/>
      <c r="AB1106" s="238"/>
      <c r="AC1106" s="196">
        <f t="shared" si="180"/>
        <v>0</v>
      </c>
      <c r="AD1106" s="196">
        <f t="shared" si="181"/>
        <v>0</v>
      </c>
      <c r="AE1106" s="196">
        <f t="shared" si="182"/>
        <v>0</v>
      </c>
      <c r="AF1106" s="2">
        <f t="shared" si="183"/>
        <v>0</v>
      </c>
      <c r="AG1106" s="2">
        <f t="shared" si="184"/>
        <v>0</v>
      </c>
    </row>
    <row r="1107" spans="1:33">
      <c r="A1107" s="20" t="s">
        <v>1716</v>
      </c>
      <c r="B1107" s="150"/>
      <c r="C1107" s="21" t="s">
        <v>271</v>
      </c>
      <c r="D1107" s="109" t="s">
        <v>14314</v>
      </c>
      <c r="E1107" s="109" t="s">
        <v>14075</v>
      </c>
      <c r="F1107" s="391" t="s">
        <v>14459</v>
      </c>
      <c r="G1107" s="23" t="s">
        <v>13975</v>
      </c>
      <c r="H1107" s="23"/>
      <c r="I1107" s="23"/>
      <c r="J1107" s="23"/>
      <c r="K1107" s="23"/>
      <c r="L1107" s="350"/>
      <c r="M1107" s="351"/>
      <c r="N1107" s="267">
        <f t="shared" si="178"/>
        <v>0</v>
      </c>
      <c r="O1107" s="268">
        <f t="shared" si="179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80"/>
        <v>0</v>
      </c>
      <c r="AD1107" s="196">
        <f t="shared" si="181"/>
        <v>0</v>
      </c>
      <c r="AE1107" s="196">
        <f t="shared" si="182"/>
        <v>0</v>
      </c>
      <c r="AF1107" s="2">
        <f t="shared" si="183"/>
        <v>0</v>
      </c>
      <c r="AG1107" s="2">
        <f t="shared" si="184"/>
        <v>0</v>
      </c>
    </row>
    <row r="1108" spans="1:33">
      <c r="A1108" s="20" t="s">
        <v>1717</v>
      </c>
      <c r="B1108" s="150"/>
      <c r="C1108" s="21" t="s">
        <v>272</v>
      </c>
      <c r="D1108" s="109" t="s">
        <v>14061</v>
      </c>
      <c r="E1108" s="109" t="s">
        <v>14266</v>
      </c>
      <c r="F1108" s="391" t="s">
        <v>14460</v>
      </c>
      <c r="G1108" s="23" t="s">
        <v>14348</v>
      </c>
      <c r="H1108" s="23"/>
      <c r="I1108" s="23"/>
      <c r="J1108" s="23"/>
      <c r="K1108" s="23"/>
      <c r="L1108" s="350"/>
      <c r="M1108" s="351"/>
      <c r="N1108" s="267">
        <f t="shared" si="178"/>
        <v>0</v>
      </c>
      <c r="O1108" s="268">
        <f t="shared" si="179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80"/>
        <v>0</v>
      </c>
      <c r="AD1108" s="196">
        <f t="shared" si="181"/>
        <v>0</v>
      </c>
      <c r="AE1108" s="196">
        <f t="shared" si="182"/>
        <v>0</v>
      </c>
      <c r="AF1108" s="2">
        <f t="shared" si="183"/>
        <v>0</v>
      </c>
      <c r="AG1108" s="2">
        <f t="shared" si="184"/>
        <v>0</v>
      </c>
    </row>
    <row r="1109" spans="1:33">
      <c r="A1109" s="20" t="s">
        <v>7308</v>
      </c>
      <c r="B1109" s="150"/>
      <c r="C1109" s="21" t="s">
        <v>272</v>
      </c>
      <c r="D1109" s="109" t="s">
        <v>4065</v>
      </c>
      <c r="E1109" s="109" t="s">
        <v>13210</v>
      </c>
      <c r="F1109" s="391" t="s">
        <v>7331</v>
      </c>
      <c r="G1109" s="23" t="s">
        <v>14461</v>
      </c>
      <c r="H1109" s="23"/>
      <c r="I1109" s="23"/>
      <c r="J1109" s="23"/>
      <c r="K1109" s="23"/>
      <c r="L1109" s="350"/>
      <c r="M1109" s="358" t="s">
        <v>7787</v>
      </c>
      <c r="N1109" s="267">
        <f t="shared" si="178"/>
        <v>0</v>
      </c>
      <c r="O1109" s="268">
        <f t="shared" si="179"/>
        <v>0</v>
      </c>
      <c r="P1109" s="239"/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/>
      <c r="AC1109" s="196">
        <f t="shared" si="180"/>
        <v>0</v>
      </c>
      <c r="AD1109" s="196">
        <f t="shared" si="181"/>
        <v>0</v>
      </c>
      <c r="AE1109" s="196">
        <f t="shared" si="182"/>
        <v>0</v>
      </c>
      <c r="AF1109" s="2">
        <f t="shared" si="183"/>
        <v>0</v>
      </c>
      <c r="AG1109" s="2">
        <f t="shared" si="184"/>
        <v>0</v>
      </c>
    </row>
    <row r="1110" spans="1:33">
      <c r="A1110" s="20" t="s">
        <v>1718</v>
      </c>
      <c r="B1110" s="150"/>
      <c r="C1110" s="21" t="s">
        <v>273</v>
      </c>
      <c r="D1110" s="109" t="s">
        <v>14177</v>
      </c>
      <c r="E1110" s="109"/>
      <c r="F1110" s="391" t="s">
        <v>14462</v>
      </c>
      <c r="G1110" s="23" t="s">
        <v>14218</v>
      </c>
      <c r="H1110" s="23" t="s">
        <v>13495</v>
      </c>
      <c r="I1110" s="23"/>
      <c r="J1110" s="23"/>
      <c r="K1110" s="23"/>
      <c r="L1110" s="375" t="s">
        <v>27847</v>
      </c>
      <c r="M1110" s="351" t="s">
        <v>27824</v>
      </c>
      <c r="N1110" s="267">
        <f t="shared" si="178"/>
        <v>0</v>
      </c>
      <c r="O1110" s="268">
        <f t="shared" si="179"/>
        <v>2050</v>
      </c>
      <c r="P1110" s="239">
        <f>2550-1600+1500+3900-2000-3000-1000+3750+950-3000</f>
        <v>2050</v>
      </c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 t="s">
        <v>27841</v>
      </c>
      <c r="AC1110" s="196">
        <f t="shared" si="180"/>
        <v>2050</v>
      </c>
      <c r="AD1110" s="196">
        <f t="shared" si="181"/>
        <v>2050</v>
      </c>
      <c r="AE1110" s="196">
        <f t="shared" si="182"/>
        <v>0</v>
      </c>
      <c r="AF1110" s="2">
        <f t="shared" si="183"/>
        <v>2050</v>
      </c>
      <c r="AG1110" s="2">
        <f t="shared" si="184"/>
        <v>0</v>
      </c>
    </row>
    <row r="1111" spans="1:33">
      <c r="A1111" s="20" t="s">
        <v>20503</v>
      </c>
      <c r="B1111" s="150"/>
      <c r="C1111" s="21" t="s">
        <v>273</v>
      </c>
      <c r="D1111" s="109" t="s">
        <v>21098</v>
      </c>
      <c r="E1111" s="109"/>
      <c r="F1111" s="391" t="s">
        <v>4525</v>
      </c>
      <c r="G1111" s="23" t="s">
        <v>13469</v>
      </c>
      <c r="H1111" s="23"/>
      <c r="I1111" s="23"/>
      <c r="J1111" s="23"/>
      <c r="K1111" s="23"/>
      <c r="L1111" s="375"/>
      <c r="M1111" s="351" t="s">
        <v>7787</v>
      </c>
      <c r="N1111" s="267">
        <f t="shared" si="178"/>
        <v>0</v>
      </c>
      <c r="O1111" s="268">
        <f t="shared" si="179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80"/>
        <v>0</v>
      </c>
      <c r="AD1111" s="196">
        <f t="shared" si="181"/>
        <v>0</v>
      </c>
      <c r="AE1111" s="196">
        <f t="shared" si="182"/>
        <v>0</v>
      </c>
      <c r="AF1111" s="2">
        <f t="shared" si="183"/>
        <v>0</v>
      </c>
      <c r="AG1111" s="2">
        <f t="shared" si="184"/>
        <v>0</v>
      </c>
    </row>
    <row r="1112" spans="1:33">
      <c r="A1112" s="20" t="s">
        <v>1719</v>
      </c>
      <c r="B1112" s="150"/>
      <c r="C1112" s="21" t="s">
        <v>274</v>
      </c>
      <c r="D1112" s="109" t="s">
        <v>13232</v>
      </c>
      <c r="E1112" s="109"/>
      <c r="F1112" s="391" t="s">
        <v>14463</v>
      </c>
      <c r="G1112" s="23" t="s">
        <v>13986</v>
      </c>
      <c r="H1112" s="23"/>
      <c r="I1112" s="23"/>
      <c r="J1112" s="23"/>
      <c r="K1112" s="23"/>
      <c r="L1112" s="350"/>
      <c r="M1112" s="351"/>
      <c r="N1112" s="267">
        <f t="shared" si="178"/>
        <v>0</v>
      </c>
      <c r="O1112" s="268">
        <f t="shared" si="179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80"/>
        <v>0</v>
      </c>
      <c r="AD1112" s="196">
        <f t="shared" si="181"/>
        <v>0</v>
      </c>
      <c r="AE1112" s="196">
        <f t="shared" si="182"/>
        <v>0</v>
      </c>
      <c r="AF1112" s="2">
        <f t="shared" si="183"/>
        <v>0</v>
      </c>
      <c r="AG1112" s="2">
        <f t="shared" si="184"/>
        <v>0</v>
      </c>
    </row>
    <row r="1113" spans="1:33">
      <c r="A1113" s="20" t="s">
        <v>6802</v>
      </c>
      <c r="B1113" s="156" t="s">
        <v>14464</v>
      </c>
      <c r="C1113" s="21" t="s">
        <v>14465</v>
      </c>
      <c r="D1113" s="109" t="s">
        <v>13223</v>
      </c>
      <c r="E1113" s="109"/>
      <c r="F1113" s="391" t="s">
        <v>14466</v>
      </c>
      <c r="G1113" s="23" t="s">
        <v>14019</v>
      </c>
      <c r="H1113" s="23"/>
      <c r="I1113" s="23"/>
      <c r="J1113" s="23"/>
      <c r="K1113" s="23"/>
      <c r="L1113" s="375" t="s">
        <v>7787</v>
      </c>
      <c r="M1113" s="351" t="s">
        <v>7787</v>
      </c>
      <c r="N1113" s="267">
        <f t="shared" si="178"/>
        <v>0</v>
      </c>
      <c r="O1113" s="268">
        <f t="shared" si="179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80"/>
        <v>0</v>
      </c>
      <c r="AD1113" s="196">
        <f t="shared" si="181"/>
        <v>0</v>
      </c>
      <c r="AE1113" s="196">
        <f t="shared" si="182"/>
        <v>0</v>
      </c>
      <c r="AF1113" s="2">
        <f t="shared" si="183"/>
        <v>0</v>
      </c>
      <c r="AG1113" s="2">
        <f t="shared" si="184"/>
        <v>0</v>
      </c>
    </row>
    <row r="1114" spans="1:33">
      <c r="A1114" s="20" t="s">
        <v>1724</v>
      </c>
      <c r="B1114" s="150"/>
      <c r="C1114" s="21" t="s">
        <v>275</v>
      </c>
      <c r="D1114" s="109" t="s">
        <v>14381</v>
      </c>
      <c r="E1114" s="109" t="s">
        <v>13992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75" t="s">
        <v>7787</v>
      </c>
      <c r="M1114" s="351"/>
      <c r="N1114" s="267">
        <f t="shared" si="178"/>
        <v>0</v>
      </c>
      <c r="O1114" s="268">
        <f t="shared" si="179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80"/>
        <v>0</v>
      </c>
      <c r="AD1114" s="196">
        <f t="shared" si="181"/>
        <v>0</v>
      </c>
      <c r="AE1114" s="196">
        <f t="shared" si="182"/>
        <v>0</v>
      </c>
      <c r="AF1114" s="2">
        <f t="shared" si="183"/>
        <v>0</v>
      </c>
      <c r="AG1114" s="2">
        <f t="shared" si="184"/>
        <v>0</v>
      </c>
    </row>
    <row r="1115" spans="1:33">
      <c r="A1115" s="20" t="s">
        <v>1721</v>
      </c>
      <c r="B1115" s="150"/>
      <c r="C1115" s="21" t="s">
        <v>275</v>
      </c>
      <c r="D1115" s="109" t="s">
        <v>14299</v>
      </c>
      <c r="E1115" s="109" t="s">
        <v>14266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1"/>
      <c r="N1115" s="267">
        <f t="shared" si="178"/>
        <v>0</v>
      </c>
      <c r="O1115" s="268">
        <f t="shared" si="179"/>
        <v>0</v>
      </c>
      <c r="P1115" s="239"/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80"/>
        <v>0</v>
      </c>
      <c r="AD1115" s="196">
        <f t="shared" si="181"/>
        <v>0</v>
      </c>
      <c r="AE1115" s="196">
        <f t="shared" si="182"/>
        <v>0</v>
      </c>
      <c r="AF1115" s="2">
        <f t="shared" si="183"/>
        <v>0</v>
      </c>
      <c r="AG1115" s="2">
        <f t="shared" si="184"/>
        <v>0</v>
      </c>
    </row>
    <row r="1116" spans="1:33">
      <c r="A1116" s="20" t="s">
        <v>1720</v>
      </c>
      <c r="B1116" s="150"/>
      <c r="C1116" s="21" t="s">
        <v>275</v>
      </c>
      <c r="D1116" s="109" t="s">
        <v>14299</v>
      </c>
      <c r="E1116" s="109" t="s">
        <v>13210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7" t="s">
        <v>7787</v>
      </c>
      <c r="N1116" s="267">
        <f t="shared" si="178"/>
        <v>0</v>
      </c>
      <c r="O1116" s="268">
        <f t="shared" si="179"/>
        <v>0</v>
      </c>
      <c r="P1116" s="239">
        <v>0</v>
      </c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80"/>
        <v>0</v>
      </c>
      <c r="AD1116" s="196">
        <f t="shared" si="181"/>
        <v>0</v>
      </c>
      <c r="AE1116" s="196">
        <f t="shared" si="182"/>
        <v>0</v>
      </c>
      <c r="AF1116" s="2">
        <f t="shared" si="183"/>
        <v>0</v>
      </c>
      <c r="AG1116" s="2">
        <f t="shared" si="184"/>
        <v>0</v>
      </c>
    </row>
    <row r="1117" spans="1:33">
      <c r="A1117" s="20" t="s">
        <v>1722</v>
      </c>
      <c r="B1117" s="150"/>
      <c r="C1117" s="21" t="s">
        <v>275</v>
      </c>
      <c r="D1117" s="109" t="s">
        <v>14299</v>
      </c>
      <c r="E1117" s="109" t="s">
        <v>14064</v>
      </c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8"/>
        <v>0</v>
      </c>
      <c r="O1117" s="268">
        <f t="shared" si="179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80"/>
        <v>0</v>
      </c>
      <c r="AD1117" s="196">
        <f t="shared" si="181"/>
        <v>0</v>
      </c>
      <c r="AE1117" s="196">
        <f t="shared" si="182"/>
        <v>0</v>
      </c>
      <c r="AF1117" s="2">
        <f t="shared" si="183"/>
        <v>0</v>
      </c>
      <c r="AG1117" s="2">
        <f t="shared" si="184"/>
        <v>0</v>
      </c>
    </row>
    <row r="1118" spans="1:33">
      <c r="A1118" s="20" t="s">
        <v>1723</v>
      </c>
      <c r="B1118" s="150"/>
      <c r="C1118" s="21" t="s">
        <v>275</v>
      </c>
      <c r="D1118" s="109" t="s">
        <v>14177</v>
      </c>
      <c r="E1118" s="109"/>
      <c r="F1118" s="391" t="s">
        <v>14467</v>
      </c>
      <c r="G1118" s="23" t="s">
        <v>14218</v>
      </c>
      <c r="H1118" s="23"/>
      <c r="I1118" s="23"/>
      <c r="J1118" s="23"/>
      <c r="K1118" s="23"/>
      <c r="L1118" s="350"/>
      <c r="M1118" s="351"/>
      <c r="N1118" s="267">
        <f t="shared" si="178"/>
        <v>0</v>
      </c>
      <c r="O1118" s="268">
        <f t="shared" si="179"/>
        <v>0</v>
      </c>
      <c r="P1118" s="239"/>
      <c r="Q1118" s="239"/>
      <c r="R1118" s="239"/>
      <c r="S1118" s="239"/>
      <c r="T1118" s="239"/>
      <c r="U1118" s="240"/>
      <c r="V1118" s="240"/>
      <c r="W1118" s="240"/>
      <c r="X1118" s="278"/>
      <c r="Y1118" s="237"/>
      <c r="Z1118" s="237"/>
      <c r="AA1118" s="279"/>
      <c r="AB1118" s="238"/>
      <c r="AC1118" s="196">
        <f t="shared" si="180"/>
        <v>0</v>
      </c>
      <c r="AD1118" s="196">
        <f t="shared" si="181"/>
        <v>0</v>
      </c>
      <c r="AE1118" s="196">
        <f t="shared" si="182"/>
        <v>0</v>
      </c>
      <c r="AF1118" s="2">
        <f t="shared" si="183"/>
        <v>0</v>
      </c>
      <c r="AG1118" s="2">
        <f t="shared" si="184"/>
        <v>0</v>
      </c>
    </row>
    <row r="1119" spans="1:33">
      <c r="A1119" s="20" t="s">
        <v>8913</v>
      </c>
      <c r="B1119" s="150"/>
      <c r="C1119" s="21" t="s">
        <v>275</v>
      </c>
      <c r="D1119" s="109" t="s">
        <v>8969</v>
      </c>
      <c r="E1119" s="109"/>
      <c r="F1119" s="391" t="s">
        <v>8970</v>
      </c>
      <c r="G1119" s="23" t="s">
        <v>8971</v>
      </c>
      <c r="H1119" s="23" t="s">
        <v>20013</v>
      </c>
      <c r="I1119" s="23"/>
      <c r="J1119" s="23"/>
      <c r="K1119" s="23"/>
      <c r="L1119" s="375"/>
      <c r="M1119" s="351" t="s">
        <v>7787</v>
      </c>
      <c r="N1119" s="267">
        <f t="shared" ref="N1119:N1185" si="189">SUM(L1119:M1119)</f>
        <v>0</v>
      </c>
      <c r="O1119" s="268">
        <f t="shared" ref="O1119:O1185" si="190">SUM(P1119:Z1119)</f>
        <v>0</v>
      </c>
      <c r="P1119" s="239"/>
      <c r="Q1119" s="239"/>
      <c r="R1119" s="239"/>
      <c r="S1119" s="239"/>
      <c r="T1119" s="239"/>
      <c r="U1119" s="240"/>
      <c r="V1119" s="239"/>
      <c r="W1119" s="240"/>
      <c r="X1119" s="278"/>
      <c r="Y1119" s="237"/>
      <c r="Z1119" s="237"/>
      <c r="AA1119" s="279"/>
      <c r="AB1119" s="238"/>
      <c r="AC1119" s="196">
        <f t="shared" si="180"/>
        <v>0</v>
      </c>
      <c r="AD1119" s="196">
        <f t="shared" si="181"/>
        <v>0</v>
      </c>
      <c r="AE1119" s="196">
        <f t="shared" si="182"/>
        <v>0</v>
      </c>
      <c r="AF1119" s="2">
        <f t="shared" si="183"/>
        <v>0</v>
      </c>
      <c r="AG1119" s="2">
        <f t="shared" si="184"/>
        <v>0</v>
      </c>
    </row>
    <row r="1120" spans="1:33">
      <c r="A1120" s="20" t="s">
        <v>1725</v>
      </c>
      <c r="B1120" s="150"/>
      <c r="C1120" s="21" t="s">
        <v>276</v>
      </c>
      <c r="D1120" s="109" t="s">
        <v>13223</v>
      </c>
      <c r="E1120" s="109"/>
      <c r="F1120" s="391" t="s">
        <v>14468</v>
      </c>
      <c r="G1120" s="23" t="s">
        <v>14019</v>
      </c>
      <c r="H1120" s="23"/>
      <c r="I1120" s="23"/>
      <c r="J1120" s="23"/>
      <c r="K1120" s="23"/>
      <c r="L1120" s="350"/>
      <c r="M1120" s="351"/>
      <c r="N1120" s="267">
        <f t="shared" si="189"/>
        <v>0</v>
      </c>
      <c r="O1120" s="268">
        <f t="shared" si="190"/>
        <v>0</v>
      </c>
      <c r="P1120" s="239"/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/>
      <c r="AC1120" s="196">
        <f t="shared" si="180"/>
        <v>0</v>
      </c>
      <c r="AD1120" s="196">
        <f t="shared" si="181"/>
        <v>0</v>
      </c>
      <c r="AE1120" s="196">
        <f t="shared" si="182"/>
        <v>0</v>
      </c>
      <c r="AF1120" s="2">
        <f t="shared" si="183"/>
        <v>0</v>
      </c>
      <c r="AG1120" s="2">
        <f t="shared" si="184"/>
        <v>0</v>
      </c>
    </row>
    <row r="1121" spans="1:33">
      <c r="A1121" s="20" t="s">
        <v>1726</v>
      </c>
      <c r="B1121" s="156" t="s">
        <v>14469</v>
      </c>
      <c r="C1121" s="21" t="s">
        <v>277</v>
      </c>
      <c r="D1121" s="109" t="s">
        <v>13223</v>
      </c>
      <c r="E1121" s="109"/>
      <c r="F1121" s="391" t="s">
        <v>14470</v>
      </c>
      <c r="G1121" s="23" t="s">
        <v>14019</v>
      </c>
      <c r="H1121" s="23" t="s">
        <v>14290</v>
      </c>
      <c r="I1121" s="23" t="s">
        <v>13495</v>
      </c>
      <c r="J1121" s="23"/>
      <c r="K1121" s="23"/>
      <c r="L1121" s="375" t="s">
        <v>27988</v>
      </c>
      <c r="M1121" s="351" t="s">
        <v>27358</v>
      </c>
      <c r="N1121" s="267">
        <f t="shared" si="189"/>
        <v>0</v>
      </c>
      <c r="O1121" s="268">
        <f t="shared" si="190"/>
        <v>300</v>
      </c>
      <c r="P1121" s="239">
        <f>1000-700</f>
        <v>300</v>
      </c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 t="s">
        <v>27984</v>
      </c>
      <c r="AC1121" s="196">
        <f t="shared" si="180"/>
        <v>300</v>
      </c>
      <c r="AD1121" s="196">
        <f t="shared" si="181"/>
        <v>300</v>
      </c>
      <c r="AE1121" s="196">
        <f t="shared" si="182"/>
        <v>0</v>
      </c>
      <c r="AF1121" s="2">
        <f t="shared" si="183"/>
        <v>300</v>
      </c>
      <c r="AG1121" s="2">
        <f t="shared" si="184"/>
        <v>0</v>
      </c>
    </row>
    <row r="1122" spans="1:33">
      <c r="A1122" s="20" t="s">
        <v>1727</v>
      </c>
      <c r="B1122" s="150"/>
      <c r="C1122" s="21" t="s">
        <v>278</v>
      </c>
      <c r="D1122" s="109" t="s">
        <v>14448</v>
      </c>
      <c r="E1122" s="109"/>
      <c r="F1122" s="391" t="s">
        <v>14471</v>
      </c>
      <c r="G1122" s="23" t="s">
        <v>14472</v>
      </c>
      <c r="H1122" s="23"/>
      <c r="I1122" s="23"/>
      <c r="J1122" s="23"/>
      <c r="K1122" s="23"/>
      <c r="L1122" s="375" t="s">
        <v>7787</v>
      </c>
      <c r="M1122" s="351"/>
      <c r="N1122" s="267">
        <f t="shared" si="189"/>
        <v>0</v>
      </c>
      <c r="O1122" s="268">
        <f t="shared" si="190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80"/>
        <v>0</v>
      </c>
      <c r="AD1122" s="196">
        <f t="shared" si="181"/>
        <v>0</v>
      </c>
      <c r="AE1122" s="196">
        <f t="shared" si="182"/>
        <v>0</v>
      </c>
      <c r="AF1122" s="2">
        <f t="shared" si="183"/>
        <v>0</v>
      </c>
      <c r="AG1122" s="2">
        <f t="shared" si="184"/>
        <v>0</v>
      </c>
    </row>
    <row r="1123" spans="1:33">
      <c r="A1123" s="20" t="s">
        <v>17290</v>
      </c>
      <c r="B1123" s="150"/>
      <c r="C1123" s="21" t="s">
        <v>278</v>
      </c>
      <c r="D1123" s="109" t="s">
        <v>17355</v>
      </c>
      <c r="E1123" s="109"/>
      <c r="F1123" s="391" t="s">
        <v>4530</v>
      </c>
      <c r="G1123" s="23" t="s">
        <v>17356</v>
      </c>
      <c r="H1123" s="23"/>
      <c r="I1123" s="23"/>
      <c r="J1123" s="23"/>
      <c r="K1123" s="23"/>
      <c r="L1123" s="375" t="s">
        <v>7787</v>
      </c>
      <c r="M1123" s="351" t="s">
        <v>7787</v>
      </c>
      <c r="N1123" s="267">
        <f t="shared" si="189"/>
        <v>0</v>
      </c>
      <c r="O1123" s="268">
        <f t="shared" si="190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80"/>
        <v>0</v>
      </c>
      <c r="AD1123" s="196">
        <f t="shared" si="181"/>
        <v>0</v>
      </c>
      <c r="AE1123" s="196">
        <f t="shared" si="182"/>
        <v>0</v>
      </c>
      <c r="AF1123" s="2">
        <f t="shared" si="183"/>
        <v>0</v>
      </c>
      <c r="AG1123" s="2">
        <f t="shared" si="184"/>
        <v>0</v>
      </c>
    </row>
    <row r="1124" spans="1:33">
      <c r="A1124" s="20" t="s">
        <v>7036</v>
      </c>
      <c r="B1124" s="150"/>
      <c r="C1124" s="21" t="s">
        <v>279</v>
      </c>
      <c r="D1124" s="109" t="s">
        <v>14146</v>
      </c>
      <c r="E1124" s="109" t="s">
        <v>13210</v>
      </c>
      <c r="F1124" s="391" t="s">
        <v>14473</v>
      </c>
      <c r="G1124" s="23" t="s">
        <v>14474</v>
      </c>
      <c r="H1124" s="23"/>
      <c r="I1124" s="23"/>
      <c r="J1124" s="23"/>
      <c r="K1124" s="23"/>
      <c r="L1124" s="375" t="s">
        <v>7787</v>
      </c>
      <c r="M1124" s="351"/>
      <c r="N1124" s="267">
        <f t="shared" si="189"/>
        <v>0</v>
      </c>
      <c r="O1124" s="268">
        <f t="shared" si="190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80"/>
        <v>0</v>
      </c>
      <c r="AD1124" s="196">
        <f t="shared" si="181"/>
        <v>0</v>
      </c>
      <c r="AE1124" s="196">
        <f t="shared" si="182"/>
        <v>0</v>
      </c>
      <c r="AF1124" s="2">
        <f t="shared" si="183"/>
        <v>0</v>
      </c>
      <c r="AG1124" s="2">
        <f t="shared" si="184"/>
        <v>0</v>
      </c>
    </row>
    <row r="1125" spans="1:33">
      <c r="A1125" s="20" t="s">
        <v>1728</v>
      </c>
      <c r="B1125" s="150"/>
      <c r="C1125" s="21" t="s">
        <v>279</v>
      </c>
      <c r="D1125" s="109" t="s">
        <v>14126</v>
      </c>
      <c r="E1125" s="109"/>
      <c r="F1125" s="391" t="s">
        <v>14473</v>
      </c>
      <c r="G1125" s="23" t="s">
        <v>14474</v>
      </c>
      <c r="H1125" s="23"/>
      <c r="I1125" s="23"/>
      <c r="J1125" s="23"/>
      <c r="K1125" s="23"/>
      <c r="L1125" s="350"/>
      <c r="M1125" s="351" t="s">
        <v>7787</v>
      </c>
      <c r="N1125" s="267">
        <f t="shared" si="189"/>
        <v>0</v>
      </c>
      <c r="O1125" s="268">
        <f t="shared" si="190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79"/>
      <c r="AB1125" s="238"/>
      <c r="AC1125" s="196">
        <f t="shared" si="180"/>
        <v>0</v>
      </c>
      <c r="AD1125" s="196">
        <f t="shared" si="181"/>
        <v>0</v>
      </c>
      <c r="AE1125" s="196">
        <f t="shared" si="182"/>
        <v>0</v>
      </c>
      <c r="AF1125" s="2">
        <f t="shared" si="183"/>
        <v>0</v>
      </c>
      <c r="AG1125" s="2">
        <f t="shared" si="184"/>
        <v>0</v>
      </c>
    </row>
    <row r="1126" spans="1:33">
      <c r="A1126" s="20" t="s">
        <v>1729</v>
      </c>
      <c r="B1126" s="150"/>
      <c r="C1126" s="21" t="s">
        <v>280</v>
      </c>
      <c r="D1126" s="109" t="s">
        <v>14233</v>
      </c>
      <c r="E1126" s="109" t="s">
        <v>14075</v>
      </c>
      <c r="F1126" s="391" t="s">
        <v>14475</v>
      </c>
      <c r="G1126" s="23" t="s">
        <v>13975</v>
      </c>
      <c r="H1126" s="23"/>
      <c r="I1126" s="23"/>
      <c r="J1126" s="23"/>
      <c r="K1126" s="23"/>
      <c r="L1126" s="350"/>
      <c r="M1126" s="351"/>
      <c r="N1126" s="267">
        <f t="shared" si="189"/>
        <v>0</v>
      </c>
      <c r="O1126" s="268">
        <f t="shared" si="190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7"/>
      <c r="Z1126" s="237"/>
      <c r="AA1126" s="239"/>
      <c r="AB1126" s="238"/>
      <c r="AC1126" s="196">
        <f t="shared" si="180"/>
        <v>0</v>
      </c>
      <c r="AD1126" s="196">
        <f t="shared" si="181"/>
        <v>0</v>
      </c>
      <c r="AE1126" s="196">
        <f t="shared" si="182"/>
        <v>0</v>
      </c>
      <c r="AF1126" s="2">
        <f t="shared" si="183"/>
        <v>0</v>
      </c>
      <c r="AG1126" s="2">
        <f t="shared" si="184"/>
        <v>0</v>
      </c>
    </row>
    <row r="1127" spans="1:33">
      <c r="A1127" s="20" t="s">
        <v>1730</v>
      </c>
      <c r="B1127" s="150"/>
      <c r="C1127" s="21" t="s">
        <v>280</v>
      </c>
      <c r="D1127" s="109" t="s">
        <v>14314</v>
      </c>
      <c r="E1127" s="109" t="s">
        <v>14476</v>
      </c>
      <c r="F1127" s="391" t="s">
        <v>14477</v>
      </c>
      <c r="G1127" s="23" t="s">
        <v>13975</v>
      </c>
      <c r="H1127" s="23"/>
      <c r="I1127" s="23"/>
      <c r="J1127" s="23"/>
      <c r="K1127" s="23"/>
      <c r="L1127" s="350"/>
      <c r="M1127" s="360"/>
      <c r="N1127" s="267">
        <f t="shared" si="189"/>
        <v>0</v>
      </c>
      <c r="O1127" s="268">
        <f t="shared" si="190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79"/>
      <c r="AB1127" s="238"/>
      <c r="AC1127" s="196">
        <f t="shared" si="180"/>
        <v>0</v>
      </c>
      <c r="AD1127" s="196">
        <f t="shared" si="181"/>
        <v>0</v>
      </c>
      <c r="AE1127" s="196">
        <f t="shared" si="182"/>
        <v>0</v>
      </c>
      <c r="AF1127" s="2">
        <f t="shared" si="183"/>
        <v>0</v>
      </c>
      <c r="AG1127" s="2">
        <f t="shared" si="184"/>
        <v>0</v>
      </c>
    </row>
    <row r="1128" spans="1:33">
      <c r="A1128" s="20" t="s">
        <v>1731</v>
      </c>
      <c r="B1128" s="150"/>
      <c r="C1128" s="21" t="s">
        <v>281</v>
      </c>
      <c r="D1128" s="109" t="s">
        <v>13223</v>
      </c>
      <c r="E1128" s="109"/>
      <c r="F1128" s="391" t="s">
        <v>14478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 t="s">
        <v>7787</v>
      </c>
      <c r="N1128" s="267">
        <f t="shared" si="189"/>
        <v>0</v>
      </c>
      <c r="O1128" s="268">
        <f t="shared" si="190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9"/>
      <c r="Z1128" s="237"/>
      <c r="AA1128" s="239"/>
      <c r="AB1128" s="238"/>
      <c r="AC1128" s="196">
        <f t="shared" si="180"/>
        <v>0</v>
      </c>
      <c r="AD1128" s="196">
        <f t="shared" si="181"/>
        <v>0</v>
      </c>
      <c r="AE1128" s="196">
        <f t="shared" si="182"/>
        <v>0</v>
      </c>
      <c r="AF1128" s="2">
        <f t="shared" si="183"/>
        <v>0</v>
      </c>
      <c r="AG1128" s="2">
        <f t="shared" si="184"/>
        <v>0</v>
      </c>
    </row>
    <row r="1129" spans="1:33">
      <c r="A1129" s="20" t="s">
        <v>1732</v>
      </c>
      <c r="B1129" s="151" t="s">
        <v>6159</v>
      </c>
      <c r="C1129" s="21" t="s">
        <v>14479</v>
      </c>
      <c r="D1129" s="109" t="s">
        <v>4063</v>
      </c>
      <c r="E1129" s="109"/>
      <c r="F1129" s="391" t="s">
        <v>14480</v>
      </c>
      <c r="G1129" s="23" t="s">
        <v>14019</v>
      </c>
      <c r="H1129" s="23"/>
      <c r="I1129" s="23"/>
      <c r="J1129" s="23"/>
      <c r="K1129" s="23"/>
      <c r="L1129" s="375" t="s">
        <v>7787</v>
      </c>
      <c r="M1129" s="351"/>
      <c r="N1129" s="267">
        <f t="shared" si="189"/>
        <v>0</v>
      </c>
      <c r="O1129" s="268">
        <f t="shared" si="190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39"/>
      <c r="AB1129" s="238"/>
      <c r="AC1129" s="196">
        <f t="shared" si="180"/>
        <v>0</v>
      </c>
      <c r="AD1129" s="196">
        <f t="shared" si="181"/>
        <v>0</v>
      </c>
      <c r="AE1129" s="196">
        <f t="shared" si="182"/>
        <v>0</v>
      </c>
      <c r="AF1129" s="2">
        <f t="shared" si="183"/>
        <v>0</v>
      </c>
      <c r="AG1129" s="2">
        <f t="shared" si="184"/>
        <v>0</v>
      </c>
    </row>
    <row r="1130" spans="1:33">
      <c r="A1130" s="20" t="s">
        <v>1798</v>
      </c>
      <c r="B1130" s="150"/>
      <c r="C1130" s="21" t="s">
        <v>753</v>
      </c>
      <c r="D1130" s="109" t="s">
        <v>13228</v>
      </c>
      <c r="E1130" s="109"/>
      <c r="F1130" s="391" t="s">
        <v>14481</v>
      </c>
      <c r="G1130" s="23"/>
      <c r="H1130" s="23"/>
      <c r="I1130" s="23"/>
      <c r="J1130" s="23"/>
      <c r="K1130" s="23"/>
      <c r="L1130" s="350"/>
      <c r="M1130" s="351"/>
      <c r="N1130" s="267">
        <f t="shared" si="189"/>
        <v>0</v>
      </c>
      <c r="O1130" s="268">
        <f t="shared" si="190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80"/>
        <v>0</v>
      </c>
      <c r="AD1130" s="196">
        <f t="shared" si="181"/>
        <v>0</v>
      </c>
      <c r="AE1130" s="196">
        <f t="shared" si="182"/>
        <v>0</v>
      </c>
      <c r="AF1130" s="2">
        <f t="shared" si="183"/>
        <v>0</v>
      </c>
      <c r="AG1130" s="2">
        <f t="shared" si="184"/>
        <v>0</v>
      </c>
    </row>
    <row r="1131" spans="1:33">
      <c r="A1131" s="20" t="s">
        <v>6803</v>
      </c>
      <c r="B1131" s="156" t="s">
        <v>14482</v>
      </c>
      <c r="C1131" s="21" t="s">
        <v>14483</v>
      </c>
      <c r="D1131" s="109" t="s">
        <v>4063</v>
      </c>
      <c r="E1131" s="109"/>
      <c r="F1131" s="391" t="s">
        <v>14484</v>
      </c>
      <c r="G1131" s="23" t="s">
        <v>14019</v>
      </c>
      <c r="H1131" s="23" t="s">
        <v>17836</v>
      </c>
      <c r="I1131" s="23"/>
      <c r="J1131" s="23"/>
      <c r="K1131" s="23"/>
      <c r="L1131" s="375" t="s">
        <v>7787</v>
      </c>
      <c r="M1131" s="351" t="s">
        <v>7787</v>
      </c>
      <c r="N1131" s="267">
        <f t="shared" si="189"/>
        <v>0</v>
      </c>
      <c r="O1131" s="268">
        <f t="shared" si="190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80"/>
        <v>0</v>
      </c>
      <c r="AD1131" s="196">
        <f t="shared" si="181"/>
        <v>0</v>
      </c>
      <c r="AE1131" s="196">
        <f t="shared" si="182"/>
        <v>0</v>
      </c>
      <c r="AF1131" s="2">
        <f t="shared" si="183"/>
        <v>0</v>
      </c>
      <c r="AG1131" s="2">
        <f t="shared" si="184"/>
        <v>0</v>
      </c>
    </row>
    <row r="1132" spans="1:33">
      <c r="A1132" s="20" t="s">
        <v>7872</v>
      </c>
      <c r="B1132" s="156"/>
      <c r="C1132" s="21" t="s">
        <v>14483</v>
      </c>
      <c r="D1132" s="109" t="s">
        <v>14296</v>
      </c>
      <c r="E1132" s="109"/>
      <c r="F1132" s="391" t="s">
        <v>14484</v>
      </c>
      <c r="G1132" s="23" t="s">
        <v>14019</v>
      </c>
      <c r="H1132" s="23"/>
      <c r="I1132" s="23"/>
      <c r="J1132" s="23"/>
      <c r="K1132" s="23"/>
      <c r="L1132" s="375" t="s">
        <v>7787</v>
      </c>
      <c r="M1132" s="351"/>
      <c r="N1132" s="267">
        <f t="shared" si="189"/>
        <v>0</v>
      </c>
      <c r="O1132" s="268">
        <f t="shared" si="190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80"/>
        <v>0</v>
      </c>
      <c r="AD1132" s="196">
        <f t="shared" si="181"/>
        <v>0</v>
      </c>
      <c r="AE1132" s="196">
        <f t="shared" si="182"/>
        <v>0</v>
      </c>
      <c r="AF1132" s="2">
        <f t="shared" si="183"/>
        <v>0</v>
      </c>
      <c r="AG1132" s="2">
        <f t="shared" si="184"/>
        <v>0</v>
      </c>
    </row>
    <row r="1133" spans="1:33">
      <c r="A1133" s="20" t="s">
        <v>19888</v>
      </c>
      <c r="B1133" s="156"/>
      <c r="C1133" s="21" t="s">
        <v>5841</v>
      </c>
      <c r="D1133" s="109" t="s">
        <v>3933</v>
      </c>
      <c r="E1133" s="109"/>
      <c r="F1133" s="391" t="s">
        <v>5844</v>
      </c>
      <c r="G1133" s="23" t="s">
        <v>13826</v>
      </c>
      <c r="H1133" s="23"/>
      <c r="I1133" s="23"/>
      <c r="J1133" s="23"/>
      <c r="K1133" s="23"/>
      <c r="L1133" s="375" t="s">
        <v>7787</v>
      </c>
      <c r="M1133" s="351"/>
      <c r="N1133" s="267">
        <f t="shared" si="189"/>
        <v>0</v>
      </c>
      <c r="O1133" s="268">
        <f t="shared" si="190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80"/>
        <v>0</v>
      </c>
      <c r="AD1133" s="196">
        <f t="shared" si="181"/>
        <v>0</v>
      </c>
      <c r="AE1133" s="196">
        <f t="shared" si="182"/>
        <v>0</v>
      </c>
      <c r="AF1133" s="2">
        <f t="shared" si="183"/>
        <v>0</v>
      </c>
      <c r="AG1133" s="2">
        <f t="shared" si="184"/>
        <v>0</v>
      </c>
    </row>
    <row r="1134" spans="1:33">
      <c r="A1134" s="20" t="s">
        <v>1734</v>
      </c>
      <c r="B1134" s="161"/>
      <c r="C1134" s="21" t="s">
        <v>282</v>
      </c>
      <c r="D1134" s="109" t="s">
        <v>14291</v>
      </c>
      <c r="E1134" s="109" t="s">
        <v>14043</v>
      </c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9"/>
        <v>0</v>
      </c>
      <c r="O1134" s="268">
        <f t="shared" si="190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80"/>
        <v>0</v>
      </c>
      <c r="AD1134" s="196">
        <f t="shared" si="181"/>
        <v>0</v>
      </c>
      <c r="AE1134" s="196">
        <f t="shared" si="182"/>
        <v>0</v>
      </c>
      <c r="AF1134" s="2">
        <f t="shared" si="183"/>
        <v>0</v>
      </c>
      <c r="AG1134" s="2">
        <f t="shared" si="184"/>
        <v>0</v>
      </c>
    </row>
    <row r="1135" spans="1:33">
      <c r="A1135" s="20" t="s">
        <v>1735</v>
      </c>
      <c r="B1135" s="150"/>
      <c r="C1135" s="21" t="s">
        <v>282</v>
      </c>
      <c r="D1135" s="109" t="s">
        <v>14291</v>
      </c>
      <c r="E1135" s="109"/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9"/>
        <v>0</v>
      </c>
      <c r="O1135" s="268">
        <f t="shared" si="190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80"/>
        <v>0</v>
      </c>
      <c r="AD1135" s="196">
        <f t="shared" si="181"/>
        <v>0</v>
      </c>
      <c r="AE1135" s="196">
        <f t="shared" si="182"/>
        <v>0</v>
      </c>
      <c r="AF1135" s="2">
        <f t="shared" si="183"/>
        <v>0</v>
      </c>
      <c r="AG1135" s="2">
        <f t="shared" si="184"/>
        <v>0</v>
      </c>
    </row>
    <row r="1136" spans="1:33">
      <c r="A1136" s="20" t="s">
        <v>1733</v>
      </c>
      <c r="B1136" s="161"/>
      <c r="C1136" s="21" t="s">
        <v>282</v>
      </c>
      <c r="D1136" s="109" t="s">
        <v>14299</v>
      </c>
      <c r="E1136" s="109" t="s">
        <v>13210</v>
      </c>
      <c r="F1136" s="391" t="s">
        <v>14485</v>
      </c>
      <c r="G1136" s="23" t="s">
        <v>14392</v>
      </c>
      <c r="H1136" s="23"/>
      <c r="I1136" s="23"/>
      <c r="J1136" s="23"/>
      <c r="K1136" s="23"/>
      <c r="L1136" s="350"/>
      <c r="M1136" s="351"/>
      <c r="N1136" s="267">
        <f t="shared" si="189"/>
        <v>0</v>
      </c>
      <c r="O1136" s="268">
        <f t="shared" si="190"/>
        <v>0</v>
      </c>
      <c r="P1136" s="239"/>
      <c r="Q1136" s="239"/>
      <c r="R1136" s="239"/>
      <c r="S1136" s="239"/>
      <c r="T1136" s="239"/>
      <c r="U1136" s="240"/>
      <c r="V1136" s="240"/>
      <c r="W1136" s="240"/>
      <c r="X1136" s="278"/>
      <c r="Y1136" s="237"/>
      <c r="Z1136" s="237"/>
      <c r="AA1136" s="279"/>
      <c r="AB1136" s="238"/>
      <c r="AC1136" s="196">
        <f t="shared" si="180"/>
        <v>0</v>
      </c>
      <c r="AD1136" s="196">
        <f t="shared" si="181"/>
        <v>0</v>
      </c>
      <c r="AE1136" s="196">
        <f t="shared" si="182"/>
        <v>0</v>
      </c>
      <c r="AF1136" s="2">
        <f t="shared" si="183"/>
        <v>0</v>
      </c>
      <c r="AG1136" s="2">
        <f t="shared" si="184"/>
        <v>0</v>
      </c>
    </row>
    <row r="1137" spans="1:33">
      <c r="A1137" s="20" t="s">
        <v>1736</v>
      </c>
      <c r="B1137" s="150"/>
      <c r="C1137" s="21" t="s">
        <v>14486</v>
      </c>
      <c r="D1137" s="109" t="s">
        <v>13207</v>
      </c>
      <c r="E1137" s="109"/>
      <c r="F1137" s="391" t="s">
        <v>14487</v>
      </c>
      <c r="G1137" s="23" t="s">
        <v>14488</v>
      </c>
      <c r="H1137" s="23" t="s">
        <v>14002</v>
      </c>
      <c r="I1137" s="23"/>
      <c r="J1137" s="23"/>
      <c r="K1137" s="23"/>
      <c r="L1137" s="375" t="s">
        <v>27652</v>
      </c>
      <c r="M1137" s="351" t="s">
        <v>7787</v>
      </c>
      <c r="N1137" s="267">
        <f t="shared" si="189"/>
        <v>0</v>
      </c>
      <c r="O1137" s="268">
        <f t="shared" si="190"/>
        <v>2500</v>
      </c>
      <c r="P1137" s="239"/>
      <c r="Q1137" s="239"/>
      <c r="R1137" s="239"/>
      <c r="S1137" s="239"/>
      <c r="T1137" s="239"/>
      <c r="U1137" s="240">
        <f>1150-800+2150</f>
        <v>2500</v>
      </c>
      <c r="V1137" s="240"/>
      <c r="W1137" s="240"/>
      <c r="X1137" s="278"/>
      <c r="Y1137" s="237"/>
      <c r="Z1137" s="237"/>
      <c r="AA1137" s="279"/>
      <c r="AB1137" s="238" t="s">
        <v>27648</v>
      </c>
      <c r="AC1137" s="196">
        <f t="shared" si="180"/>
        <v>2500</v>
      </c>
      <c r="AD1137" s="196">
        <f t="shared" si="181"/>
        <v>2500</v>
      </c>
      <c r="AE1137" s="196">
        <f t="shared" si="182"/>
        <v>0</v>
      </c>
      <c r="AF1137" s="2">
        <f t="shared" si="183"/>
        <v>2500</v>
      </c>
      <c r="AG1137" s="2">
        <f t="shared" si="184"/>
        <v>0</v>
      </c>
    </row>
    <row r="1138" spans="1:33">
      <c r="A1138" s="20" t="s">
        <v>1737</v>
      </c>
      <c r="B1138" s="150"/>
      <c r="C1138" s="21" t="s">
        <v>283</v>
      </c>
      <c r="D1138" s="109" t="s">
        <v>14233</v>
      </c>
      <c r="E1138" s="109" t="s">
        <v>14075</v>
      </c>
      <c r="F1138" s="391" t="s">
        <v>14489</v>
      </c>
      <c r="G1138" s="23" t="s">
        <v>13975</v>
      </c>
      <c r="H1138" s="23"/>
      <c r="I1138" s="23"/>
      <c r="J1138" s="23"/>
      <c r="K1138" s="23"/>
      <c r="L1138" s="350"/>
      <c r="M1138" s="351"/>
      <c r="N1138" s="267">
        <f t="shared" si="189"/>
        <v>0</v>
      </c>
      <c r="O1138" s="268">
        <f t="shared" si="190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80"/>
        <v>0</v>
      </c>
      <c r="AD1138" s="196">
        <f t="shared" si="181"/>
        <v>0</v>
      </c>
      <c r="AE1138" s="196">
        <f t="shared" si="182"/>
        <v>0</v>
      </c>
      <c r="AF1138" s="2">
        <f t="shared" si="183"/>
        <v>0</v>
      </c>
      <c r="AG1138" s="2">
        <f t="shared" si="184"/>
        <v>0</v>
      </c>
    </row>
    <row r="1139" spans="1:33">
      <c r="A1139" s="20" t="s">
        <v>18919</v>
      </c>
      <c r="B1139" s="150"/>
      <c r="C1139" s="21" t="s">
        <v>19183</v>
      </c>
      <c r="D1139" s="109" t="s">
        <v>4063</v>
      </c>
      <c r="E1139" s="109"/>
      <c r="F1139" s="391" t="s">
        <v>5404</v>
      </c>
      <c r="G1139" s="23" t="s">
        <v>13989</v>
      </c>
      <c r="H1139" s="23"/>
      <c r="I1139" s="23"/>
      <c r="J1139" s="23"/>
      <c r="K1139" s="23"/>
      <c r="L1139" s="375" t="s">
        <v>7787</v>
      </c>
      <c r="M1139" s="351" t="s">
        <v>7787</v>
      </c>
      <c r="N1139" s="267">
        <f t="shared" si="189"/>
        <v>0</v>
      </c>
      <c r="O1139" s="268">
        <f t="shared" si="190"/>
        <v>0</v>
      </c>
      <c r="P1139" s="239"/>
      <c r="Q1139" s="239"/>
      <c r="R1139" s="239"/>
      <c r="S1139" s="239"/>
      <c r="T1139" s="239"/>
      <c r="U1139" s="240"/>
      <c r="V1139" s="240"/>
      <c r="W1139" s="240"/>
      <c r="X1139" s="278"/>
      <c r="Y1139" s="237"/>
      <c r="Z1139" s="237"/>
      <c r="AA1139" s="279"/>
      <c r="AB1139" s="238"/>
      <c r="AC1139" s="196">
        <f t="shared" si="180"/>
        <v>0</v>
      </c>
      <c r="AD1139" s="196">
        <f t="shared" si="181"/>
        <v>0</v>
      </c>
      <c r="AE1139" s="196">
        <f t="shared" si="182"/>
        <v>0</v>
      </c>
      <c r="AF1139" s="2">
        <f t="shared" si="183"/>
        <v>0</v>
      </c>
      <c r="AG1139" s="2">
        <f t="shared" si="184"/>
        <v>0</v>
      </c>
    </row>
    <row r="1140" spans="1:33">
      <c r="A1140" s="20" t="s">
        <v>1738</v>
      </c>
      <c r="B1140" s="150"/>
      <c r="C1140" s="21" t="s">
        <v>14490</v>
      </c>
      <c r="D1140" s="109" t="s">
        <v>14126</v>
      </c>
      <c r="E1140" s="109"/>
      <c r="F1140" s="391" t="s">
        <v>14491</v>
      </c>
      <c r="G1140" s="23" t="s">
        <v>14002</v>
      </c>
      <c r="H1140" s="23" t="s">
        <v>14492</v>
      </c>
      <c r="I1140" s="23" t="s">
        <v>13370</v>
      </c>
      <c r="J1140" s="23" t="s">
        <v>17078</v>
      </c>
      <c r="K1140" s="23" t="s">
        <v>13603</v>
      </c>
      <c r="L1140" s="375" t="s">
        <v>45</v>
      </c>
      <c r="M1140" s="351" t="s">
        <v>45</v>
      </c>
      <c r="N1140" s="267">
        <f t="shared" si="189"/>
        <v>0</v>
      </c>
      <c r="O1140" s="268">
        <f t="shared" si="190"/>
        <v>950</v>
      </c>
      <c r="P1140" s="240"/>
      <c r="Q1140" s="239"/>
      <c r="R1140" s="239"/>
      <c r="S1140" s="239"/>
      <c r="T1140" s="239"/>
      <c r="U1140" s="240">
        <f>1050-100</f>
        <v>950</v>
      </c>
      <c r="V1140" s="240"/>
      <c r="W1140" s="240"/>
      <c r="X1140" s="278"/>
      <c r="Y1140" s="237"/>
      <c r="Z1140" s="237"/>
      <c r="AA1140" s="279"/>
      <c r="AB1140" s="238" t="s">
        <v>26690</v>
      </c>
      <c r="AC1140" s="196">
        <f t="shared" si="180"/>
        <v>950</v>
      </c>
      <c r="AD1140" s="196">
        <f t="shared" si="181"/>
        <v>950</v>
      </c>
      <c r="AE1140" s="196">
        <f t="shared" si="182"/>
        <v>0</v>
      </c>
      <c r="AF1140" s="2">
        <f t="shared" si="183"/>
        <v>950</v>
      </c>
      <c r="AG1140" s="2">
        <f t="shared" si="184"/>
        <v>0</v>
      </c>
    </row>
    <row r="1141" spans="1:33">
      <c r="A1141" s="20" t="s">
        <v>1739</v>
      </c>
      <c r="B1141" s="150"/>
      <c r="C1141" s="21" t="s">
        <v>284</v>
      </c>
      <c r="D1141" s="109" t="s">
        <v>14126</v>
      </c>
      <c r="E1141" s="109"/>
      <c r="F1141" s="391" t="s">
        <v>14493</v>
      </c>
      <c r="G1141" s="23" t="s">
        <v>14002</v>
      </c>
      <c r="H1141" s="23"/>
      <c r="I1141" s="23"/>
      <c r="J1141" s="23"/>
      <c r="K1141" s="23"/>
      <c r="L1141" s="375"/>
      <c r="M1141" s="367" t="s">
        <v>7787</v>
      </c>
      <c r="N1141" s="267">
        <f t="shared" si="189"/>
        <v>0</v>
      </c>
      <c r="O1141" s="268">
        <f t="shared" si="190"/>
        <v>100</v>
      </c>
      <c r="P1141" s="239"/>
      <c r="Q1141" s="239"/>
      <c r="R1141" s="239"/>
      <c r="S1141" s="239"/>
      <c r="T1141" s="239"/>
      <c r="U1141" s="240">
        <f>1750-1650</f>
        <v>100</v>
      </c>
      <c r="V1141" s="240"/>
      <c r="W1141" s="240"/>
      <c r="X1141" s="278"/>
      <c r="Y1141" s="237"/>
      <c r="Z1141" s="237"/>
      <c r="AA1141" s="279"/>
      <c r="AB1141" s="238" t="s">
        <v>24967</v>
      </c>
      <c r="AC1141" s="196">
        <f t="shared" si="180"/>
        <v>100</v>
      </c>
      <c r="AD1141" s="196">
        <f t="shared" si="181"/>
        <v>100</v>
      </c>
      <c r="AE1141" s="196">
        <f t="shared" si="182"/>
        <v>0</v>
      </c>
      <c r="AF1141" s="2">
        <f t="shared" si="183"/>
        <v>100</v>
      </c>
      <c r="AG1141" s="2">
        <f t="shared" si="184"/>
        <v>0</v>
      </c>
    </row>
    <row r="1142" spans="1:33">
      <c r="A1142" s="20" t="s">
        <v>1740</v>
      </c>
      <c r="B1142" s="150"/>
      <c r="C1142" s="21" t="s">
        <v>14494</v>
      </c>
      <c r="D1142" s="109" t="s">
        <v>13223</v>
      </c>
      <c r="E1142" s="109"/>
      <c r="F1142" s="391" t="s">
        <v>14495</v>
      </c>
      <c r="G1142" s="23" t="s">
        <v>14013</v>
      </c>
      <c r="H1142" s="23" t="s">
        <v>14057</v>
      </c>
      <c r="I1142" s="23"/>
      <c r="J1142" s="23"/>
      <c r="K1142" s="23"/>
      <c r="L1142" s="375" t="s">
        <v>7787</v>
      </c>
      <c r="M1142" s="367" t="s">
        <v>7787</v>
      </c>
      <c r="N1142" s="267">
        <f t="shared" si="189"/>
        <v>0</v>
      </c>
      <c r="O1142" s="268">
        <f t="shared" si="190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80"/>
        <v>0</v>
      </c>
      <c r="AD1142" s="196">
        <f t="shared" si="181"/>
        <v>0</v>
      </c>
      <c r="AE1142" s="196">
        <f t="shared" si="182"/>
        <v>0</v>
      </c>
      <c r="AF1142" s="2">
        <f t="shared" si="183"/>
        <v>0</v>
      </c>
      <c r="AG1142" s="2">
        <f t="shared" si="184"/>
        <v>0</v>
      </c>
    </row>
    <row r="1143" spans="1:33">
      <c r="A1143" s="20" t="s">
        <v>7728</v>
      </c>
      <c r="B1143" s="150"/>
      <c r="C1143" s="21" t="s">
        <v>14494</v>
      </c>
      <c r="D1143" s="109" t="s">
        <v>14299</v>
      </c>
      <c r="E1143" s="109" t="s">
        <v>13210</v>
      </c>
      <c r="F1143" s="391" t="s">
        <v>14495</v>
      </c>
      <c r="G1143" s="23" t="s">
        <v>14013</v>
      </c>
      <c r="H1143" s="23"/>
      <c r="I1143" s="23"/>
      <c r="J1143" s="23"/>
      <c r="K1143" s="23"/>
      <c r="L1143" s="375" t="s">
        <v>7787</v>
      </c>
      <c r="M1143" s="367" t="s">
        <v>7787</v>
      </c>
      <c r="N1143" s="267">
        <f t="shared" si="189"/>
        <v>0</v>
      </c>
      <c r="O1143" s="268">
        <f t="shared" si="190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80"/>
        <v>0</v>
      </c>
      <c r="AD1143" s="196">
        <f t="shared" si="181"/>
        <v>0</v>
      </c>
      <c r="AE1143" s="196">
        <f t="shared" si="182"/>
        <v>0</v>
      </c>
      <c r="AF1143" s="2">
        <f t="shared" si="183"/>
        <v>0</v>
      </c>
      <c r="AG1143" s="2">
        <f t="shared" si="184"/>
        <v>0</v>
      </c>
    </row>
    <row r="1144" spans="1:33">
      <c r="A1144" s="20" t="s">
        <v>1741</v>
      </c>
      <c r="B1144" s="161"/>
      <c r="C1144" s="21" t="s">
        <v>14496</v>
      </c>
      <c r="D1144" s="109" t="s">
        <v>13223</v>
      </c>
      <c r="E1144" s="109"/>
      <c r="F1144" s="391" t="s">
        <v>14497</v>
      </c>
      <c r="G1144" s="23" t="s">
        <v>13966</v>
      </c>
      <c r="H1144" s="23" t="s">
        <v>18365</v>
      </c>
      <c r="I1144" s="23" t="s">
        <v>13989</v>
      </c>
      <c r="J1144" s="23"/>
      <c r="K1144" s="23"/>
      <c r="L1144" s="375" t="s">
        <v>7787</v>
      </c>
      <c r="M1144" s="351" t="s">
        <v>7787</v>
      </c>
      <c r="N1144" s="267">
        <f t="shared" si="189"/>
        <v>0</v>
      </c>
      <c r="O1144" s="268">
        <f t="shared" si="190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80"/>
        <v>0</v>
      </c>
      <c r="AD1144" s="196">
        <f t="shared" si="181"/>
        <v>0</v>
      </c>
      <c r="AE1144" s="196">
        <f t="shared" si="182"/>
        <v>0</v>
      </c>
      <c r="AF1144" s="2">
        <f t="shared" si="183"/>
        <v>0</v>
      </c>
      <c r="AG1144" s="2">
        <f t="shared" si="184"/>
        <v>0</v>
      </c>
    </row>
    <row r="1145" spans="1:33">
      <c r="A1145" s="20" t="s">
        <v>1742</v>
      </c>
      <c r="B1145" s="152" t="s">
        <v>14498</v>
      </c>
      <c r="C1145" s="21" t="s">
        <v>14499</v>
      </c>
      <c r="D1145" s="109" t="s">
        <v>4063</v>
      </c>
      <c r="E1145" s="109"/>
      <c r="F1145" s="391" t="s">
        <v>14500</v>
      </c>
      <c r="G1145" s="23" t="s">
        <v>13966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9"/>
        <v>0</v>
      </c>
      <c r="O1145" s="268">
        <f t="shared" si="190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80"/>
        <v>0</v>
      </c>
      <c r="AD1145" s="196">
        <f t="shared" si="181"/>
        <v>0</v>
      </c>
      <c r="AE1145" s="196">
        <f t="shared" si="182"/>
        <v>0</v>
      </c>
      <c r="AF1145" s="2">
        <f t="shared" si="183"/>
        <v>0</v>
      </c>
      <c r="AG1145" s="2">
        <f t="shared" si="184"/>
        <v>0</v>
      </c>
    </row>
    <row r="1146" spans="1:33">
      <c r="A1146" s="20" t="s">
        <v>7726</v>
      </c>
      <c r="B1146" s="152"/>
      <c r="C1146" s="21" t="s">
        <v>14499</v>
      </c>
      <c r="D1146" s="109" t="s">
        <v>14278</v>
      </c>
      <c r="E1146" s="109" t="s">
        <v>13210</v>
      </c>
      <c r="F1146" s="391" t="s">
        <v>14500</v>
      </c>
      <c r="G1146" s="23" t="s">
        <v>14013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9"/>
        <v>0</v>
      </c>
      <c r="O1146" s="268">
        <f t="shared" si="190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80"/>
        <v>0</v>
      </c>
      <c r="AD1146" s="196">
        <f t="shared" si="181"/>
        <v>0</v>
      </c>
      <c r="AE1146" s="196">
        <f t="shared" si="182"/>
        <v>0</v>
      </c>
      <c r="AF1146" s="2">
        <f t="shared" si="183"/>
        <v>0</v>
      </c>
      <c r="AG1146" s="2">
        <f t="shared" si="184"/>
        <v>0</v>
      </c>
    </row>
    <row r="1147" spans="1:33">
      <c r="A1147" s="20" t="s">
        <v>1743</v>
      </c>
      <c r="B1147" s="151" t="s">
        <v>6160</v>
      </c>
      <c r="C1147" s="21" t="s">
        <v>14501</v>
      </c>
      <c r="D1147" s="109" t="s">
        <v>4063</v>
      </c>
      <c r="E1147" s="109"/>
      <c r="F1147" s="391" t="s">
        <v>14502</v>
      </c>
      <c r="G1147" s="23" t="s">
        <v>14019</v>
      </c>
      <c r="H1147" s="23"/>
      <c r="I1147" s="23"/>
      <c r="J1147" s="23"/>
      <c r="K1147" s="23"/>
      <c r="L1147" s="375" t="s">
        <v>7787</v>
      </c>
      <c r="M1147" s="351" t="s">
        <v>7787</v>
      </c>
      <c r="N1147" s="267">
        <f t="shared" si="189"/>
        <v>0</v>
      </c>
      <c r="O1147" s="268">
        <f t="shared" si="190"/>
        <v>0</v>
      </c>
      <c r="P1147" s="239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80"/>
        <v>0</v>
      </c>
      <c r="AD1147" s="196">
        <f t="shared" si="181"/>
        <v>0</v>
      </c>
      <c r="AE1147" s="196">
        <f t="shared" si="182"/>
        <v>0</v>
      </c>
      <c r="AF1147" s="2">
        <f t="shared" si="183"/>
        <v>0</v>
      </c>
      <c r="AG1147" s="2">
        <f t="shared" si="184"/>
        <v>0</v>
      </c>
    </row>
    <row r="1148" spans="1:33">
      <c r="A1148" s="20" t="s">
        <v>1744</v>
      </c>
      <c r="B1148" s="156" t="s">
        <v>14503</v>
      </c>
      <c r="C1148" s="21" t="s">
        <v>14504</v>
      </c>
      <c r="D1148" s="109" t="s">
        <v>4063</v>
      </c>
      <c r="E1148" s="109"/>
      <c r="F1148" s="391" t="s">
        <v>14505</v>
      </c>
      <c r="G1148" s="23" t="s">
        <v>14019</v>
      </c>
      <c r="H1148" s="23"/>
      <c r="I1148" s="23"/>
      <c r="J1148" s="23"/>
      <c r="K1148" s="23"/>
      <c r="L1148" s="350"/>
      <c r="M1148" s="351"/>
      <c r="N1148" s="267">
        <f t="shared" si="189"/>
        <v>0</v>
      </c>
      <c r="O1148" s="268">
        <f t="shared" si="190"/>
        <v>0</v>
      </c>
      <c r="P1148" s="248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80"/>
        <v>0</v>
      </c>
      <c r="AD1148" s="196">
        <f t="shared" si="181"/>
        <v>0</v>
      </c>
      <c r="AE1148" s="196">
        <f t="shared" si="182"/>
        <v>0</v>
      </c>
      <c r="AF1148" s="2">
        <f t="shared" si="183"/>
        <v>0</v>
      </c>
      <c r="AG1148" s="2">
        <f t="shared" si="184"/>
        <v>0</v>
      </c>
    </row>
    <row r="1149" spans="1:33">
      <c r="A1149" s="20" t="s">
        <v>1745</v>
      </c>
      <c r="B1149" s="150"/>
      <c r="C1149" s="21" t="s">
        <v>14506</v>
      </c>
      <c r="D1149" s="109" t="s">
        <v>14278</v>
      </c>
      <c r="E1149" s="109" t="s">
        <v>13210</v>
      </c>
      <c r="F1149" s="391" t="s">
        <v>14507</v>
      </c>
      <c r="G1149" s="23" t="s">
        <v>14059</v>
      </c>
      <c r="H1149" s="23"/>
      <c r="I1149" s="23"/>
      <c r="J1149" s="23"/>
      <c r="K1149" s="23"/>
      <c r="L1149" s="350"/>
      <c r="M1149" s="357" t="s">
        <v>7787</v>
      </c>
      <c r="N1149" s="267">
        <f t="shared" si="189"/>
        <v>0</v>
      </c>
      <c r="O1149" s="268">
        <f t="shared" si="190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80"/>
        <v>0</v>
      </c>
      <c r="AD1149" s="196">
        <f t="shared" si="181"/>
        <v>0</v>
      </c>
      <c r="AE1149" s="196">
        <f t="shared" si="182"/>
        <v>0</v>
      </c>
      <c r="AF1149" s="2">
        <f t="shared" si="183"/>
        <v>0</v>
      </c>
      <c r="AG1149" s="2">
        <f t="shared" si="184"/>
        <v>0</v>
      </c>
    </row>
    <row r="1150" spans="1:33">
      <c r="A1150" s="20" t="s">
        <v>19889</v>
      </c>
      <c r="B1150" s="150"/>
      <c r="C1150" s="21" t="s">
        <v>5743</v>
      </c>
      <c r="D1150" s="109" t="s">
        <v>19458</v>
      </c>
      <c r="E1150" s="109" t="s">
        <v>19459</v>
      </c>
      <c r="F1150" s="391" t="s">
        <v>5788</v>
      </c>
      <c r="G1150" s="23" t="s">
        <v>13249</v>
      </c>
      <c r="H1150" s="23"/>
      <c r="I1150" s="23"/>
      <c r="J1150" s="23"/>
      <c r="K1150" s="23"/>
      <c r="L1150" s="375" t="s">
        <v>7787</v>
      </c>
      <c r="M1150" s="357" t="s">
        <v>7787</v>
      </c>
      <c r="N1150" s="267">
        <f t="shared" si="189"/>
        <v>0</v>
      </c>
      <c r="O1150" s="268">
        <f t="shared" si="190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80"/>
        <v>0</v>
      </c>
      <c r="AD1150" s="196">
        <f t="shared" si="181"/>
        <v>0</v>
      </c>
      <c r="AE1150" s="196">
        <f t="shared" si="182"/>
        <v>0</v>
      </c>
      <c r="AF1150" s="2">
        <f t="shared" si="183"/>
        <v>0</v>
      </c>
      <c r="AG1150" s="2">
        <f t="shared" si="184"/>
        <v>0</v>
      </c>
    </row>
    <row r="1151" spans="1:33">
      <c r="A1151" s="20" t="s">
        <v>6804</v>
      </c>
      <c r="B1151" s="150"/>
      <c r="C1151" s="21" t="s">
        <v>14506</v>
      </c>
      <c r="D1151" s="109" t="s">
        <v>14126</v>
      </c>
      <c r="E1151" s="109"/>
      <c r="F1151" s="391" t="s">
        <v>14507</v>
      </c>
      <c r="G1151" s="23" t="s">
        <v>14059</v>
      </c>
      <c r="H1151" s="23"/>
      <c r="I1151" s="23"/>
      <c r="J1151" s="23"/>
      <c r="K1151" s="23"/>
      <c r="L1151" s="375"/>
      <c r="M1151" s="351" t="s">
        <v>7787</v>
      </c>
      <c r="N1151" s="267">
        <f t="shared" si="189"/>
        <v>0</v>
      </c>
      <c r="O1151" s="268">
        <f t="shared" si="190"/>
        <v>0</v>
      </c>
      <c r="P1151" s="239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80"/>
        <v>0</v>
      </c>
      <c r="AD1151" s="196">
        <f t="shared" si="181"/>
        <v>0</v>
      </c>
      <c r="AE1151" s="196">
        <f t="shared" si="182"/>
        <v>0</v>
      </c>
      <c r="AF1151" s="2">
        <f t="shared" si="183"/>
        <v>0</v>
      </c>
      <c r="AG1151" s="2">
        <f t="shared" si="184"/>
        <v>0</v>
      </c>
    </row>
    <row r="1152" spans="1:33">
      <c r="A1152" s="20" t="s">
        <v>1746</v>
      </c>
      <c r="B1152" s="150"/>
      <c r="C1152" s="21" t="s">
        <v>14508</v>
      </c>
      <c r="D1152" s="109" t="s">
        <v>4063</v>
      </c>
      <c r="E1152" s="109"/>
      <c r="F1152" s="391" t="s">
        <v>14509</v>
      </c>
      <c r="G1152" s="23" t="s">
        <v>14013</v>
      </c>
      <c r="H1152" s="23" t="s">
        <v>14002</v>
      </c>
      <c r="I1152" s="23" t="s">
        <v>13989</v>
      </c>
      <c r="J1152" s="23" t="s">
        <v>18365</v>
      </c>
      <c r="K1152" s="23"/>
      <c r="L1152" s="375" t="s">
        <v>7787</v>
      </c>
      <c r="M1152" s="351" t="s">
        <v>7787</v>
      </c>
      <c r="N1152" s="267">
        <f t="shared" si="189"/>
        <v>0</v>
      </c>
      <c r="O1152" s="268">
        <f t="shared" si="190"/>
        <v>0</v>
      </c>
      <c r="P1152" s="241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80"/>
        <v>0</v>
      </c>
      <c r="AD1152" s="196">
        <f t="shared" si="181"/>
        <v>0</v>
      </c>
      <c r="AE1152" s="196">
        <f t="shared" si="182"/>
        <v>0</v>
      </c>
      <c r="AF1152" s="2">
        <f t="shared" si="183"/>
        <v>0</v>
      </c>
      <c r="AG1152" s="2">
        <f t="shared" si="184"/>
        <v>0</v>
      </c>
    </row>
    <row r="1153" spans="1:33">
      <c r="A1153" s="20" t="s">
        <v>7033</v>
      </c>
      <c r="B1153" s="169" t="s">
        <v>7042</v>
      </c>
      <c r="C1153" s="21" t="s">
        <v>14508</v>
      </c>
      <c r="D1153" s="109" t="s">
        <v>14142</v>
      </c>
      <c r="E1153" s="109" t="s">
        <v>14510</v>
      </c>
      <c r="F1153" s="391" t="s">
        <v>14509</v>
      </c>
      <c r="G1153" s="23" t="s">
        <v>13215</v>
      </c>
      <c r="H1153" s="23"/>
      <c r="I1153" s="23"/>
      <c r="J1153" s="23"/>
      <c r="K1153" s="23"/>
      <c r="L1153" s="359" t="s">
        <v>7787</v>
      </c>
      <c r="M1153" s="351"/>
      <c r="N1153" s="267">
        <f t="shared" si="189"/>
        <v>0</v>
      </c>
      <c r="O1153" s="268">
        <f t="shared" si="190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80"/>
        <v>0</v>
      </c>
      <c r="AD1153" s="196">
        <f t="shared" si="181"/>
        <v>0</v>
      </c>
      <c r="AE1153" s="196">
        <f t="shared" si="182"/>
        <v>0</v>
      </c>
      <c r="AF1153" s="2">
        <f t="shared" si="183"/>
        <v>0</v>
      </c>
      <c r="AG1153" s="2">
        <f t="shared" si="184"/>
        <v>0</v>
      </c>
    </row>
    <row r="1154" spans="1:33">
      <c r="A1154" s="20" t="s">
        <v>7112</v>
      </c>
      <c r="B1154" s="198" t="s">
        <v>7214</v>
      </c>
      <c r="C1154" s="21" t="s">
        <v>14511</v>
      </c>
      <c r="D1154" s="109" t="s">
        <v>14512</v>
      </c>
      <c r="E1154" s="109"/>
      <c r="F1154" s="391" t="s">
        <v>14513</v>
      </c>
      <c r="G1154" s="23" t="s">
        <v>13966</v>
      </c>
      <c r="H1154" s="23"/>
      <c r="I1154" s="23"/>
      <c r="J1154" s="23"/>
      <c r="K1154" s="23"/>
      <c r="L1154" s="375" t="s">
        <v>7787</v>
      </c>
      <c r="M1154" s="351"/>
      <c r="N1154" s="267">
        <f t="shared" si="189"/>
        <v>0</v>
      </c>
      <c r="O1154" s="268">
        <f t="shared" si="190"/>
        <v>0</v>
      </c>
      <c r="P1154" s="239"/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/>
      <c r="AC1154" s="196">
        <f t="shared" si="180"/>
        <v>0</v>
      </c>
      <c r="AD1154" s="196">
        <f t="shared" si="181"/>
        <v>0</v>
      </c>
      <c r="AE1154" s="196">
        <f t="shared" si="182"/>
        <v>0</v>
      </c>
      <c r="AF1154" s="2">
        <f t="shared" si="183"/>
        <v>0</v>
      </c>
      <c r="AG1154" s="2">
        <f t="shared" si="184"/>
        <v>0</v>
      </c>
    </row>
    <row r="1155" spans="1:33">
      <c r="A1155" s="20" t="s">
        <v>26277</v>
      </c>
      <c r="B1155" s="469"/>
      <c r="C1155" s="21" t="s">
        <v>7213</v>
      </c>
      <c r="D1155" s="109" t="s">
        <v>7182</v>
      </c>
      <c r="E1155" s="109" t="s">
        <v>26359</v>
      </c>
      <c r="F1155" s="391" t="s">
        <v>7216</v>
      </c>
      <c r="G1155" s="23" t="s">
        <v>26368</v>
      </c>
      <c r="H1155" s="23"/>
      <c r="I1155" s="23"/>
      <c r="J1155" s="23"/>
      <c r="K1155" s="23"/>
      <c r="L1155" s="375" t="s">
        <v>45</v>
      </c>
      <c r="M1155" s="351"/>
      <c r="N1155" s="267">
        <f t="shared" ref="N1155" si="191">SUM(L1155:M1155)</f>
        <v>0</v>
      </c>
      <c r="O1155" s="268">
        <f t="shared" ref="O1155" si="192">SUM(P1155:Z1155)</f>
        <v>200</v>
      </c>
      <c r="P1155" s="239">
        <f>700-500</f>
        <v>200</v>
      </c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 t="s">
        <v>26365</v>
      </c>
      <c r="AC1155" s="196">
        <f t="shared" si="180"/>
        <v>200</v>
      </c>
      <c r="AD1155" s="196">
        <f t="shared" si="181"/>
        <v>200</v>
      </c>
      <c r="AE1155" s="196">
        <f t="shared" si="182"/>
        <v>0</v>
      </c>
      <c r="AF1155" s="2">
        <f t="shared" si="183"/>
        <v>200</v>
      </c>
      <c r="AG1155" s="2">
        <f t="shared" si="184"/>
        <v>0</v>
      </c>
    </row>
    <row r="1156" spans="1:33">
      <c r="A1156" s="20" t="s">
        <v>6805</v>
      </c>
      <c r="B1156" s="150"/>
      <c r="C1156" s="21" t="s">
        <v>14514</v>
      </c>
      <c r="D1156" s="109" t="s">
        <v>14126</v>
      </c>
      <c r="E1156" s="109"/>
      <c r="F1156" s="391" t="s">
        <v>14515</v>
      </c>
      <c r="G1156" s="23" t="s">
        <v>13215</v>
      </c>
      <c r="H1156" s="23"/>
      <c r="I1156" s="23"/>
      <c r="J1156" s="23"/>
      <c r="K1156" s="23"/>
      <c r="L1156" s="350"/>
      <c r="M1156" s="351"/>
      <c r="N1156" s="267">
        <f t="shared" si="189"/>
        <v>0</v>
      </c>
      <c r="O1156" s="268">
        <f t="shared" si="190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80"/>
        <v>0</v>
      </c>
      <c r="AD1156" s="196">
        <f t="shared" si="181"/>
        <v>0</v>
      </c>
      <c r="AE1156" s="196">
        <f t="shared" si="182"/>
        <v>0</v>
      </c>
      <c r="AF1156" s="2">
        <f t="shared" si="183"/>
        <v>0</v>
      </c>
      <c r="AG1156" s="2">
        <f t="shared" si="184"/>
        <v>0</v>
      </c>
    </row>
    <row r="1157" spans="1:33">
      <c r="A1157" s="20" t="s">
        <v>6806</v>
      </c>
      <c r="B1157" s="150"/>
      <c r="C1157" s="21" t="s">
        <v>14516</v>
      </c>
      <c r="D1157" s="109" t="s">
        <v>14517</v>
      </c>
      <c r="E1157" s="109"/>
      <c r="F1157" s="391" t="s">
        <v>14518</v>
      </c>
      <c r="G1157" s="23" t="s">
        <v>14519</v>
      </c>
      <c r="H1157" s="23"/>
      <c r="I1157" s="23"/>
      <c r="J1157" s="23"/>
      <c r="K1157" s="23"/>
      <c r="L1157" s="375"/>
      <c r="M1157" s="351"/>
      <c r="N1157" s="267">
        <f t="shared" si="189"/>
        <v>0</v>
      </c>
      <c r="O1157" s="268">
        <f t="shared" si="190"/>
        <v>0</v>
      </c>
      <c r="P1157" s="248"/>
      <c r="Q1157" s="239"/>
      <c r="R1157" s="239"/>
      <c r="S1157" s="239"/>
      <c r="T1157" s="239"/>
      <c r="U1157" s="240"/>
      <c r="V1157" s="240"/>
      <c r="W1157" s="240"/>
      <c r="X1157" s="278"/>
      <c r="Y1157" s="237"/>
      <c r="Z1157" s="237"/>
      <c r="AA1157" s="279"/>
      <c r="AB1157" s="238"/>
      <c r="AC1157" s="196">
        <f t="shared" si="180"/>
        <v>0</v>
      </c>
      <c r="AD1157" s="196">
        <f t="shared" si="181"/>
        <v>0</v>
      </c>
      <c r="AE1157" s="196">
        <f t="shared" si="182"/>
        <v>0</v>
      </c>
      <c r="AF1157" s="2">
        <f t="shared" si="183"/>
        <v>0</v>
      </c>
      <c r="AG1157" s="2">
        <f t="shared" si="184"/>
        <v>0</v>
      </c>
    </row>
    <row r="1158" spans="1:33">
      <c r="A1158" s="20" t="s">
        <v>1799</v>
      </c>
      <c r="B1158" s="150"/>
      <c r="C1158" s="21" t="s">
        <v>754</v>
      </c>
      <c r="D1158" s="109" t="s">
        <v>13228</v>
      </c>
      <c r="E1158" s="109" t="s">
        <v>24177</v>
      </c>
      <c r="F1158" s="391" t="s">
        <v>14520</v>
      </c>
      <c r="G1158" s="23" t="s">
        <v>13507</v>
      </c>
      <c r="H1158" s="23" t="s">
        <v>14521</v>
      </c>
      <c r="I1158" s="23" t="s">
        <v>14522</v>
      </c>
      <c r="J1158" s="23" t="s">
        <v>24294</v>
      </c>
      <c r="K1158" s="23" t="s">
        <v>25573</v>
      </c>
      <c r="L1158" s="375" t="s">
        <v>45</v>
      </c>
      <c r="M1158" s="351" t="s">
        <v>7787</v>
      </c>
      <c r="N1158" s="267">
        <f t="shared" si="189"/>
        <v>0</v>
      </c>
      <c r="O1158" s="268">
        <f t="shared" si="190"/>
        <v>3950</v>
      </c>
      <c r="P1158" s="241">
        <f>6000-1450-1000-2000-500-500+3000-3000+4000-1000-2000-1000+6000-4000-2000+2000+4000-4000+8000-5500-1100+2000-2000</f>
        <v>3950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39"/>
      <c r="AB1158" s="238" t="s">
        <v>27637</v>
      </c>
      <c r="AC1158" s="196">
        <f t="shared" si="180"/>
        <v>3950</v>
      </c>
      <c r="AD1158" s="196">
        <f t="shared" si="181"/>
        <v>3950</v>
      </c>
      <c r="AE1158" s="196">
        <f t="shared" si="182"/>
        <v>0</v>
      </c>
      <c r="AF1158" s="2">
        <f t="shared" si="183"/>
        <v>3950</v>
      </c>
      <c r="AG1158" s="2">
        <f t="shared" si="184"/>
        <v>0</v>
      </c>
    </row>
    <row r="1159" spans="1:33">
      <c r="A1159" s="20" t="s">
        <v>26122</v>
      </c>
      <c r="B1159" s="150"/>
      <c r="C1159" s="21" t="s">
        <v>754</v>
      </c>
      <c r="D1159" s="109" t="s">
        <v>4064</v>
      </c>
      <c r="E1159" s="109" t="s">
        <v>26071</v>
      </c>
      <c r="F1159" s="391" t="s">
        <v>26067</v>
      </c>
      <c r="G1159" s="23" t="s">
        <v>25980</v>
      </c>
      <c r="H1159" s="23" t="s">
        <v>26068</v>
      </c>
      <c r="I1159" s="23" t="s">
        <v>5334</v>
      </c>
      <c r="J1159" s="23" t="s">
        <v>26069</v>
      </c>
      <c r="K1159" s="23" t="s">
        <v>26070</v>
      </c>
      <c r="L1159" s="375" t="s">
        <v>7787</v>
      </c>
      <c r="M1159" s="351" t="s">
        <v>7787</v>
      </c>
      <c r="N1159" s="267">
        <f t="shared" ref="N1159" si="193">SUM(L1159:M1159)</f>
        <v>0</v>
      </c>
      <c r="O1159" s="268">
        <f t="shared" ref="O1159" si="194">SUM(P1159:Z1159)</f>
        <v>1500</v>
      </c>
      <c r="P1159" s="241">
        <f>3000+2000-2000-1500</f>
        <v>1500</v>
      </c>
      <c r="Q1159" s="239"/>
      <c r="R1159" s="239"/>
      <c r="S1159" s="241"/>
      <c r="T1159" s="239"/>
      <c r="U1159" s="240"/>
      <c r="V1159" s="240"/>
      <c r="W1159" s="240"/>
      <c r="X1159" s="278"/>
      <c r="Y1159" s="239"/>
      <c r="Z1159" s="237"/>
      <c r="AA1159" s="247"/>
      <c r="AB1159" s="238" t="s">
        <v>27636</v>
      </c>
      <c r="AC1159" s="196">
        <f t="shared" si="180"/>
        <v>1500</v>
      </c>
      <c r="AD1159" s="196">
        <f t="shared" si="181"/>
        <v>1500</v>
      </c>
      <c r="AE1159" s="196">
        <f t="shared" si="182"/>
        <v>0</v>
      </c>
      <c r="AF1159" s="2">
        <f t="shared" si="183"/>
        <v>1500</v>
      </c>
      <c r="AG1159" s="2">
        <f t="shared" si="184"/>
        <v>0</v>
      </c>
    </row>
    <row r="1160" spans="1:33">
      <c r="A1160" s="20" t="s">
        <v>1800</v>
      </c>
      <c r="B1160" s="150"/>
      <c r="C1160" s="21" t="s">
        <v>754</v>
      </c>
      <c r="D1160" s="109" t="s">
        <v>13272</v>
      </c>
      <c r="E1160" s="109" t="s">
        <v>24177</v>
      </c>
      <c r="F1160" s="391" t="s">
        <v>14520</v>
      </c>
      <c r="G1160" s="23" t="s">
        <v>14523</v>
      </c>
      <c r="H1160" s="23" t="s">
        <v>13603</v>
      </c>
      <c r="I1160" s="23" t="s">
        <v>14175</v>
      </c>
      <c r="J1160" s="23"/>
      <c r="K1160" s="23"/>
      <c r="L1160" s="375" t="s">
        <v>45</v>
      </c>
      <c r="M1160" s="351" t="s">
        <v>45</v>
      </c>
      <c r="N1160" s="267">
        <f t="shared" si="189"/>
        <v>0</v>
      </c>
      <c r="O1160" s="268">
        <f t="shared" si="190"/>
        <v>12500</v>
      </c>
      <c r="P1160" s="241">
        <f>8000+2500-2500+4500</f>
        <v>12500</v>
      </c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80"/>
        <v>12500</v>
      </c>
      <c r="AD1160" s="196">
        <f t="shared" si="181"/>
        <v>12500</v>
      </c>
      <c r="AE1160" s="196">
        <f t="shared" si="182"/>
        <v>0</v>
      </c>
      <c r="AF1160" s="2">
        <f t="shared" si="183"/>
        <v>12500</v>
      </c>
      <c r="AG1160" s="2">
        <f t="shared" si="184"/>
        <v>0</v>
      </c>
    </row>
    <row r="1161" spans="1:33">
      <c r="A1161" s="20" t="s">
        <v>27047</v>
      </c>
      <c r="B1161" s="150"/>
      <c r="C1161" s="21" t="s">
        <v>754</v>
      </c>
      <c r="D1161" s="109" t="s">
        <v>4059</v>
      </c>
      <c r="E1161" s="109" t="s">
        <v>25555</v>
      </c>
      <c r="F1161" s="391" t="s">
        <v>26067</v>
      </c>
      <c r="G1161" s="23" t="s">
        <v>26798</v>
      </c>
      <c r="H1161" s="23" t="s">
        <v>25893</v>
      </c>
      <c r="I1161" s="23" t="s">
        <v>5455</v>
      </c>
      <c r="J1161" s="23"/>
      <c r="K1161" s="23"/>
      <c r="L1161" s="375" t="s">
        <v>7787</v>
      </c>
      <c r="M1161" s="351" t="s">
        <v>7787</v>
      </c>
      <c r="N1161" s="267">
        <f t="shared" ref="N1161" si="195">SUM(L1161:M1161)</f>
        <v>0</v>
      </c>
      <c r="O1161" s="268">
        <f t="shared" ref="O1161" si="196">SUM(P1161:Z1161)</f>
        <v>0</v>
      </c>
      <c r="P1161" s="241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si="180"/>
        <v>0</v>
      </c>
      <c r="AD1161" s="196">
        <f t="shared" si="181"/>
        <v>0</v>
      </c>
      <c r="AE1161" s="196">
        <f t="shared" si="182"/>
        <v>0</v>
      </c>
      <c r="AF1161" s="2">
        <f t="shared" si="183"/>
        <v>0</v>
      </c>
      <c r="AG1161" s="2">
        <f t="shared" si="184"/>
        <v>0</v>
      </c>
    </row>
    <row r="1162" spans="1:33">
      <c r="A1162" s="20" t="s">
        <v>1747</v>
      </c>
      <c r="B1162" s="150"/>
      <c r="C1162" s="21" t="s">
        <v>14524</v>
      </c>
      <c r="D1162" s="109" t="s">
        <v>13296</v>
      </c>
      <c r="E1162" s="109"/>
      <c r="F1162" s="391" t="s">
        <v>14525</v>
      </c>
      <c r="G1162" s="23" t="s">
        <v>13682</v>
      </c>
      <c r="H1162" s="23"/>
      <c r="I1162" s="23"/>
      <c r="J1162" s="23"/>
      <c r="K1162" s="23"/>
      <c r="L1162" s="350"/>
      <c r="M1162" s="351"/>
      <c r="N1162" s="267">
        <f t="shared" si="189"/>
        <v>0</v>
      </c>
      <c r="O1162" s="268">
        <f t="shared" si="190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ref="AC1162:AC1225" si="197">SUM(P1162:AA1162)</f>
        <v>0</v>
      </c>
      <c r="AD1162" s="196">
        <f t="shared" ref="AD1162:AD1225" si="198">SUM(P1162:AB1162)</f>
        <v>0</v>
      </c>
      <c r="AE1162" s="196">
        <f t="shared" ref="AE1162:AE1225" si="199">SUM(AC1162-AD1162)</f>
        <v>0</v>
      </c>
      <c r="AF1162" s="2">
        <f t="shared" ref="AF1162:AF1225" si="200">+AC1162</f>
        <v>0</v>
      </c>
      <c r="AG1162" s="2">
        <f t="shared" ref="AG1162:AG1225" si="201">+AC1162-AF1162</f>
        <v>0</v>
      </c>
    </row>
    <row r="1163" spans="1:33">
      <c r="A1163" s="20" t="s">
        <v>1748</v>
      </c>
      <c r="B1163" s="150"/>
      <c r="C1163" s="21" t="s">
        <v>14526</v>
      </c>
      <c r="D1163" s="109" t="s">
        <v>13551</v>
      </c>
      <c r="E1163" s="109" t="s">
        <v>14527</v>
      </c>
      <c r="F1163" s="391" t="s">
        <v>14528</v>
      </c>
      <c r="G1163" s="23" t="s">
        <v>14529</v>
      </c>
      <c r="H1163" s="23"/>
      <c r="I1163" s="23"/>
      <c r="J1163" s="23"/>
      <c r="K1163" s="23"/>
      <c r="L1163" s="375" t="s">
        <v>7787</v>
      </c>
      <c r="M1163" s="357"/>
      <c r="N1163" s="267">
        <f t="shared" si="189"/>
        <v>0</v>
      </c>
      <c r="O1163" s="268">
        <f t="shared" si="190"/>
        <v>0</v>
      </c>
      <c r="P1163" s="239"/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/>
      <c r="AC1163" s="196">
        <f t="shared" si="197"/>
        <v>0</v>
      </c>
      <c r="AD1163" s="196">
        <f t="shared" si="198"/>
        <v>0</v>
      </c>
      <c r="AE1163" s="196">
        <f t="shared" si="199"/>
        <v>0</v>
      </c>
      <c r="AF1163" s="2">
        <f t="shared" si="200"/>
        <v>0</v>
      </c>
      <c r="AG1163" s="2">
        <f t="shared" si="201"/>
        <v>0</v>
      </c>
    </row>
    <row r="1164" spans="1:33">
      <c r="A1164" s="20" t="s">
        <v>1749</v>
      </c>
      <c r="B1164" s="150"/>
      <c r="C1164" s="21" t="s">
        <v>14530</v>
      </c>
      <c r="D1164" s="109" t="s">
        <v>13438</v>
      </c>
      <c r="E1164" s="109" t="s">
        <v>27432</v>
      </c>
      <c r="F1164" s="391" t="s">
        <v>14531</v>
      </c>
      <c r="G1164" s="23" t="s">
        <v>14529</v>
      </c>
      <c r="H1164" s="23" t="s">
        <v>27428</v>
      </c>
      <c r="I1164" s="23"/>
      <c r="J1164" s="23"/>
      <c r="K1164" s="23"/>
      <c r="L1164" s="375" t="s">
        <v>7787</v>
      </c>
      <c r="M1164" s="357"/>
      <c r="N1164" s="267">
        <f t="shared" si="189"/>
        <v>0</v>
      </c>
      <c r="O1164" s="268">
        <f t="shared" si="190"/>
        <v>1500</v>
      </c>
      <c r="P1164" s="239">
        <v>1500</v>
      </c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 t="s">
        <v>27479</v>
      </c>
      <c r="AC1164" s="196">
        <f t="shared" si="197"/>
        <v>1500</v>
      </c>
      <c r="AD1164" s="196">
        <f t="shared" si="198"/>
        <v>1500</v>
      </c>
      <c r="AE1164" s="196">
        <f t="shared" si="199"/>
        <v>0</v>
      </c>
      <c r="AF1164" s="2">
        <f t="shared" si="200"/>
        <v>1500</v>
      </c>
      <c r="AG1164" s="2">
        <f t="shared" si="201"/>
        <v>0</v>
      </c>
    </row>
    <row r="1165" spans="1:33">
      <c r="A1165" s="20" t="s">
        <v>11109</v>
      </c>
      <c r="B1165" s="150"/>
      <c r="C1165" s="21" t="s">
        <v>14530</v>
      </c>
      <c r="D1165" s="109" t="s">
        <v>13631</v>
      </c>
      <c r="E1165" s="109"/>
      <c r="F1165" s="391" t="s">
        <v>14532</v>
      </c>
      <c r="G1165" s="23" t="s">
        <v>14533</v>
      </c>
      <c r="H1165" s="23" t="s">
        <v>13674</v>
      </c>
      <c r="I1165" s="23"/>
      <c r="J1165" s="23"/>
      <c r="K1165" s="23"/>
      <c r="L1165" s="375" t="s">
        <v>7787</v>
      </c>
      <c r="M1165" s="357" t="s">
        <v>7787</v>
      </c>
      <c r="N1165" s="267">
        <f t="shared" si="189"/>
        <v>0</v>
      </c>
      <c r="O1165" s="268">
        <f t="shared" si="190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7"/>
        <v>0</v>
      </c>
      <c r="AD1165" s="196">
        <f t="shared" si="198"/>
        <v>0</v>
      </c>
      <c r="AE1165" s="196">
        <f t="shared" si="199"/>
        <v>0</v>
      </c>
      <c r="AF1165" s="2">
        <f t="shared" si="200"/>
        <v>0</v>
      </c>
      <c r="AG1165" s="2">
        <f t="shared" si="201"/>
        <v>0</v>
      </c>
    </row>
    <row r="1166" spans="1:33">
      <c r="A1166" s="20" t="s">
        <v>6807</v>
      </c>
      <c r="B1166" s="156" t="s">
        <v>14534</v>
      </c>
      <c r="C1166" s="21" t="s">
        <v>5947</v>
      </c>
      <c r="D1166" s="109" t="s">
        <v>13643</v>
      </c>
      <c r="E1166" s="109"/>
      <c r="F1166" s="391" t="s">
        <v>14535</v>
      </c>
      <c r="G1166" s="23" t="s">
        <v>14536</v>
      </c>
      <c r="H1166" s="23"/>
      <c r="I1166" s="23"/>
      <c r="J1166" s="23"/>
      <c r="K1166" s="23"/>
      <c r="L1166" s="375" t="s">
        <v>7787</v>
      </c>
      <c r="M1166" s="351"/>
      <c r="N1166" s="267">
        <f t="shared" si="189"/>
        <v>0</v>
      </c>
      <c r="O1166" s="268">
        <f t="shared" si="190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7"/>
        <v>0</v>
      </c>
      <c r="AD1166" s="196">
        <f t="shared" si="198"/>
        <v>0</v>
      </c>
      <c r="AE1166" s="196">
        <f t="shared" si="199"/>
        <v>0</v>
      </c>
      <c r="AF1166" s="2">
        <f t="shared" si="200"/>
        <v>0</v>
      </c>
      <c r="AG1166" s="2">
        <f t="shared" si="201"/>
        <v>0</v>
      </c>
    </row>
    <row r="1167" spans="1:33">
      <c r="A1167" s="20" t="s">
        <v>6808</v>
      </c>
      <c r="B1167" s="156" t="s">
        <v>14537</v>
      </c>
      <c r="C1167" s="21" t="s">
        <v>5947</v>
      </c>
      <c r="D1167" s="109" t="s">
        <v>14538</v>
      </c>
      <c r="E1167" s="109" t="s">
        <v>13426</v>
      </c>
      <c r="F1167" s="391" t="s">
        <v>14539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9"/>
        <v>0</v>
      </c>
      <c r="O1167" s="268">
        <f t="shared" si="190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7"/>
        <v>0</v>
      </c>
      <c r="AD1167" s="196">
        <f t="shared" si="198"/>
        <v>0</v>
      </c>
      <c r="AE1167" s="196">
        <f t="shared" si="199"/>
        <v>0</v>
      </c>
      <c r="AF1167" s="2">
        <f t="shared" si="200"/>
        <v>0</v>
      </c>
      <c r="AG1167" s="2">
        <f t="shared" si="201"/>
        <v>0</v>
      </c>
    </row>
    <row r="1168" spans="1:33">
      <c r="A1168" s="20" t="s">
        <v>6809</v>
      </c>
      <c r="B1168" s="156" t="s">
        <v>5946</v>
      </c>
      <c r="C1168" s="21" t="s">
        <v>5947</v>
      </c>
      <c r="D1168" s="109" t="s">
        <v>14538</v>
      </c>
      <c r="E1168" s="109" t="s">
        <v>13633</v>
      </c>
      <c r="F1168" s="391" t="s">
        <v>14535</v>
      </c>
      <c r="G1168" s="23" t="s">
        <v>14540</v>
      </c>
      <c r="H1168" s="23"/>
      <c r="I1168" s="23"/>
      <c r="J1168" s="23"/>
      <c r="K1168" s="23"/>
      <c r="L1168" s="350"/>
      <c r="M1168" s="357" t="s">
        <v>7787</v>
      </c>
      <c r="N1168" s="267">
        <f t="shared" si="189"/>
        <v>0</v>
      </c>
      <c r="O1168" s="268">
        <f t="shared" si="190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7"/>
        <v>0</v>
      </c>
      <c r="AD1168" s="196">
        <f t="shared" si="198"/>
        <v>0</v>
      </c>
      <c r="AE1168" s="196">
        <f t="shared" si="199"/>
        <v>0</v>
      </c>
      <c r="AF1168" s="2">
        <f t="shared" si="200"/>
        <v>0</v>
      </c>
      <c r="AG1168" s="2">
        <f t="shared" si="201"/>
        <v>0</v>
      </c>
    </row>
    <row r="1169" spans="1:33">
      <c r="A1169" s="20" t="s">
        <v>6810</v>
      </c>
      <c r="B1169" s="156" t="s">
        <v>14541</v>
      </c>
      <c r="C1169" s="21" t="s">
        <v>5947</v>
      </c>
      <c r="D1169" s="109" t="s">
        <v>14542</v>
      </c>
      <c r="E1169" s="109" t="s">
        <v>13258</v>
      </c>
      <c r="F1169" s="391" t="s">
        <v>14535</v>
      </c>
      <c r="G1169" s="23" t="s">
        <v>14536</v>
      </c>
      <c r="H1169" s="23"/>
      <c r="I1169" s="23"/>
      <c r="J1169" s="23"/>
      <c r="K1169" s="23"/>
      <c r="L1169" s="350"/>
      <c r="M1169" s="357" t="s">
        <v>7787</v>
      </c>
      <c r="N1169" s="267">
        <f t="shared" si="189"/>
        <v>0</v>
      </c>
      <c r="O1169" s="268">
        <f t="shared" si="190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7"/>
        <v>0</v>
      </c>
      <c r="AD1169" s="196">
        <f t="shared" si="198"/>
        <v>0</v>
      </c>
      <c r="AE1169" s="196">
        <f t="shared" si="199"/>
        <v>0</v>
      </c>
      <c r="AF1169" s="2">
        <f t="shared" si="200"/>
        <v>0</v>
      </c>
      <c r="AG1169" s="2">
        <f t="shared" si="201"/>
        <v>0</v>
      </c>
    </row>
    <row r="1170" spans="1:33">
      <c r="A1170" s="20" t="s">
        <v>6811</v>
      </c>
      <c r="B1170" s="156" t="s">
        <v>14543</v>
      </c>
      <c r="C1170" s="21" t="s">
        <v>5949</v>
      </c>
      <c r="D1170" s="109" t="s">
        <v>4063</v>
      </c>
      <c r="E1170" s="109"/>
      <c r="F1170" s="391" t="s">
        <v>14544</v>
      </c>
      <c r="G1170" s="23" t="s">
        <v>14545</v>
      </c>
      <c r="H1170" s="23"/>
      <c r="I1170" s="23"/>
      <c r="J1170" s="23"/>
      <c r="K1170" s="23"/>
      <c r="L1170" s="350"/>
      <c r="M1170" s="351"/>
      <c r="N1170" s="267">
        <f t="shared" si="189"/>
        <v>0</v>
      </c>
      <c r="O1170" s="268">
        <f t="shared" si="190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7"/>
        <v>0</v>
      </c>
      <c r="AD1170" s="196">
        <f t="shared" si="198"/>
        <v>0</v>
      </c>
      <c r="AE1170" s="196">
        <f t="shared" si="199"/>
        <v>0</v>
      </c>
      <c r="AF1170" s="2">
        <f t="shared" si="200"/>
        <v>0</v>
      </c>
      <c r="AG1170" s="2">
        <f t="shared" si="201"/>
        <v>0</v>
      </c>
    </row>
    <row r="1171" spans="1:33">
      <c r="A1171" s="20" t="s">
        <v>6812</v>
      </c>
      <c r="B1171" s="156" t="s">
        <v>14546</v>
      </c>
      <c r="C1171" s="21" t="s">
        <v>14547</v>
      </c>
      <c r="D1171" s="109" t="s">
        <v>4063</v>
      </c>
      <c r="E1171" s="109"/>
      <c r="F1171" s="391" t="s">
        <v>14548</v>
      </c>
      <c r="G1171" s="23" t="s">
        <v>13826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9"/>
        <v>0</v>
      </c>
      <c r="O1171" s="268">
        <f t="shared" si="190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7"/>
        <v>0</v>
      </c>
      <c r="AD1171" s="196">
        <f t="shared" si="198"/>
        <v>0</v>
      </c>
      <c r="AE1171" s="196">
        <f t="shared" si="199"/>
        <v>0</v>
      </c>
      <c r="AF1171" s="2">
        <f t="shared" si="200"/>
        <v>0</v>
      </c>
      <c r="AG1171" s="2">
        <f t="shared" si="201"/>
        <v>0</v>
      </c>
    </row>
    <row r="1172" spans="1:33">
      <c r="A1172" s="20" t="s">
        <v>6813</v>
      </c>
      <c r="B1172" s="151" t="s">
        <v>6161</v>
      </c>
      <c r="C1172" s="21" t="s">
        <v>14549</v>
      </c>
      <c r="D1172" s="109" t="s">
        <v>4063</v>
      </c>
      <c r="E1172" s="109"/>
      <c r="F1172" s="391" t="s">
        <v>14550</v>
      </c>
      <c r="G1172" s="23" t="s">
        <v>14551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9"/>
        <v>0</v>
      </c>
      <c r="O1172" s="268">
        <f t="shared" si="190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7"/>
        <v>0</v>
      </c>
      <c r="AD1172" s="196">
        <f t="shared" si="198"/>
        <v>0</v>
      </c>
      <c r="AE1172" s="196">
        <f t="shared" si="199"/>
        <v>0</v>
      </c>
      <c r="AF1172" s="2">
        <f t="shared" si="200"/>
        <v>0</v>
      </c>
      <c r="AG1172" s="2">
        <f t="shared" si="201"/>
        <v>0</v>
      </c>
    </row>
    <row r="1173" spans="1:33">
      <c r="A1173" s="20" t="s">
        <v>6814</v>
      </c>
      <c r="B1173" s="151" t="s">
        <v>6178</v>
      </c>
      <c r="C1173" s="21" t="s">
        <v>14552</v>
      </c>
      <c r="D1173" s="109" t="s">
        <v>4063</v>
      </c>
      <c r="E1173" s="109"/>
      <c r="F1173" s="391" t="s">
        <v>14553</v>
      </c>
      <c r="G1173" s="23" t="s">
        <v>13826</v>
      </c>
      <c r="H1173" s="23"/>
      <c r="I1173" s="23"/>
      <c r="J1173" s="23"/>
      <c r="K1173" s="23"/>
      <c r="L1173" s="375" t="s">
        <v>7787</v>
      </c>
      <c r="M1173" s="351" t="s">
        <v>7787</v>
      </c>
      <c r="N1173" s="267">
        <f t="shared" si="189"/>
        <v>0</v>
      </c>
      <c r="O1173" s="268">
        <f t="shared" si="190"/>
        <v>0</v>
      </c>
      <c r="P1173" s="239"/>
      <c r="Q1173" s="239"/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/>
      <c r="AC1173" s="196">
        <f t="shared" si="197"/>
        <v>0</v>
      </c>
      <c r="AD1173" s="196">
        <f t="shared" si="198"/>
        <v>0</v>
      </c>
      <c r="AE1173" s="196">
        <f t="shared" si="199"/>
        <v>0</v>
      </c>
      <c r="AF1173" s="2">
        <f t="shared" si="200"/>
        <v>0</v>
      </c>
      <c r="AG1173" s="2">
        <f t="shared" si="201"/>
        <v>0</v>
      </c>
    </row>
    <row r="1174" spans="1:33">
      <c r="A1174" s="20" t="s">
        <v>1750</v>
      </c>
      <c r="B1174" s="150"/>
      <c r="C1174" s="21" t="s">
        <v>14554</v>
      </c>
      <c r="D1174" s="109" t="s">
        <v>4063</v>
      </c>
      <c r="E1174" s="109" t="s">
        <v>25924</v>
      </c>
      <c r="F1174" s="391" t="s">
        <v>14555</v>
      </c>
      <c r="G1174" s="23" t="s">
        <v>14551</v>
      </c>
      <c r="H1174" s="23" t="s">
        <v>23391</v>
      </c>
      <c r="I1174" s="23"/>
      <c r="J1174" s="23"/>
      <c r="K1174" s="23"/>
      <c r="L1174" s="375" t="s">
        <v>7787</v>
      </c>
      <c r="M1174" s="351" t="s">
        <v>7787</v>
      </c>
      <c r="N1174" s="267">
        <f t="shared" si="189"/>
        <v>0</v>
      </c>
      <c r="O1174" s="268">
        <f t="shared" si="190"/>
        <v>650</v>
      </c>
      <c r="P1174" s="249"/>
      <c r="Q1174" s="239">
        <f>1950-500-100+2000-300-750-100-100-450-50-50-600-100-200</f>
        <v>650</v>
      </c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 t="s">
        <v>26626</v>
      </c>
      <c r="AC1174" s="196">
        <f t="shared" si="197"/>
        <v>650</v>
      </c>
      <c r="AD1174" s="196">
        <f t="shared" si="198"/>
        <v>650</v>
      </c>
      <c r="AE1174" s="196">
        <f t="shared" si="199"/>
        <v>0</v>
      </c>
      <c r="AF1174" s="2">
        <f t="shared" si="200"/>
        <v>650</v>
      </c>
      <c r="AG1174" s="2">
        <f t="shared" si="201"/>
        <v>0</v>
      </c>
    </row>
    <row r="1175" spans="1:33">
      <c r="A1175" s="20" t="s">
        <v>6815</v>
      </c>
      <c r="B1175" s="156" t="s">
        <v>14556</v>
      </c>
      <c r="C1175" s="21" t="s">
        <v>14557</v>
      </c>
      <c r="D1175" s="109" t="s">
        <v>4063</v>
      </c>
      <c r="E1175" s="109"/>
      <c r="F1175" s="391" t="s">
        <v>14558</v>
      </c>
      <c r="G1175" s="23" t="s">
        <v>13826</v>
      </c>
      <c r="H1175" s="23"/>
      <c r="I1175" s="23"/>
      <c r="J1175" s="23"/>
      <c r="K1175" s="23"/>
      <c r="L1175" s="375" t="s">
        <v>7787</v>
      </c>
      <c r="M1175" s="351" t="s">
        <v>7787</v>
      </c>
      <c r="N1175" s="267">
        <f t="shared" si="189"/>
        <v>0</v>
      </c>
      <c r="O1175" s="268">
        <f t="shared" si="190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7"/>
        <v>0</v>
      </c>
      <c r="AD1175" s="196">
        <f t="shared" si="198"/>
        <v>0</v>
      </c>
      <c r="AE1175" s="196">
        <f t="shared" si="199"/>
        <v>0</v>
      </c>
      <c r="AF1175" s="2">
        <f t="shared" si="200"/>
        <v>0</v>
      </c>
      <c r="AG1175" s="2">
        <f t="shared" si="201"/>
        <v>0</v>
      </c>
    </row>
    <row r="1176" spans="1:33">
      <c r="A1176" s="20" t="s">
        <v>6816</v>
      </c>
      <c r="B1176" s="156"/>
      <c r="C1176" s="21" t="s">
        <v>14557</v>
      </c>
      <c r="D1176" s="109" t="s">
        <v>13567</v>
      </c>
      <c r="E1176" s="109"/>
      <c r="F1176" s="391" t="s">
        <v>14559</v>
      </c>
      <c r="G1176" s="23" t="s">
        <v>13670</v>
      </c>
      <c r="H1176" s="23"/>
      <c r="I1176" s="23"/>
      <c r="J1176" s="23"/>
      <c r="K1176" s="23"/>
      <c r="L1176" s="350"/>
      <c r="M1176" s="351"/>
      <c r="N1176" s="267">
        <f t="shared" si="189"/>
        <v>0</v>
      </c>
      <c r="O1176" s="268">
        <f t="shared" si="190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7"/>
        <v>0</v>
      </c>
      <c r="AD1176" s="196">
        <f t="shared" si="198"/>
        <v>0</v>
      </c>
      <c r="AE1176" s="196">
        <f t="shared" si="199"/>
        <v>0</v>
      </c>
      <c r="AF1176" s="2">
        <f t="shared" si="200"/>
        <v>0</v>
      </c>
      <c r="AG1176" s="2">
        <f t="shared" si="201"/>
        <v>0</v>
      </c>
    </row>
    <row r="1177" spans="1:33">
      <c r="A1177" s="20" t="s">
        <v>6817</v>
      </c>
      <c r="B1177" s="156" t="s">
        <v>6714</v>
      </c>
      <c r="C1177" s="21" t="s">
        <v>14560</v>
      </c>
      <c r="D1177" s="109" t="s">
        <v>13657</v>
      </c>
      <c r="E1177" s="109"/>
      <c r="F1177" s="391" t="s">
        <v>14561</v>
      </c>
      <c r="G1177" s="23" t="s">
        <v>14562</v>
      </c>
      <c r="H1177" s="23"/>
      <c r="I1177" s="23"/>
      <c r="J1177" s="23"/>
      <c r="K1177" s="23"/>
      <c r="L1177" s="375" t="s">
        <v>7787</v>
      </c>
      <c r="M1177" s="351" t="s">
        <v>7787</v>
      </c>
      <c r="N1177" s="267">
        <f t="shared" si="189"/>
        <v>0</v>
      </c>
      <c r="O1177" s="268">
        <f t="shared" si="190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7"/>
        <v>0</v>
      </c>
      <c r="AD1177" s="196">
        <f t="shared" si="198"/>
        <v>0</v>
      </c>
      <c r="AE1177" s="196">
        <f t="shared" si="199"/>
        <v>0</v>
      </c>
      <c r="AF1177" s="2">
        <f t="shared" si="200"/>
        <v>0</v>
      </c>
      <c r="AG1177" s="2">
        <f t="shared" si="201"/>
        <v>0</v>
      </c>
    </row>
    <row r="1178" spans="1:33">
      <c r="A1178" s="20" t="s">
        <v>7114</v>
      </c>
      <c r="B1178" s="156" t="s">
        <v>14563</v>
      </c>
      <c r="C1178" s="21" t="s">
        <v>14564</v>
      </c>
      <c r="D1178" s="109" t="s">
        <v>13657</v>
      </c>
      <c r="E1178" s="109"/>
      <c r="F1178" s="391" t="s">
        <v>14565</v>
      </c>
      <c r="G1178" s="23" t="s">
        <v>14566</v>
      </c>
      <c r="H1178" s="23"/>
      <c r="I1178" s="23"/>
      <c r="J1178" s="23"/>
      <c r="K1178" s="23"/>
      <c r="L1178" s="350"/>
      <c r="M1178" s="351"/>
      <c r="N1178" s="267">
        <f t="shared" si="189"/>
        <v>0</v>
      </c>
      <c r="O1178" s="268">
        <f t="shared" si="190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7"/>
      <c r="Z1178" s="237"/>
      <c r="AA1178" s="279"/>
      <c r="AB1178" s="238"/>
      <c r="AC1178" s="196">
        <f t="shared" si="197"/>
        <v>0</v>
      </c>
      <c r="AD1178" s="196">
        <f t="shared" si="198"/>
        <v>0</v>
      </c>
      <c r="AE1178" s="196">
        <f t="shared" si="199"/>
        <v>0</v>
      </c>
      <c r="AF1178" s="2">
        <f t="shared" si="200"/>
        <v>0</v>
      </c>
      <c r="AG1178" s="2">
        <f t="shared" si="201"/>
        <v>0</v>
      </c>
    </row>
    <row r="1179" spans="1:33">
      <c r="A1179" s="20" t="s">
        <v>6913</v>
      </c>
      <c r="B1179" s="156" t="s">
        <v>7030</v>
      </c>
      <c r="C1179" s="21" t="s">
        <v>14567</v>
      </c>
      <c r="D1179" s="109" t="s">
        <v>13262</v>
      </c>
      <c r="E1179" s="109"/>
      <c r="F1179" s="391" t="s">
        <v>14568</v>
      </c>
      <c r="G1179" s="23" t="s">
        <v>13826</v>
      </c>
      <c r="H1179" s="23"/>
      <c r="I1179" s="23"/>
      <c r="J1179" s="23"/>
      <c r="K1179" s="23"/>
      <c r="L1179" s="375" t="s">
        <v>7787</v>
      </c>
      <c r="M1179" s="351" t="s">
        <v>7787</v>
      </c>
      <c r="N1179" s="267">
        <f t="shared" si="189"/>
        <v>0</v>
      </c>
      <c r="O1179" s="268">
        <f t="shared" si="190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39"/>
      <c r="AB1179" s="238"/>
      <c r="AC1179" s="196">
        <f t="shared" si="197"/>
        <v>0</v>
      </c>
      <c r="AD1179" s="196">
        <f t="shared" si="198"/>
        <v>0</v>
      </c>
      <c r="AE1179" s="196">
        <f t="shared" si="199"/>
        <v>0</v>
      </c>
      <c r="AF1179" s="2">
        <f t="shared" si="200"/>
        <v>0</v>
      </c>
      <c r="AG1179" s="2">
        <f t="shared" si="201"/>
        <v>0</v>
      </c>
    </row>
    <row r="1180" spans="1:33">
      <c r="A1180" s="20" t="s">
        <v>20504</v>
      </c>
      <c r="B1180" s="156"/>
      <c r="C1180" s="21" t="s">
        <v>7031</v>
      </c>
      <c r="D1180" s="109" t="s">
        <v>3133</v>
      </c>
      <c r="E1180" s="109"/>
      <c r="F1180" s="391" t="s">
        <v>7040</v>
      </c>
      <c r="G1180" s="23" t="s">
        <v>13826</v>
      </c>
      <c r="H1180" s="23"/>
      <c r="I1180" s="23"/>
      <c r="J1180" s="23"/>
      <c r="K1180" s="23"/>
      <c r="L1180" s="375"/>
      <c r="M1180" s="351"/>
      <c r="N1180" s="267">
        <f t="shared" si="189"/>
        <v>0</v>
      </c>
      <c r="O1180" s="268">
        <f t="shared" si="190"/>
        <v>0</v>
      </c>
      <c r="P1180" s="239"/>
      <c r="Q1180" s="239"/>
      <c r="R1180" s="239"/>
      <c r="S1180" s="239"/>
      <c r="T1180" s="239"/>
      <c r="U1180" s="240"/>
      <c r="V1180" s="240"/>
      <c r="W1180" s="240"/>
      <c r="X1180" s="278"/>
      <c r="Y1180" s="239"/>
      <c r="Z1180" s="237"/>
      <c r="AA1180" s="247"/>
      <c r="AB1180" s="238"/>
      <c r="AC1180" s="196">
        <f t="shared" si="197"/>
        <v>0</v>
      </c>
      <c r="AD1180" s="196">
        <f t="shared" si="198"/>
        <v>0</v>
      </c>
      <c r="AE1180" s="196">
        <f t="shared" si="199"/>
        <v>0</v>
      </c>
      <c r="AF1180" s="2">
        <f t="shared" si="200"/>
        <v>0</v>
      </c>
      <c r="AG1180" s="2">
        <f t="shared" si="201"/>
        <v>0</v>
      </c>
    </row>
    <row r="1181" spans="1:33">
      <c r="A1181" s="20" t="s">
        <v>6818</v>
      </c>
      <c r="B1181" s="156"/>
      <c r="C1181" s="21" t="s">
        <v>14569</v>
      </c>
      <c r="D1181" s="109" t="s">
        <v>13657</v>
      </c>
      <c r="E1181" s="109"/>
      <c r="F1181" s="391" t="s">
        <v>14570</v>
      </c>
      <c r="G1181" s="23" t="s">
        <v>6583</v>
      </c>
      <c r="H1181" s="23" t="s">
        <v>18200</v>
      </c>
      <c r="I1181" s="23" t="s">
        <v>19758</v>
      </c>
      <c r="J1181" s="23"/>
      <c r="K1181" s="23"/>
      <c r="L1181" s="375"/>
      <c r="M1181" s="351" t="s">
        <v>7787</v>
      </c>
      <c r="N1181" s="267">
        <f t="shared" si="189"/>
        <v>0</v>
      </c>
      <c r="O1181" s="268">
        <f t="shared" si="190"/>
        <v>0</v>
      </c>
      <c r="P1181" s="248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7"/>
        <v>0</v>
      </c>
      <c r="AD1181" s="196">
        <f t="shared" si="198"/>
        <v>0</v>
      </c>
      <c r="AE1181" s="196">
        <f t="shared" si="199"/>
        <v>0</v>
      </c>
      <c r="AF1181" s="2">
        <f t="shared" si="200"/>
        <v>0</v>
      </c>
      <c r="AG1181" s="2">
        <f t="shared" si="201"/>
        <v>0</v>
      </c>
    </row>
    <row r="1182" spans="1:33">
      <c r="A1182" s="20" t="s">
        <v>6819</v>
      </c>
      <c r="B1182" s="156"/>
      <c r="C1182" s="21" t="s">
        <v>14571</v>
      </c>
      <c r="D1182" s="109" t="s">
        <v>13590</v>
      </c>
      <c r="E1182" s="109" t="s">
        <v>13627</v>
      </c>
      <c r="F1182" s="391" t="s">
        <v>14572</v>
      </c>
      <c r="G1182" s="23" t="s">
        <v>14573</v>
      </c>
      <c r="H1182" s="23"/>
      <c r="I1182" s="23"/>
      <c r="J1182" s="23"/>
      <c r="K1182" s="23"/>
      <c r="L1182" s="361"/>
      <c r="M1182" s="357" t="s">
        <v>7787</v>
      </c>
      <c r="N1182" s="267">
        <f t="shared" si="189"/>
        <v>0</v>
      </c>
      <c r="O1182" s="268">
        <f t="shared" si="190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7"/>
        <v>0</v>
      </c>
      <c r="AD1182" s="196">
        <f t="shared" si="198"/>
        <v>0</v>
      </c>
      <c r="AE1182" s="196">
        <f t="shared" si="199"/>
        <v>0</v>
      </c>
      <c r="AF1182" s="2">
        <f t="shared" si="200"/>
        <v>0</v>
      </c>
      <c r="AG1182" s="2">
        <f t="shared" si="201"/>
        <v>0</v>
      </c>
    </row>
    <row r="1183" spans="1:33">
      <c r="A1183" s="20" t="s">
        <v>6820</v>
      </c>
      <c r="B1183" s="156"/>
      <c r="C1183" s="21" t="s">
        <v>14574</v>
      </c>
      <c r="D1183" s="109" t="s">
        <v>14575</v>
      </c>
      <c r="E1183" s="109"/>
      <c r="F1183" s="391" t="s">
        <v>14576</v>
      </c>
      <c r="G1183" s="23" t="s">
        <v>14577</v>
      </c>
      <c r="H1183" s="23"/>
      <c r="I1183" s="23"/>
      <c r="J1183" s="23"/>
      <c r="K1183" s="23"/>
      <c r="L1183" s="361"/>
      <c r="M1183" s="351"/>
      <c r="N1183" s="267">
        <f t="shared" si="189"/>
        <v>0</v>
      </c>
      <c r="O1183" s="268">
        <f t="shared" si="190"/>
        <v>0</v>
      </c>
      <c r="P1183" s="239"/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/>
      <c r="AC1183" s="196">
        <f t="shared" si="197"/>
        <v>0</v>
      </c>
      <c r="AD1183" s="196">
        <f t="shared" si="198"/>
        <v>0</v>
      </c>
      <c r="AE1183" s="196">
        <f t="shared" si="199"/>
        <v>0</v>
      </c>
      <c r="AF1183" s="2">
        <f t="shared" si="200"/>
        <v>0</v>
      </c>
      <c r="AG1183" s="2">
        <f t="shared" si="201"/>
        <v>0</v>
      </c>
    </row>
    <row r="1184" spans="1:33">
      <c r="A1184" s="20" t="s">
        <v>6821</v>
      </c>
      <c r="B1184" s="156" t="s">
        <v>14578</v>
      </c>
      <c r="C1184" s="21" t="s">
        <v>14579</v>
      </c>
      <c r="D1184" s="109" t="s">
        <v>4063</v>
      </c>
      <c r="E1184" s="109"/>
      <c r="F1184" s="391" t="s">
        <v>14580</v>
      </c>
      <c r="G1184" s="23" t="s">
        <v>13826</v>
      </c>
      <c r="H1184" s="23"/>
      <c r="I1184" s="23"/>
      <c r="J1184" s="23"/>
      <c r="K1184" s="23"/>
      <c r="L1184" s="375" t="s">
        <v>27523</v>
      </c>
      <c r="M1184" s="351" t="s">
        <v>7787</v>
      </c>
      <c r="N1184" s="267">
        <f t="shared" si="189"/>
        <v>0</v>
      </c>
      <c r="O1184" s="268">
        <f t="shared" si="190"/>
        <v>1150</v>
      </c>
      <c r="P1184" s="239">
        <f>400-250+2900-350-350-500-250-700-450-200-100-100+1400-600+300</f>
        <v>1150</v>
      </c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 t="s">
        <v>27504</v>
      </c>
      <c r="AC1184" s="196">
        <f t="shared" si="197"/>
        <v>1150</v>
      </c>
      <c r="AD1184" s="196">
        <f t="shared" si="198"/>
        <v>1150</v>
      </c>
      <c r="AE1184" s="196">
        <f t="shared" si="199"/>
        <v>0</v>
      </c>
      <c r="AF1184" s="2">
        <f t="shared" si="200"/>
        <v>1150</v>
      </c>
      <c r="AG1184" s="2">
        <f t="shared" si="201"/>
        <v>0</v>
      </c>
    </row>
    <row r="1185" spans="1:33">
      <c r="A1185" s="20" t="s">
        <v>6822</v>
      </c>
      <c r="B1185" s="156"/>
      <c r="C1185" s="21" t="s">
        <v>6427</v>
      </c>
      <c r="D1185" s="109" t="s">
        <v>14581</v>
      </c>
      <c r="E1185" s="109"/>
      <c r="F1185" s="391" t="s">
        <v>14582</v>
      </c>
      <c r="G1185" s="23" t="s">
        <v>13250</v>
      </c>
      <c r="H1185" s="23"/>
      <c r="I1185" s="23"/>
      <c r="J1185" s="23"/>
      <c r="K1185" s="23"/>
      <c r="L1185" s="375" t="s">
        <v>7787</v>
      </c>
      <c r="M1185" s="351"/>
      <c r="N1185" s="267">
        <f t="shared" si="189"/>
        <v>0</v>
      </c>
      <c r="O1185" s="268">
        <f t="shared" si="190"/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7"/>
        <v>0</v>
      </c>
      <c r="AD1185" s="196">
        <f t="shared" si="198"/>
        <v>0</v>
      </c>
      <c r="AE1185" s="196">
        <f t="shared" si="199"/>
        <v>0</v>
      </c>
      <c r="AF1185" s="2">
        <f t="shared" si="200"/>
        <v>0</v>
      </c>
      <c r="AG1185" s="2">
        <f t="shared" si="201"/>
        <v>0</v>
      </c>
    </row>
    <row r="1186" spans="1:33">
      <c r="A1186" s="20" t="s">
        <v>6823</v>
      </c>
      <c r="B1186" s="156" t="s">
        <v>14583</v>
      </c>
      <c r="C1186" s="21" t="s">
        <v>14584</v>
      </c>
      <c r="D1186" s="109" t="s">
        <v>13268</v>
      </c>
      <c r="E1186" s="109" t="s">
        <v>13497</v>
      </c>
      <c r="F1186" s="391" t="s">
        <v>14585</v>
      </c>
      <c r="G1186" s="23" t="s">
        <v>13682</v>
      </c>
      <c r="H1186" s="23"/>
      <c r="I1186" s="23"/>
      <c r="J1186" s="23"/>
      <c r="K1186" s="23"/>
      <c r="L1186" s="375" t="s">
        <v>7787</v>
      </c>
      <c r="M1186" s="351"/>
      <c r="N1186" s="267">
        <f t="shared" ref="N1186:N1249" si="202">SUM(L1186:M1186)</f>
        <v>0</v>
      </c>
      <c r="O1186" s="268">
        <f t="shared" ref="O1186:O1249" si="203">SUM(P1186:Z1186)</f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7"/>
        <v>0</v>
      </c>
      <c r="AD1186" s="196">
        <f t="shared" si="198"/>
        <v>0</v>
      </c>
      <c r="AE1186" s="196">
        <f t="shared" si="199"/>
        <v>0</v>
      </c>
      <c r="AF1186" s="2">
        <f t="shared" si="200"/>
        <v>0</v>
      </c>
      <c r="AG1186" s="2">
        <f t="shared" si="201"/>
        <v>0</v>
      </c>
    </row>
    <row r="1187" spans="1:33">
      <c r="A1187" s="20" t="s">
        <v>6824</v>
      </c>
      <c r="B1187" s="156" t="s">
        <v>14586</v>
      </c>
      <c r="C1187" s="21" t="s">
        <v>14587</v>
      </c>
      <c r="D1187" s="109" t="s">
        <v>14142</v>
      </c>
      <c r="E1187" s="109" t="s">
        <v>14588</v>
      </c>
      <c r="F1187" s="391" t="s">
        <v>14589</v>
      </c>
      <c r="G1187" s="23" t="s">
        <v>13975</v>
      </c>
      <c r="H1187" s="23"/>
      <c r="I1187" s="23"/>
      <c r="J1187" s="23"/>
      <c r="K1187" s="23"/>
      <c r="L1187" s="350"/>
      <c r="M1187" s="351"/>
      <c r="N1187" s="267">
        <f t="shared" si="202"/>
        <v>0</v>
      </c>
      <c r="O1187" s="268">
        <f t="shared" si="203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7"/>
        <v>0</v>
      </c>
      <c r="AD1187" s="196">
        <f t="shared" si="198"/>
        <v>0</v>
      </c>
      <c r="AE1187" s="196">
        <f t="shared" si="199"/>
        <v>0</v>
      </c>
      <c r="AF1187" s="2">
        <f t="shared" si="200"/>
        <v>0</v>
      </c>
      <c r="AG1187" s="2">
        <f t="shared" si="201"/>
        <v>0</v>
      </c>
    </row>
    <row r="1188" spans="1:33">
      <c r="A1188" s="20" t="s">
        <v>20505</v>
      </c>
      <c r="B1188" s="156"/>
      <c r="C1188" s="21" t="s">
        <v>20537</v>
      </c>
      <c r="D1188" s="109" t="s">
        <v>3137</v>
      </c>
      <c r="E1188" s="109"/>
      <c r="F1188" s="391" t="s">
        <v>20564</v>
      </c>
      <c r="G1188" s="23" t="s">
        <v>17078</v>
      </c>
      <c r="H1188" s="23"/>
      <c r="I1188" s="23"/>
      <c r="J1188" s="23"/>
      <c r="K1188" s="23"/>
      <c r="L1188" s="375" t="s">
        <v>7787</v>
      </c>
      <c r="M1188" s="351" t="s">
        <v>7787</v>
      </c>
      <c r="N1188" s="267">
        <f t="shared" si="202"/>
        <v>0</v>
      </c>
      <c r="O1188" s="268">
        <f t="shared" si="203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7"/>
        <v>0</v>
      </c>
      <c r="AD1188" s="196">
        <f t="shared" si="198"/>
        <v>0</v>
      </c>
      <c r="AE1188" s="196">
        <f t="shared" si="199"/>
        <v>0</v>
      </c>
      <c r="AF1188" s="2">
        <f t="shared" si="200"/>
        <v>0</v>
      </c>
      <c r="AG1188" s="2">
        <f t="shared" si="201"/>
        <v>0</v>
      </c>
    </row>
    <row r="1189" spans="1:33">
      <c r="A1189" s="20" t="s">
        <v>6825</v>
      </c>
      <c r="B1189" s="156"/>
      <c r="C1189" s="21" t="s">
        <v>14590</v>
      </c>
      <c r="D1189" s="109" t="s">
        <v>14591</v>
      </c>
      <c r="E1189" s="109"/>
      <c r="F1189" s="391" t="s">
        <v>14592</v>
      </c>
      <c r="G1189" s="23" t="s">
        <v>14593</v>
      </c>
      <c r="H1189" s="23"/>
      <c r="I1189" s="23"/>
      <c r="J1189" s="23"/>
      <c r="K1189" s="23"/>
      <c r="L1189" s="350"/>
      <c r="M1189" s="351"/>
      <c r="N1189" s="267">
        <f t="shared" si="202"/>
        <v>0</v>
      </c>
      <c r="O1189" s="268">
        <f t="shared" si="203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7"/>
        <v>0</v>
      </c>
      <c r="AD1189" s="196">
        <f t="shared" si="198"/>
        <v>0</v>
      </c>
      <c r="AE1189" s="196">
        <f t="shared" si="199"/>
        <v>0</v>
      </c>
      <c r="AF1189" s="2">
        <f t="shared" si="200"/>
        <v>0</v>
      </c>
      <c r="AG1189" s="2">
        <f t="shared" si="201"/>
        <v>0</v>
      </c>
    </row>
    <row r="1190" spans="1:33">
      <c r="A1190" s="20" t="s">
        <v>7314</v>
      </c>
      <c r="B1190" s="156" t="s">
        <v>14594</v>
      </c>
      <c r="C1190" s="21" t="s">
        <v>14595</v>
      </c>
      <c r="D1190" s="109" t="s">
        <v>14596</v>
      </c>
      <c r="E1190" s="109" t="s">
        <v>13611</v>
      </c>
      <c r="F1190" s="391" t="s">
        <v>14597</v>
      </c>
      <c r="G1190" s="23" t="s">
        <v>14598</v>
      </c>
      <c r="H1190" s="23"/>
      <c r="I1190" s="23"/>
      <c r="J1190" s="23"/>
      <c r="K1190" s="23"/>
      <c r="L1190" s="375"/>
      <c r="M1190" s="358" t="s">
        <v>7787</v>
      </c>
      <c r="N1190" s="267">
        <f t="shared" si="202"/>
        <v>0</v>
      </c>
      <c r="O1190" s="268">
        <f t="shared" si="203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7"/>
        <v>0</v>
      </c>
      <c r="AD1190" s="196">
        <f t="shared" si="198"/>
        <v>0</v>
      </c>
      <c r="AE1190" s="196">
        <f t="shared" si="199"/>
        <v>0</v>
      </c>
      <c r="AF1190" s="2">
        <f t="shared" si="200"/>
        <v>0</v>
      </c>
      <c r="AG1190" s="2">
        <f t="shared" si="201"/>
        <v>0</v>
      </c>
    </row>
    <row r="1191" spans="1:33">
      <c r="A1191" s="20" t="s">
        <v>6826</v>
      </c>
      <c r="B1191" s="156" t="s">
        <v>6531</v>
      </c>
      <c r="C1191" s="21" t="s">
        <v>14595</v>
      </c>
      <c r="D1191" s="109" t="s">
        <v>13599</v>
      </c>
      <c r="E1191" s="109"/>
      <c r="F1191" s="391" t="s">
        <v>14597</v>
      </c>
      <c r="G1191" s="23" t="s">
        <v>14598</v>
      </c>
      <c r="H1191" s="23"/>
      <c r="I1191" s="23"/>
      <c r="J1191" s="23"/>
      <c r="K1191" s="23"/>
      <c r="L1191" s="350"/>
      <c r="M1191" s="351"/>
      <c r="N1191" s="267">
        <f t="shared" si="202"/>
        <v>0</v>
      </c>
      <c r="O1191" s="268">
        <f t="shared" si="203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7"/>
        <v>0</v>
      </c>
      <c r="AD1191" s="196">
        <f t="shared" si="198"/>
        <v>0</v>
      </c>
      <c r="AE1191" s="196">
        <f t="shared" si="199"/>
        <v>0</v>
      </c>
      <c r="AF1191" s="2">
        <f t="shared" si="200"/>
        <v>0</v>
      </c>
      <c r="AG1191" s="2">
        <f t="shared" si="201"/>
        <v>0</v>
      </c>
    </row>
    <row r="1192" spans="1:33">
      <c r="A1192" s="20" t="s">
        <v>6827</v>
      </c>
      <c r="B1192" s="156" t="s">
        <v>14599</v>
      </c>
      <c r="C1192" s="21" t="s">
        <v>6605</v>
      </c>
      <c r="D1192" s="109" t="s">
        <v>14596</v>
      </c>
      <c r="E1192" s="109" t="s">
        <v>14600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50"/>
      <c r="M1192" s="357" t="s">
        <v>7787</v>
      </c>
      <c r="N1192" s="267">
        <f t="shared" si="202"/>
        <v>0</v>
      </c>
      <c r="O1192" s="268">
        <f t="shared" si="203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7"/>
        <v>0</v>
      </c>
      <c r="AD1192" s="196">
        <f t="shared" si="198"/>
        <v>0</v>
      </c>
      <c r="AE1192" s="196">
        <f t="shared" si="199"/>
        <v>0</v>
      </c>
      <c r="AF1192" s="2">
        <f t="shared" si="200"/>
        <v>0</v>
      </c>
      <c r="AG1192" s="2">
        <f t="shared" si="201"/>
        <v>0</v>
      </c>
    </row>
    <row r="1193" spans="1:33">
      <c r="A1193" s="20" t="s">
        <v>6828</v>
      </c>
      <c r="B1193" s="156"/>
      <c r="C1193" s="21" t="s">
        <v>6605</v>
      </c>
      <c r="D1193" s="109" t="s">
        <v>14596</v>
      </c>
      <c r="E1193" s="109" t="s">
        <v>13608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 t="s">
        <v>7787</v>
      </c>
      <c r="M1193" s="357" t="s">
        <v>7787</v>
      </c>
      <c r="N1193" s="267">
        <f t="shared" si="202"/>
        <v>0</v>
      </c>
      <c r="O1193" s="268">
        <f t="shared" si="203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7"/>
        <v>0</v>
      </c>
      <c r="AD1193" s="196">
        <f t="shared" si="198"/>
        <v>0</v>
      </c>
      <c r="AE1193" s="196">
        <f t="shared" si="199"/>
        <v>0</v>
      </c>
      <c r="AF1193" s="2">
        <f t="shared" si="200"/>
        <v>0</v>
      </c>
      <c r="AG1193" s="2">
        <f t="shared" si="201"/>
        <v>0</v>
      </c>
    </row>
    <row r="1194" spans="1:33">
      <c r="A1194" s="20" t="s">
        <v>6829</v>
      </c>
      <c r="B1194" s="156"/>
      <c r="C1194" s="21" t="s">
        <v>6605</v>
      </c>
      <c r="D1194" s="109" t="s">
        <v>14596</v>
      </c>
      <c r="E1194" s="109" t="s">
        <v>13611</v>
      </c>
      <c r="F1194" s="391" t="s">
        <v>14601</v>
      </c>
      <c r="G1194" s="23" t="s">
        <v>6607</v>
      </c>
      <c r="H1194" s="23"/>
      <c r="I1194" s="23"/>
      <c r="J1194" s="23"/>
      <c r="K1194" s="23"/>
      <c r="L1194" s="375"/>
      <c r="M1194" s="358" t="s">
        <v>7787</v>
      </c>
      <c r="N1194" s="267">
        <f t="shared" si="202"/>
        <v>0</v>
      </c>
      <c r="O1194" s="268">
        <f t="shared" si="203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7"/>
        <v>0</v>
      </c>
      <c r="AD1194" s="196">
        <f t="shared" si="198"/>
        <v>0</v>
      </c>
      <c r="AE1194" s="196">
        <f t="shared" si="199"/>
        <v>0</v>
      </c>
      <c r="AF1194" s="2">
        <f t="shared" si="200"/>
        <v>0</v>
      </c>
      <c r="AG1194" s="2">
        <f t="shared" si="201"/>
        <v>0</v>
      </c>
    </row>
    <row r="1195" spans="1:33">
      <c r="A1195" s="20" t="s">
        <v>6830</v>
      </c>
      <c r="B1195" s="156" t="s">
        <v>6604</v>
      </c>
      <c r="C1195" s="21" t="s">
        <v>6605</v>
      </c>
      <c r="D1195" s="109" t="s">
        <v>6606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 t="s">
        <v>7787</v>
      </c>
      <c r="M1195" s="351" t="s">
        <v>7787</v>
      </c>
      <c r="N1195" s="267">
        <f t="shared" si="202"/>
        <v>0</v>
      </c>
      <c r="O1195" s="268">
        <f t="shared" si="203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7"/>
        <v>0</v>
      </c>
      <c r="AD1195" s="196">
        <f t="shared" si="198"/>
        <v>0</v>
      </c>
      <c r="AE1195" s="196">
        <f t="shared" si="199"/>
        <v>0</v>
      </c>
      <c r="AF1195" s="2">
        <f t="shared" si="200"/>
        <v>0</v>
      </c>
      <c r="AG1195" s="2">
        <f t="shared" si="201"/>
        <v>0</v>
      </c>
    </row>
    <row r="1196" spans="1:33">
      <c r="A1196" s="20" t="s">
        <v>7603</v>
      </c>
      <c r="B1196" s="156"/>
      <c r="C1196" s="21" t="s">
        <v>14602</v>
      </c>
      <c r="D1196" s="109" t="s">
        <v>14591</v>
      </c>
      <c r="E1196" s="109"/>
      <c r="F1196" s="391" t="s">
        <v>14601</v>
      </c>
      <c r="G1196" s="23" t="s">
        <v>6607</v>
      </c>
      <c r="H1196" s="23"/>
      <c r="I1196" s="23"/>
      <c r="J1196" s="23"/>
      <c r="K1196" s="23"/>
      <c r="L1196" s="375"/>
      <c r="M1196" s="351" t="s">
        <v>7787</v>
      </c>
      <c r="N1196" s="267">
        <f t="shared" si="202"/>
        <v>0</v>
      </c>
      <c r="O1196" s="268">
        <f t="shared" si="203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7"/>
        <v>0</v>
      </c>
      <c r="AD1196" s="196">
        <f t="shared" si="198"/>
        <v>0</v>
      </c>
      <c r="AE1196" s="196">
        <f t="shared" si="199"/>
        <v>0</v>
      </c>
      <c r="AF1196" s="2">
        <f t="shared" si="200"/>
        <v>0</v>
      </c>
      <c r="AG1196" s="2">
        <f t="shared" si="201"/>
        <v>0</v>
      </c>
    </row>
    <row r="1197" spans="1:33">
      <c r="A1197" s="20" t="s">
        <v>6831</v>
      </c>
      <c r="B1197" s="156" t="s">
        <v>14603</v>
      </c>
      <c r="C1197" s="21" t="s">
        <v>14604</v>
      </c>
      <c r="D1197" s="109" t="s">
        <v>14596</v>
      </c>
      <c r="E1197" s="109" t="s">
        <v>14600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/>
      <c r="N1197" s="267">
        <f t="shared" si="202"/>
        <v>0</v>
      </c>
      <c r="O1197" s="268">
        <f t="shared" si="203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7"/>
        <v>0</v>
      </c>
      <c r="AD1197" s="196">
        <f t="shared" si="198"/>
        <v>0</v>
      </c>
      <c r="AE1197" s="196">
        <f t="shared" si="199"/>
        <v>0</v>
      </c>
      <c r="AF1197" s="2">
        <f t="shared" si="200"/>
        <v>0</v>
      </c>
      <c r="AG1197" s="2">
        <f t="shared" si="201"/>
        <v>0</v>
      </c>
    </row>
    <row r="1198" spans="1:33">
      <c r="A1198" s="20" t="s">
        <v>6832</v>
      </c>
      <c r="B1198" s="156"/>
      <c r="C1198" s="21" t="s">
        <v>14604</v>
      </c>
      <c r="D1198" s="109" t="s">
        <v>14596</v>
      </c>
      <c r="E1198" s="109" t="s">
        <v>13608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50"/>
      <c r="M1198" s="351" t="s">
        <v>7787</v>
      </c>
      <c r="N1198" s="267">
        <f t="shared" si="202"/>
        <v>0</v>
      </c>
      <c r="O1198" s="268">
        <f t="shared" si="203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7"/>
        <v>0</v>
      </c>
      <c r="AD1198" s="196">
        <f t="shared" si="198"/>
        <v>0</v>
      </c>
      <c r="AE1198" s="196">
        <f t="shared" si="199"/>
        <v>0</v>
      </c>
      <c r="AF1198" s="2">
        <f t="shared" si="200"/>
        <v>0</v>
      </c>
      <c r="AG1198" s="2">
        <f t="shared" si="201"/>
        <v>0</v>
      </c>
    </row>
    <row r="1199" spans="1:33">
      <c r="A1199" s="20" t="s">
        <v>6833</v>
      </c>
      <c r="B1199" s="156"/>
      <c r="C1199" s="21" t="s">
        <v>14604</v>
      </c>
      <c r="D1199" s="109" t="s">
        <v>14596</v>
      </c>
      <c r="E1199" s="109" t="s">
        <v>13611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/>
      <c r="N1199" s="267">
        <f t="shared" si="202"/>
        <v>0</v>
      </c>
      <c r="O1199" s="268">
        <f t="shared" si="203"/>
        <v>0</v>
      </c>
      <c r="P1199" s="239"/>
      <c r="Q1199" s="239"/>
      <c r="R1199" s="239"/>
      <c r="S1199" s="239"/>
      <c r="T1199" s="239"/>
      <c r="U1199" s="240"/>
      <c r="V1199" s="240"/>
      <c r="W1199" s="240"/>
      <c r="X1199" s="278"/>
      <c r="Y1199" s="237"/>
      <c r="Z1199" s="237"/>
      <c r="AA1199" s="279"/>
      <c r="AB1199" s="238"/>
      <c r="AC1199" s="196">
        <f t="shared" si="197"/>
        <v>0</v>
      </c>
      <c r="AD1199" s="196">
        <f t="shared" si="198"/>
        <v>0</v>
      </c>
      <c r="AE1199" s="196">
        <f t="shared" si="199"/>
        <v>0</v>
      </c>
      <c r="AF1199" s="2">
        <f t="shared" si="200"/>
        <v>0</v>
      </c>
      <c r="AG1199" s="2">
        <f t="shared" si="201"/>
        <v>0</v>
      </c>
    </row>
    <row r="1200" spans="1:33">
      <c r="A1200" s="20" t="s">
        <v>6834</v>
      </c>
      <c r="B1200" s="156" t="s">
        <v>6608</v>
      </c>
      <c r="C1200" s="21" t="s">
        <v>6609</v>
      </c>
      <c r="D1200" s="109" t="s">
        <v>6606</v>
      </c>
      <c r="E1200" s="109" t="s">
        <v>20884</v>
      </c>
      <c r="F1200" s="391" t="s">
        <v>14605</v>
      </c>
      <c r="G1200" s="23" t="s">
        <v>17840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2"/>
        <v>0</v>
      </c>
      <c r="O1200" s="268">
        <f t="shared" si="203"/>
        <v>0</v>
      </c>
      <c r="P1200" s="248"/>
      <c r="Q1200" s="239"/>
      <c r="R1200" s="239"/>
      <c r="S1200" s="239"/>
      <c r="T1200" s="239"/>
      <c r="U1200" s="240"/>
      <c r="V1200" s="240"/>
      <c r="W1200" s="240"/>
      <c r="X1200" s="278"/>
      <c r="Y1200" s="248"/>
      <c r="Z1200" s="237"/>
      <c r="AA1200" s="237"/>
      <c r="AB1200" s="238"/>
      <c r="AC1200" s="196">
        <f t="shared" si="197"/>
        <v>0</v>
      </c>
      <c r="AD1200" s="196">
        <f t="shared" si="198"/>
        <v>0</v>
      </c>
      <c r="AE1200" s="196">
        <f t="shared" si="199"/>
        <v>0</v>
      </c>
      <c r="AF1200" s="2">
        <f t="shared" si="200"/>
        <v>0</v>
      </c>
      <c r="AG1200" s="2">
        <f t="shared" si="201"/>
        <v>0</v>
      </c>
    </row>
    <row r="1201" spans="1:33">
      <c r="A1201" s="20" t="s">
        <v>8345</v>
      </c>
      <c r="B1201" s="156"/>
      <c r="C1201" s="21" t="s">
        <v>14606</v>
      </c>
      <c r="D1201" s="109" t="s">
        <v>14607</v>
      </c>
      <c r="E1201" s="109"/>
      <c r="F1201" s="391" t="s">
        <v>14608</v>
      </c>
      <c r="G1201" s="23" t="s">
        <v>14562</v>
      </c>
      <c r="H1201" s="23"/>
      <c r="I1201" s="23"/>
      <c r="J1201" s="23"/>
      <c r="K1201" s="23"/>
      <c r="L1201" s="375" t="s">
        <v>7787</v>
      </c>
      <c r="M1201" s="351" t="s">
        <v>7787</v>
      </c>
      <c r="N1201" s="267">
        <f t="shared" si="202"/>
        <v>0</v>
      </c>
      <c r="O1201" s="268">
        <f t="shared" si="203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7"/>
        <v>0</v>
      </c>
      <c r="AD1201" s="196">
        <f t="shared" si="198"/>
        <v>0</v>
      </c>
      <c r="AE1201" s="196">
        <f t="shared" si="199"/>
        <v>0</v>
      </c>
      <c r="AF1201" s="2">
        <f t="shared" si="200"/>
        <v>0</v>
      </c>
      <c r="AG1201" s="2">
        <f t="shared" si="201"/>
        <v>0</v>
      </c>
    </row>
    <row r="1202" spans="1:33">
      <c r="A1202" s="20" t="s">
        <v>6835</v>
      </c>
      <c r="B1202" s="156"/>
      <c r="C1202" s="21" t="s">
        <v>6610</v>
      </c>
      <c r="D1202" s="109" t="s">
        <v>6611</v>
      </c>
      <c r="E1202" s="109" t="s">
        <v>6612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2"/>
        <v>0</v>
      </c>
      <c r="O1202" s="268">
        <f t="shared" si="203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7"/>
        <v>0</v>
      </c>
      <c r="AD1202" s="196">
        <f t="shared" si="198"/>
        <v>0</v>
      </c>
      <c r="AE1202" s="196">
        <f t="shared" si="199"/>
        <v>0</v>
      </c>
      <c r="AF1202" s="2">
        <f t="shared" si="200"/>
        <v>0</v>
      </c>
      <c r="AG1202" s="2">
        <f t="shared" si="201"/>
        <v>0</v>
      </c>
    </row>
    <row r="1203" spans="1:33">
      <c r="A1203" s="20" t="s">
        <v>6836</v>
      </c>
      <c r="B1203" s="156" t="s">
        <v>6716</v>
      </c>
      <c r="C1203" s="21" t="s">
        <v>6610</v>
      </c>
      <c r="D1203" s="109" t="s">
        <v>14610</v>
      </c>
      <c r="E1203" s="109" t="s">
        <v>14611</v>
      </c>
      <c r="F1203" s="391" t="s">
        <v>14609</v>
      </c>
      <c r="G1203" s="23" t="s">
        <v>6613</v>
      </c>
      <c r="H1203" s="23"/>
      <c r="I1203" s="23"/>
      <c r="J1203" s="23"/>
      <c r="K1203" s="23"/>
      <c r="L1203" s="350"/>
      <c r="M1203" s="351"/>
      <c r="N1203" s="267">
        <f t="shared" si="202"/>
        <v>0</v>
      </c>
      <c r="O1203" s="268">
        <f t="shared" si="203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7"/>
        <v>0</v>
      </c>
      <c r="AD1203" s="196">
        <f t="shared" si="198"/>
        <v>0</v>
      </c>
      <c r="AE1203" s="196">
        <f t="shared" si="199"/>
        <v>0</v>
      </c>
      <c r="AF1203" s="2">
        <f t="shared" si="200"/>
        <v>0</v>
      </c>
      <c r="AG1203" s="2">
        <f t="shared" si="201"/>
        <v>0</v>
      </c>
    </row>
    <row r="1204" spans="1:33">
      <c r="A1204" s="20" t="s">
        <v>6909</v>
      </c>
      <c r="B1204" s="156"/>
      <c r="C1204" s="21" t="s">
        <v>14612</v>
      </c>
      <c r="D1204" s="109" t="s">
        <v>13613</v>
      </c>
      <c r="E1204" s="109" t="s">
        <v>14613</v>
      </c>
      <c r="F1204" s="391" t="s">
        <v>14614</v>
      </c>
      <c r="G1204" s="23" t="s">
        <v>13531</v>
      </c>
      <c r="H1204" s="23" t="s">
        <v>24623</v>
      </c>
      <c r="I1204" s="23"/>
      <c r="J1204" s="23"/>
      <c r="K1204" s="23"/>
      <c r="L1204" s="375" t="s">
        <v>7787</v>
      </c>
      <c r="M1204" s="351" t="s">
        <v>7787</v>
      </c>
      <c r="N1204" s="267">
        <f t="shared" si="202"/>
        <v>0</v>
      </c>
      <c r="O1204" s="268">
        <f t="shared" si="203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7"/>
        <v>0</v>
      </c>
      <c r="AD1204" s="196">
        <f t="shared" si="198"/>
        <v>0</v>
      </c>
      <c r="AE1204" s="196">
        <f t="shared" si="199"/>
        <v>0</v>
      </c>
      <c r="AF1204" s="2">
        <f t="shared" si="200"/>
        <v>0</v>
      </c>
      <c r="AG1204" s="2">
        <f t="shared" si="201"/>
        <v>0</v>
      </c>
    </row>
    <row r="1205" spans="1:33">
      <c r="A1205" s="20" t="s">
        <v>1801</v>
      </c>
      <c r="B1205" s="150"/>
      <c r="C1205" s="21" t="s">
        <v>755</v>
      </c>
      <c r="D1205" s="109" t="s">
        <v>13949</v>
      </c>
      <c r="E1205" s="109"/>
      <c r="F1205" s="391" t="s">
        <v>14616</v>
      </c>
      <c r="G1205" s="23"/>
      <c r="H1205" s="23"/>
      <c r="I1205" s="23"/>
      <c r="J1205" s="23"/>
      <c r="K1205" s="23"/>
      <c r="L1205" s="350"/>
      <c r="M1205" s="351"/>
      <c r="N1205" s="267">
        <f t="shared" si="202"/>
        <v>0</v>
      </c>
      <c r="O1205" s="268">
        <f t="shared" si="203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7"/>
        <v>0</v>
      </c>
      <c r="AD1205" s="196">
        <f t="shared" si="198"/>
        <v>0</v>
      </c>
      <c r="AE1205" s="196">
        <f t="shared" si="199"/>
        <v>0</v>
      </c>
      <c r="AF1205" s="2">
        <f t="shared" si="200"/>
        <v>0</v>
      </c>
      <c r="AG1205" s="2">
        <f t="shared" si="201"/>
        <v>0</v>
      </c>
    </row>
    <row r="1206" spans="1:33">
      <c r="A1206" s="20" t="s">
        <v>7107</v>
      </c>
      <c r="B1206" s="150"/>
      <c r="C1206" s="21" t="s">
        <v>14617</v>
      </c>
      <c r="D1206" s="109" t="s">
        <v>14618</v>
      </c>
      <c r="E1206" s="109"/>
      <c r="F1206" s="391" t="s">
        <v>14619</v>
      </c>
      <c r="G1206" s="23" t="s">
        <v>14562</v>
      </c>
      <c r="H1206" s="23"/>
      <c r="I1206" s="23"/>
      <c r="J1206" s="23"/>
      <c r="K1206" s="23"/>
      <c r="L1206" s="375" t="s">
        <v>7787</v>
      </c>
      <c r="M1206" s="351"/>
      <c r="N1206" s="267">
        <f t="shared" si="202"/>
        <v>0</v>
      </c>
      <c r="O1206" s="268">
        <f t="shared" si="203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7"/>
      <c r="Z1206" s="237"/>
      <c r="AA1206" s="279"/>
      <c r="AB1206" s="238"/>
      <c r="AC1206" s="196">
        <f t="shared" si="197"/>
        <v>0</v>
      </c>
      <c r="AD1206" s="196">
        <f t="shared" si="198"/>
        <v>0</v>
      </c>
      <c r="AE1206" s="196">
        <f t="shared" si="199"/>
        <v>0</v>
      </c>
      <c r="AF1206" s="2">
        <f t="shared" si="200"/>
        <v>0</v>
      </c>
      <c r="AG1206" s="2">
        <f t="shared" si="201"/>
        <v>0</v>
      </c>
    </row>
    <row r="1207" spans="1:33">
      <c r="A1207" s="20" t="s">
        <v>7108</v>
      </c>
      <c r="B1207" s="150"/>
      <c r="C1207" s="21" t="s">
        <v>14620</v>
      </c>
      <c r="D1207" s="109" t="s">
        <v>14618</v>
      </c>
      <c r="E1207" s="109"/>
      <c r="F1207" s="391" t="s">
        <v>14621</v>
      </c>
      <c r="G1207" s="23" t="s">
        <v>14562</v>
      </c>
      <c r="H1207" s="23"/>
      <c r="I1207" s="23"/>
      <c r="J1207" s="23"/>
      <c r="K1207" s="23"/>
      <c r="L1207" s="350"/>
      <c r="M1207" s="351"/>
      <c r="N1207" s="267">
        <f t="shared" si="202"/>
        <v>0</v>
      </c>
      <c r="O1207" s="268">
        <f t="shared" si="203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9"/>
      <c r="Z1207" s="237"/>
      <c r="AA1207" s="279"/>
      <c r="AB1207" s="238"/>
      <c r="AC1207" s="196">
        <f t="shared" si="197"/>
        <v>0</v>
      </c>
      <c r="AD1207" s="196">
        <f t="shared" si="198"/>
        <v>0</v>
      </c>
      <c r="AE1207" s="196">
        <f t="shared" si="199"/>
        <v>0</v>
      </c>
      <c r="AF1207" s="2">
        <f t="shared" si="200"/>
        <v>0</v>
      </c>
      <c r="AG1207" s="2">
        <f t="shared" si="201"/>
        <v>0</v>
      </c>
    </row>
    <row r="1208" spans="1:33">
      <c r="A1208" s="20" t="s">
        <v>6837</v>
      </c>
      <c r="B1208" s="150"/>
      <c r="C1208" s="21" t="s">
        <v>14622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2"/>
        <v>0</v>
      </c>
      <c r="O1208" s="268">
        <f t="shared" si="203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7"/>
        <v>0</v>
      </c>
      <c r="AD1208" s="196">
        <f t="shared" si="198"/>
        <v>0</v>
      </c>
      <c r="AE1208" s="196">
        <f t="shared" si="199"/>
        <v>0</v>
      </c>
      <c r="AF1208" s="2">
        <f t="shared" si="200"/>
        <v>0</v>
      </c>
      <c r="AG1208" s="2">
        <f t="shared" si="201"/>
        <v>0</v>
      </c>
    </row>
    <row r="1209" spans="1:33">
      <c r="A1209" s="377" t="s">
        <v>7116</v>
      </c>
      <c r="B1209" s="150"/>
      <c r="C1209" s="157" t="s">
        <v>14625</v>
      </c>
      <c r="D1209" s="109" t="s">
        <v>14623</v>
      </c>
      <c r="E1209" s="109" t="s">
        <v>6612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2"/>
        <v>0</v>
      </c>
      <c r="O1209" s="268">
        <f t="shared" si="203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7"/>
        <v>0</v>
      </c>
      <c r="AD1209" s="196">
        <f t="shared" si="198"/>
        <v>0</v>
      </c>
      <c r="AE1209" s="196">
        <f t="shared" si="199"/>
        <v>0</v>
      </c>
      <c r="AF1209" s="2">
        <f t="shared" si="200"/>
        <v>0</v>
      </c>
      <c r="AG1209" s="2">
        <f t="shared" si="201"/>
        <v>0</v>
      </c>
    </row>
    <row r="1210" spans="1:33">
      <c r="A1210" s="20" t="s">
        <v>6838</v>
      </c>
      <c r="B1210" s="156" t="s">
        <v>6717</v>
      </c>
      <c r="C1210" s="21" t="s">
        <v>14622</v>
      </c>
      <c r="D1210" s="109" t="s">
        <v>14610</v>
      </c>
      <c r="E1210" s="109" t="s">
        <v>14611</v>
      </c>
      <c r="F1210" s="391" t="s">
        <v>14624</v>
      </c>
      <c r="G1210" s="23" t="s">
        <v>6613</v>
      </c>
      <c r="H1210" s="23"/>
      <c r="I1210" s="23"/>
      <c r="J1210" s="23"/>
      <c r="K1210" s="23"/>
      <c r="L1210" s="350"/>
      <c r="M1210" s="351"/>
      <c r="N1210" s="267">
        <f t="shared" si="202"/>
        <v>0</v>
      </c>
      <c r="O1210" s="268">
        <f t="shared" si="203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7"/>
        <v>0</v>
      </c>
      <c r="AD1210" s="196">
        <f t="shared" si="198"/>
        <v>0</v>
      </c>
      <c r="AE1210" s="196">
        <f t="shared" si="199"/>
        <v>0</v>
      </c>
      <c r="AF1210" s="2">
        <f t="shared" si="200"/>
        <v>0</v>
      </c>
      <c r="AG1210" s="2">
        <f t="shared" si="201"/>
        <v>0</v>
      </c>
    </row>
    <row r="1211" spans="1:33">
      <c r="A1211" s="20" t="s">
        <v>7037</v>
      </c>
      <c r="B1211" s="156"/>
      <c r="C1211" s="21" t="s">
        <v>14626</v>
      </c>
      <c r="D1211" s="109" t="s">
        <v>14627</v>
      </c>
      <c r="E1211" s="109" t="s">
        <v>14628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50"/>
      <c r="M1211" s="351" t="s">
        <v>7787</v>
      </c>
      <c r="N1211" s="267">
        <f t="shared" si="202"/>
        <v>0</v>
      </c>
      <c r="O1211" s="268">
        <f t="shared" si="203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7"/>
        <v>0</v>
      </c>
      <c r="AD1211" s="196">
        <f t="shared" si="198"/>
        <v>0</v>
      </c>
      <c r="AE1211" s="196">
        <f t="shared" si="199"/>
        <v>0</v>
      </c>
      <c r="AF1211" s="2">
        <f t="shared" si="200"/>
        <v>0</v>
      </c>
      <c r="AG1211" s="2">
        <f t="shared" si="201"/>
        <v>0</v>
      </c>
    </row>
    <row r="1212" spans="1:33">
      <c r="A1212" s="20" t="s">
        <v>7103</v>
      </c>
      <c r="B1212" s="156"/>
      <c r="C1212" s="21" t="s">
        <v>14626</v>
      </c>
      <c r="D1212" s="109" t="s">
        <v>14610</v>
      </c>
      <c r="E1212" s="109" t="s">
        <v>14611</v>
      </c>
      <c r="F1212" s="391" t="s">
        <v>14629</v>
      </c>
      <c r="G1212" s="23" t="s">
        <v>6613</v>
      </c>
      <c r="H1212" s="23"/>
      <c r="I1212" s="23"/>
      <c r="J1212" s="23"/>
      <c r="K1212" s="23"/>
      <c r="L1212" s="375" t="s">
        <v>7787</v>
      </c>
      <c r="M1212" s="351" t="s">
        <v>7787</v>
      </c>
      <c r="N1212" s="267">
        <f t="shared" si="202"/>
        <v>0</v>
      </c>
      <c r="O1212" s="268">
        <f t="shared" si="203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7"/>
        <v>0</v>
      </c>
      <c r="AD1212" s="196">
        <f t="shared" si="198"/>
        <v>0</v>
      </c>
      <c r="AE1212" s="196">
        <f t="shared" si="199"/>
        <v>0</v>
      </c>
      <c r="AF1212" s="2">
        <f t="shared" si="200"/>
        <v>0</v>
      </c>
      <c r="AG1212" s="2">
        <f t="shared" si="201"/>
        <v>0</v>
      </c>
    </row>
    <row r="1213" spans="1:33">
      <c r="A1213" s="20" t="s">
        <v>7038</v>
      </c>
      <c r="B1213" s="156"/>
      <c r="C1213" s="21" t="s">
        <v>14630</v>
      </c>
      <c r="D1213" s="109" t="s">
        <v>13599</v>
      </c>
      <c r="E1213" s="109"/>
      <c r="F1213" s="391" t="s">
        <v>14631</v>
      </c>
      <c r="G1213" s="23" t="s">
        <v>14573</v>
      </c>
      <c r="H1213" s="23"/>
      <c r="I1213" s="23"/>
      <c r="J1213" s="23"/>
      <c r="K1213" s="23"/>
      <c r="L1213" s="350"/>
      <c r="M1213" s="351"/>
      <c r="N1213" s="267">
        <f t="shared" si="202"/>
        <v>0</v>
      </c>
      <c r="O1213" s="268">
        <f t="shared" si="203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7"/>
        <v>0</v>
      </c>
      <c r="AD1213" s="196">
        <f t="shared" si="198"/>
        <v>0</v>
      </c>
      <c r="AE1213" s="196">
        <f t="shared" si="199"/>
        <v>0</v>
      </c>
      <c r="AF1213" s="2">
        <f t="shared" si="200"/>
        <v>0</v>
      </c>
      <c r="AG1213" s="2">
        <f t="shared" si="201"/>
        <v>0</v>
      </c>
    </row>
    <row r="1214" spans="1:33">
      <c r="A1214" s="20" t="s">
        <v>7117</v>
      </c>
      <c r="B1214" s="156"/>
      <c r="C1214" s="21" t="s">
        <v>14630</v>
      </c>
      <c r="D1214" s="109" t="s">
        <v>14596</v>
      </c>
      <c r="E1214" s="109" t="s">
        <v>13611</v>
      </c>
      <c r="F1214" s="391" t="s">
        <v>14631</v>
      </c>
      <c r="G1214" s="23"/>
      <c r="H1214" s="23"/>
      <c r="I1214" s="23"/>
      <c r="J1214" s="23"/>
      <c r="K1214" s="23"/>
      <c r="L1214" s="350"/>
      <c r="M1214" s="358" t="s">
        <v>7787</v>
      </c>
      <c r="N1214" s="267">
        <f t="shared" si="202"/>
        <v>0</v>
      </c>
      <c r="O1214" s="268">
        <f t="shared" si="203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7"/>
      <c r="Z1214" s="237"/>
      <c r="AA1214" s="279"/>
      <c r="AB1214" s="238"/>
      <c r="AC1214" s="196">
        <f t="shared" si="197"/>
        <v>0</v>
      </c>
      <c r="AD1214" s="196">
        <f t="shared" si="198"/>
        <v>0</v>
      </c>
      <c r="AE1214" s="196">
        <f t="shared" si="199"/>
        <v>0</v>
      </c>
      <c r="AF1214" s="2">
        <f t="shared" si="200"/>
        <v>0</v>
      </c>
      <c r="AG1214" s="2">
        <f t="shared" si="201"/>
        <v>0</v>
      </c>
    </row>
    <row r="1215" spans="1:33">
      <c r="A1215" s="20" t="s">
        <v>7105</v>
      </c>
      <c r="B1215" s="156" t="s">
        <v>14632</v>
      </c>
      <c r="C1215" s="21" t="s">
        <v>14633</v>
      </c>
      <c r="D1215" s="109" t="s">
        <v>14607</v>
      </c>
      <c r="E1215" s="109"/>
      <c r="F1215" s="391" t="s">
        <v>14634</v>
      </c>
      <c r="G1215" s="23" t="s">
        <v>14635</v>
      </c>
      <c r="H1215" s="23" t="s">
        <v>14636</v>
      </c>
      <c r="I1215" s="23" t="s">
        <v>15379</v>
      </c>
      <c r="J1215" s="23"/>
      <c r="K1215" s="23" t="s">
        <v>18567</v>
      </c>
      <c r="L1215" s="375" t="s">
        <v>7787</v>
      </c>
      <c r="M1215" s="351"/>
      <c r="N1215" s="267">
        <f t="shared" si="202"/>
        <v>0</v>
      </c>
      <c r="O1215" s="268">
        <f t="shared" si="203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9"/>
      <c r="Z1215" s="237"/>
      <c r="AA1215" s="279"/>
      <c r="AB1215" s="238"/>
      <c r="AC1215" s="196">
        <f t="shared" si="197"/>
        <v>0</v>
      </c>
      <c r="AD1215" s="196">
        <f t="shared" si="198"/>
        <v>0</v>
      </c>
      <c r="AE1215" s="196">
        <f t="shared" si="199"/>
        <v>0</v>
      </c>
      <c r="AF1215" s="2">
        <f t="shared" si="200"/>
        <v>0</v>
      </c>
      <c r="AG1215" s="2">
        <f t="shared" si="201"/>
        <v>0</v>
      </c>
    </row>
    <row r="1216" spans="1:33">
      <c r="A1216" s="20" t="s">
        <v>7594</v>
      </c>
      <c r="B1216" s="156"/>
      <c r="C1216" s="21" t="s">
        <v>14633</v>
      </c>
      <c r="D1216" s="109" t="s">
        <v>14591</v>
      </c>
      <c r="E1216" s="109"/>
      <c r="F1216" s="391" t="s">
        <v>14634</v>
      </c>
      <c r="G1216" s="23" t="s">
        <v>14637</v>
      </c>
      <c r="H1216" s="23" t="s">
        <v>14638</v>
      </c>
      <c r="I1216" s="23" t="s">
        <v>13951</v>
      </c>
      <c r="J1216" s="23" t="s">
        <v>18066</v>
      </c>
      <c r="K1216" s="23"/>
      <c r="L1216" s="375" t="s">
        <v>7787</v>
      </c>
      <c r="M1216" s="351" t="s">
        <v>7787</v>
      </c>
      <c r="N1216" s="267">
        <f t="shared" si="202"/>
        <v>0</v>
      </c>
      <c r="O1216" s="268">
        <f t="shared" si="203"/>
        <v>0</v>
      </c>
      <c r="P1216" s="239"/>
      <c r="Q1216" s="239"/>
      <c r="R1216" s="239"/>
      <c r="S1216" s="239"/>
      <c r="T1216" s="239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7"/>
        <v>0</v>
      </c>
      <c r="AD1216" s="196">
        <f t="shared" si="198"/>
        <v>0</v>
      </c>
      <c r="AE1216" s="196">
        <f t="shared" si="199"/>
        <v>0</v>
      </c>
      <c r="AF1216" s="2">
        <f t="shared" si="200"/>
        <v>0</v>
      </c>
      <c r="AG1216" s="2">
        <f t="shared" si="201"/>
        <v>0</v>
      </c>
    </row>
    <row r="1217" spans="1:33">
      <c r="A1217" s="20" t="s">
        <v>7599</v>
      </c>
      <c r="B1217" s="156"/>
      <c r="C1217" s="21" t="s">
        <v>14633</v>
      </c>
      <c r="D1217" s="109" t="s">
        <v>14610</v>
      </c>
      <c r="E1217" s="109"/>
      <c r="F1217" s="391" t="s">
        <v>14634</v>
      </c>
      <c r="G1217" s="23" t="s">
        <v>14637</v>
      </c>
      <c r="H1217" s="23"/>
      <c r="I1217" s="23"/>
      <c r="J1217" s="23"/>
      <c r="K1217" s="23"/>
      <c r="L1217" s="375"/>
      <c r="M1217" s="351"/>
      <c r="N1217" s="267">
        <f t="shared" si="202"/>
        <v>0</v>
      </c>
      <c r="O1217" s="268">
        <f t="shared" si="203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7"/>
        <v>0</v>
      </c>
      <c r="AD1217" s="196">
        <f t="shared" si="198"/>
        <v>0</v>
      </c>
      <c r="AE1217" s="196">
        <f t="shared" si="199"/>
        <v>0</v>
      </c>
      <c r="AF1217" s="2">
        <f t="shared" si="200"/>
        <v>0</v>
      </c>
      <c r="AG1217" s="2">
        <f t="shared" si="201"/>
        <v>0</v>
      </c>
    </row>
    <row r="1218" spans="1:33">
      <c r="A1218" s="20" t="s">
        <v>7723</v>
      </c>
      <c r="B1218" s="156"/>
      <c r="C1218" s="21" t="s">
        <v>14639</v>
      </c>
      <c r="D1218" s="109" t="s">
        <v>14623</v>
      </c>
      <c r="E1218" s="109" t="s">
        <v>14640</v>
      </c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 t="s">
        <v>7787</v>
      </c>
      <c r="N1218" s="267">
        <f t="shared" si="202"/>
        <v>0</v>
      </c>
      <c r="O1218" s="268">
        <f t="shared" si="203"/>
        <v>0</v>
      </c>
      <c r="P1218" s="241"/>
      <c r="Q1218" s="241"/>
      <c r="R1218" s="241"/>
      <c r="S1218" s="241"/>
      <c r="T1218" s="241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7"/>
        <v>0</v>
      </c>
      <c r="AD1218" s="196">
        <f t="shared" si="198"/>
        <v>0</v>
      </c>
      <c r="AE1218" s="196">
        <f t="shared" si="199"/>
        <v>0</v>
      </c>
      <c r="AF1218" s="2">
        <f t="shared" si="200"/>
        <v>0</v>
      </c>
      <c r="AG1218" s="2">
        <f t="shared" si="201"/>
        <v>0</v>
      </c>
    </row>
    <row r="1219" spans="1:33">
      <c r="A1219" s="20" t="s">
        <v>7115</v>
      </c>
      <c r="B1219" s="156" t="s">
        <v>14643</v>
      </c>
      <c r="C1219" s="21" t="s">
        <v>14639</v>
      </c>
      <c r="D1219" s="109" t="s">
        <v>14610</v>
      </c>
      <c r="E1219" s="109"/>
      <c r="F1219" s="391" t="s">
        <v>14641</v>
      </c>
      <c r="G1219" s="23" t="s">
        <v>14642</v>
      </c>
      <c r="H1219" s="23"/>
      <c r="I1219" s="23"/>
      <c r="J1219" s="23"/>
      <c r="K1219" s="23"/>
      <c r="L1219" s="375" t="s">
        <v>7787</v>
      </c>
      <c r="M1219" s="351"/>
      <c r="N1219" s="267">
        <f t="shared" si="202"/>
        <v>0</v>
      </c>
      <c r="O1219" s="268">
        <f t="shared" si="203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7"/>
        <v>0</v>
      </c>
      <c r="AD1219" s="196">
        <f t="shared" si="198"/>
        <v>0</v>
      </c>
      <c r="AE1219" s="196">
        <f t="shared" si="199"/>
        <v>0</v>
      </c>
      <c r="AF1219" s="2">
        <f t="shared" si="200"/>
        <v>0</v>
      </c>
      <c r="AG1219" s="2">
        <f t="shared" si="201"/>
        <v>0</v>
      </c>
    </row>
    <row r="1220" spans="1:33">
      <c r="A1220" s="20" t="s">
        <v>8136</v>
      </c>
      <c r="B1220" s="156"/>
      <c r="C1220" s="21" t="s">
        <v>14644</v>
      </c>
      <c r="D1220" s="109" t="s">
        <v>14645</v>
      </c>
      <c r="E1220" s="109"/>
      <c r="F1220" s="391" t="s">
        <v>14646</v>
      </c>
      <c r="G1220" s="23" t="s">
        <v>14647</v>
      </c>
      <c r="H1220" s="23" t="s">
        <v>14648</v>
      </c>
      <c r="I1220" s="23" t="s">
        <v>14649</v>
      </c>
      <c r="J1220" s="23"/>
      <c r="K1220" s="23"/>
      <c r="L1220" s="375" t="s">
        <v>7787</v>
      </c>
      <c r="M1220" s="351" t="s">
        <v>7787</v>
      </c>
      <c r="N1220" s="267">
        <f t="shared" si="202"/>
        <v>0</v>
      </c>
      <c r="O1220" s="268">
        <f t="shared" si="203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7"/>
        <v>0</v>
      </c>
      <c r="AD1220" s="196">
        <f t="shared" si="198"/>
        <v>0</v>
      </c>
      <c r="AE1220" s="196">
        <f t="shared" si="199"/>
        <v>0</v>
      </c>
      <c r="AF1220" s="2">
        <f t="shared" si="200"/>
        <v>0</v>
      </c>
      <c r="AG1220" s="2">
        <f t="shared" si="201"/>
        <v>0</v>
      </c>
    </row>
    <row r="1221" spans="1:33">
      <c r="A1221" s="20" t="s">
        <v>7511</v>
      </c>
      <c r="B1221" s="156"/>
      <c r="C1221" s="21" t="s">
        <v>14650</v>
      </c>
      <c r="D1221" s="109" t="s">
        <v>14627</v>
      </c>
      <c r="E1221" s="109" t="s">
        <v>14640</v>
      </c>
      <c r="F1221" s="391" t="s">
        <v>14651</v>
      </c>
      <c r="G1221" s="23" t="s">
        <v>14642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2"/>
        <v>0</v>
      </c>
      <c r="O1221" s="268">
        <f t="shared" si="203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7"/>
        <v>0</v>
      </c>
      <c r="AD1221" s="196">
        <f t="shared" si="198"/>
        <v>0</v>
      </c>
      <c r="AE1221" s="196">
        <f t="shared" si="199"/>
        <v>0</v>
      </c>
      <c r="AF1221" s="2">
        <f t="shared" si="200"/>
        <v>0</v>
      </c>
      <c r="AG1221" s="2">
        <f t="shared" si="201"/>
        <v>0</v>
      </c>
    </row>
    <row r="1222" spans="1:33">
      <c r="A1222" s="20" t="s">
        <v>7865</v>
      </c>
      <c r="B1222" s="156"/>
      <c r="C1222" s="21" t="s">
        <v>14652</v>
      </c>
      <c r="D1222" s="109" t="s">
        <v>14591</v>
      </c>
      <c r="E1222" s="109"/>
      <c r="F1222" s="391" t="s">
        <v>14653</v>
      </c>
      <c r="G1222" s="23" t="s">
        <v>14654</v>
      </c>
      <c r="H1222" s="23"/>
      <c r="I1222" s="23"/>
      <c r="J1222" s="23"/>
      <c r="K1222" s="23"/>
      <c r="L1222" s="375" t="s">
        <v>7787</v>
      </c>
      <c r="M1222" s="351" t="s">
        <v>7787</v>
      </c>
      <c r="N1222" s="267">
        <f t="shared" si="202"/>
        <v>0</v>
      </c>
      <c r="O1222" s="268">
        <f t="shared" si="203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7"/>
        <v>0</v>
      </c>
      <c r="AD1222" s="196">
        <f t="shared" si="198"/>
        <v>0</v>
      </c>
      <c r="AE1222" s="196">
        <f t="shared" si="199"/>
        <v>0</v>
      </c>
      <c r="AF1222" s="2">
        <f t="shared" si="200"/>
        <v>0</v>
      </c>
      <c r="AG1222" s="2">
        <f t="shared" si="201"/>
        <v>0</v>
      </c>
    </row>
    <row r="1223" spans="1:33">
      <c r="A1223" s="20" t="s">
        <v>7724</v>
      </c>
      <c r="B1223" s="156"/>
      <c r="C1223" s="21" t="s">
        <v>14655</v>
      </c>
      <c r="D1223" s="109" t="s">
        <v>14591</v>
      </c>
      <c r="E1223" s="109"/>
      <c r="F1223" s="391" t="s">
        <v>14656</v>
      </c>
      <c r="G1223" s="23" t="s">
        <v>14637</v>
      </c>
      <c r="H1223" s="23"/>
      <c r="I1223" s="23"/>
      <c r="J1223" s="23"/>
      <c r="K1223" s="23"/>
      <c r="L1223" s="375"/>
      <c r="M1223" s="351" t="s">
        <v>7787</v>
      </c>
      <c r="N1223" s="267">
        <f t="shared" si="202"/>
        <v>0</v>
      </c>
      <c r="O1223" s="268">
        <f t="shared" si="203"/>
        <v>0</v>
      </c>
      <c r="P1223" s="239"/>
      <c r="Q1223" s="239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79"/>
      <c r="AB1223" s="238"/>
      <c r="AC1223" s="196">
        <f t="shared" si="197"/>
        <v>0</v>
      </c>
      <c r="AD1223" s="196">
        <f t="shared" si="198"/>
        <v>0</v>
      </c>
      <c r="AE1223" s="196">
        <f t="shared" si="199"/>
        <v>0</v>
      </c>
      <c r="AF1223" s="2">
        <f t="shared" si="200"/>
        <v>0</v>
      </c>
      <c r="AG1223" s="2">
        <f t="shared" si="201"/>
        <v>0</v>
      </c>
    </row>
    <row r="1224" spans="1:33">
      <c r="A1224" s="20" t="s">
        <v>7316</v>
      </c>
      <c r="B1224" s="156"/>
      <c r="C1224" s="21" t="s">
        <v>14657</v>
      </c>
      <c r="D1224" s="109" t="s">
        <v>14591</v>
      </c>
      <c r="E1224" s="109"/>
      <c r="F1224" s="391" t="s">
        <v>14658</v>
      </c>
      <c r="G1224" s="23" t="s">
        <v>13951</v>
      </c>
      <c r="H1224" s="23"/>
      <c r="I1224" s="23"/>
      <c r="J1224" s="23"/>
      <c r="K1224" s="23"/>
      <c r="L1224" s="375"/>
      <c r="M1224" s="351"/>
      <c r="N1224" s="267">
        <f t="shared" si="202"/>
        <v>0</v>
      </c>
      <c r="O1224" s="268">
        <f t="shared" si="203"/>
        <v>0</v>
      </c>
      <c r="P1224" s="248"/>
      <c r="Q1224" s="248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48"/>
      <c r="AB1224" s="238"/>
      <c r="AC1224" s="196">
        <f t="shared" si="197"/>
        <v>0</v>
      </c>
      <c r="AD1224" s="196">
        <f t="shared" si="198"/>
        <v>0</v>
      </c>
      <c r="AE1224" s="196">
        <f t="shared" si="199"/>
        <v>0</v>
      </c>
      <c r="AF1224" s="2">
        <f t="shared" si="200"/>
        <v>0</v>
      </c>
      <c r="AG1224" s="2">
        <f t="shared" si="201"/>
        <v>0</v>
      </c>
    </row>
    <row r="1225" spans="1:33">
      <c r="A1225" s="20" t="s">
        <v>7316</v>
      </c>
      <c r="B1225" s="156"/>
      <c r="C1225" s="21" t="s">
        <v>8211</v>
      </c>
      <c r="D1225" s="109" t="s">
        <v>4070</v>
      </c>
      <c r="E1225" s="109" t="s">
        <v>14659</v>
      </c>
      <c r="F1225" s="391" t="s">
        <v>8212</v>
      </c>
      <c r="G1225" s="23" t="s">
        <v>5334</v>
      </c>
      <c r="H1225" s="23"/>
      <c r="I1225" s="23"/>
      <c r="J1225" s="23"/>
      <c r="K1225" s="23"/>
      <c r="L1225" s="375" t="s">
        <v>7787</v>
      </c>
      <c r="M1225" s="351" t="s">
        <v>7787</v>
      </c>
      <c r="N1225" s="267">
        <f t="shared" si="202"/>
        <v>0</v>
      </c>
      <c r="O1225" s="268">
        <f t="shared" si="203"/>
        <v>0</v>
      </c>
      <c r="P1225" s="239"/>
      <c r="Q1225" s="239"/>
      <c r="R1225" s="239"/>
      <c r="S1225" s="239"/>
      <c r="T1225" s="239"/>
      <c r="U1225" s="240"/>
      <c r="V1225" s="240"/>
      <c r="W1225" s="240"/>
      <c r="X1225" s="278"/>
      <c r="Y1225" s="237"/>
      <c r="Z1225" s="237"/>
      <c r="AA1225" s="279"/>
      <c r="AB1225" s="238"/>
      <c r="AC1225" s="196">
        <f t="shared" si="197"/>
        <v>0</v>
      </c>
      <c r="AD1225" s="196">
        <f t="shared" si="198"/>
        <v>0</v>
      </c>
      <c r="AE1225" s="196">
        <f t="shared" si="199"/>
        <v>0</v>
      </c>
      <c r="AF1225" s="2">
        <f t="shared" si="200"/>
        <v>0</v>
      </c>
      <c r="AG1225" s="2">
        <f t="shared" si="201"/>
        <v>0</v>
      </c>
    </row>
    <row r="1226" spans="1:33">
      <c r="A1226" s="20" t="s">
        <v>7866</v>
      </c>
      <c r="B1226" s="156"/>
      <c r="C1226" s="21" t="s">
        <v>7884</v>
      </c>
      <c r="D1226" s="109" t="s">
        <v>14591</v>
      </c>
      <c r="E1226" s="109"/>
      <c r="F1226" s="391" t="s">
        <v>14660</v>
      </c>
      <c r="G1226" s="23" t="s">
        <v>13951</v>
      </c>
      <c r="H1226" s="23" t="s">
        <v>13249</v>
      </c>
      <c r="I1226" s="23"/>
      <c r="J1226" s="23"/>
      <c r="K1226" s="23"/>
      <c r="L1226" s="375">
        <v>900</v>
      </c>
      <c r="M1226" s="351" t="s">
        <v>45</v>
      </c>
      <c r="N1226" s="267">
        <f t="shared" si="202"/>
        <v>900</v>
      </c>
      <c r="O1226" s="268">
        <f t="shared" si="203"/>
        <v>5650</v>
      </c>
      <c r="P1226" s="240"/>
      <c r="Q1226" s="239"/>
      <c r="R1226" s="239"/>
      <c r="S1226" s="240"/>
      <c r="T1226" s="239"/>
      <c r="U1226" s="239">
        <f>950-150+1900+2950</f>
        <v>5650</v>
      </c>
      <c r="V1226" s="239"/>
      <c r="W1226" s="240"/>
      <c r="X1226" s="278"/>
      <c r="Y1226" s="237"/>
      <c r="Z1226" s="237"/>
      <c r="AA1226" s="279"/>
      <c r="AB1226" s="238" t="s">
        <v>28023</v>
      </c>
      <c r="AC1226" s="196">
        <f t="shared" ref="AC1226:AC1289" si="204">SUM(P1226:AA1226)</f>
        <v>5650</v>
      </c>
      <c r="AD1226" s="196">
        <f t="shared" ref="AD1226:AD1289" si="205">SUM(P1226:AB1226)</f>
        <v>5650</v>
      </c>
      <c r="AE1226" s="196">
        <f t="shared" ref="AE1226:AE1289" si="206">SUM(AC1226-AD1226)</f>
        <v>0</v>
      </c>
      <c r="AF1226" s="2">
        <f t="shared" ref="AF1226:AF1289" si="207">+AC1226</f>
        <v>5650</v>
      </c>
      <c r="AG1226" s="2">
        <f t="shared" ref="AG1226:AG1289" si="208">+AC1226-AF1226</f>
        <v>0</v>
      </c>
    </row>
    <row r="1227" spans="1:33">
      <c r="A1227" s="20" t="s">
        <v>10752</v>
      </c>
      <c r="B1227" s="156"/>
      <c r="C1227" s="21" t="s">
        <v>7884</v>
      </c>
      <c r="D1227" s="109" t="s">
        <v>14661</v>
      </c>
      <c r="E1227" s="109" t="s">
        <v>13611</v>
      </c>
      <c r="F1227" s="391" t="s">
        <v>14660</v>
      </c>
      <c r="G1227" s="23" t="s">
        <v>14662</v>
      </c>
      <c r="H1227" s="23"/>
      <c r="I1227" s="23"/>
      <c r="J1227" s="23"/>
      <c r="K1227" s="23"/>
      <c r="L1227" s="375" t="s">
        <v>7787</v>
      </c>
      <c r="M1227" s="351"/>
      <c r="N1227" s="267">
        <f t="shared" si="202"/>
        <v>0</v>
      </c>
      <c r="O1227" s="268">
        <f t="shared" si="203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4"/>
        <v>0</v>
      </c>
      <c r="AD1227" s="196">
        <f t="shared" si="205"/>
        <v>0</v>
      </c>
      <c r="AE1227" s="196">
        <f t="shared" si="206"/>
        <v>0</v>
      </c>
      <c r="AF1227" s="2">
        <f t="shared" si="207"/>
        <v>0</v>
      </c>
      <c r="AG1227" s="2">
        <f t="shared" si="208"/>
        <v>0</v>
      </c>
    </row>
    <row r="1228" spans="1:33">
      <c r="A1228" s="20" t="s">
        <v>1802</v>
      </c>
      <c r="B1228" s="150"/>
      <c r="C1228" s="21" t="s">
        <v>756</v>
      </c>
      <c r="D1228" s="109" t="s">
        <v>13949</v>
      </c>
      <c r="E1228" s="109"/>
      <c r="F1228" s="391" t="s">
        <v>14663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 t="s">
        <v>7787</v>
      </c>
      <c r="N1228" s="267">
        <f t="shared" si="202"/>
        <v>0</v>
      </c>
      <c r="O1228" s="268">
        <f t="shared" si="203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4"/>
        <v>0</v>
      </c>
      <c r="AD1228" s="196">
        <f t="shared" si="205"/>
        <v>0</v>
      </c>
      <c r="AE1228" s="196">
        <f t="shared" si="206"/>
        <v>0</v>
      </c>
      <c r="AF1228" s="2">
        <f t="shared" si="207"/>
        <v>0</v>
      </c>
      <c r="AG1228" s="2">
        <f t="shared" si="208"/>
        <v>0</v>
      </c>
    </row>
    <row r="1229" spans="1:33">
      <c r="A1229" s="20" t="s">
        <v>8215</v>
      </c>
      <c r="B1229" s="150"/>
      <c r="C1229" s="21" t="s">
        <v>14664</v>
      </c>
      <c r="D1229" s="109" t="s">
        <v>14665</v>
      </c>
      <c r="E1229" s="109"/>
      <c r="F1229" s="391" t="s">
        <v>14666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2"/>
        <v>0</v>
      </c>
      <c r="O1229" s="268">
        <f t="shared" si="203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4"/>
        <v>0</v>
      </c>
      <c r="AD1229" s="196">
        <f t="shared" si="205"/>
        <v>0</v>
      </c>
      <c r="AE1229" s="196">
        <f t="shared" si="206"/>
        <v>0</v>
      </c>
      <c r="AF1229" s="2">
        <f t="shared" si="207"/>
        <v>0</v>
      </c>
      <c r="AG1229" s="2">
        <f t="shared" si="208"/>
        <v>0</v>
      </c>
    </row>
    <row r="1230" spans="1:33">
      <c r="A1230" s="20" t="s">
        <v>7727</v>
      </c>
      <c r="B1230" s="150"/>
      <c r="C1230" s="21" t="s">
        <v>14667</v>
      </c>
      <c r="D1230" s="109" t="s">
        <v>14665</v>
      </c>
      <c r="E1230" s="109"/>
      <c r="F1230" s="391" t="s">
        <v>14668</v>
      </c>
      <c r="G1230" s="23" t="s">
        <v>14562</v>
      </c>
      <c r="H1230" s="23"/>
      <c r="I1230" s="23"/>
      <c r="J1230" s="23"/>
      <c r="K1230" s="23"/>
      <c r="L1230" s="375" t="s">
        <v>7787</v>
      </c>
      <c r="M1230" s="351"/>
      <c r="N1230" s="267">
        <f t="shared" si="202"/>
        <v>0</v>
      </c>
      <c r="O1230" s="268">
        <f t="shared" si="203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4"/>
        <v>0</v>
      </c>
      <c r="AD1230" s="196">
        <f t="shared" si="205"/>
        <v>0</v>
      </c>
      <c r="AE1230" s="196">
        <f t="shared" si="206"/>
        <v>0</v>
      </c>
      <c r="AF1230" s="2">
        <f t="shared" si="207"/>
        <v>0</v>
      </c>
      <c r="AG1230" s="2">
        <f t="shared" si="208"/>
        <v>0</v>
      </c>
    </row>
    <row r="1231" spans="1:33">
      <c r="A1231" s="20" t="s">
        <v>7863</v>
      </c>
      <c r="B1231" s="150"/>
      <c r="C1231" s="21" t="s">
        <v>14669</v>
      </c>
      <c r="D1231" s="109" t="s">
        <v>14661</v>
      </c>
      <c r="E1231" s="109" t="s">
        <v>13608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2"/>
        <v>0</v>
      </c>
      <c r="O1231" s="268">
        <f t="shared" si="203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4"/>
        <v>0</v>
      </c>
      <c r="AD1231" s="196">
        <f t="shared" si="205"/>
        <v>0</v>
      </c>
      <c r="AE1231" s="196">
        <f t="shared" si="206"/>
        <v>0</v>
      </c>
      <c r="AF1231" s="2">
        <f t="shared" si="207"/>
        <v>0</v>
      </c>
      <c r="AG1231" s="2">
        <f t="shared" si="208"/>
        <v>0</v>
      </c>
    </row>
    <row r="1232" spans="1:33">
      <c r="A1232" s="20" t="s">
        <v>7864</v>
      </c>
      <c r="B1232" s="150"/>
      <c r="C1232" s="21" t="s">
        <v>14669</v>
      </c>
      <c r="D1232" s="109" t="s">
        <v>14661</v>
      </c>
      <c r="E1232" s="109" t="s">
        <v>13611</v>
      </c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2"/>
        <v>0</v>
      </c>
      <c r="O1232" s="268">
        <f t="shared" si="203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4"/>
        <v>0</v>
      </c>
      <c r="AD1232" s="196">
        <f t="shared" si="205"/>
        <v>0</v>
      </c>
      <c r="AE1232" s="196">
        <f t="shared" si="206"/>
        <v>0</v>
      </c>
      <c r="AF1232" s="2">
        <f t="shared" si="207"/>
        <v>0</v>
      </c>
      <c r="AG1232" s="2">
        <f t="shared" si="208"/>
        <v>0</v>
      </c>
    </row>
    <row r="1233" spans="1:33">
      <c r="A1233" s="20" t="s">
        <v>7446</v>
      </c>
      <c r="B1233" s="150"/>
      <c r="C1233" s="21" t="s">
        <v>14669</v>
      </c>
      <c r="D1233" s="109" t="s">
        <v>6606</v>
      </c>
      <c r="E1233" s="109"/>
      <c r="F1233" s="391" t="s">
        <v>14670</v>
      </c>
      <c r="G1233" s="23" t="s">
        <v>14598</v>
      </c>
      <c r="H1233" s="23"/>
      <c r="I1233" s="23"/>
      <c r="J1233" s="23"/>
      <c r="K1233" s="23"/>
      <c r="L1233" s="375" t="s">
        <v>7787</v>
      </c>
      <c r="M1233" s="351" t="s">
        <v>7787</v>
      </c>
      <c r="N1233" s="267">
        <f t="shared" si="202"/>
        <v>0</v>
      </c>
      <c r="O1233" s="268">
        <f t="shared" si="203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4"/>
        <v>0</v>
      </c>
      <c r="AD1233" s="196">
        <f t="shared" si="205"/>
        <v>0</v>
      </c>
      <c r="AE1233" s="196">
        <f t="shared" si="206"/>
        <v>0</v>
      </c>
      <c r="AF1233" s="2">
        <f t="shared" si="207"/>
        <v>0</v>
      </c>
      <c r="AG1233" s="2">
        <f t="shared" si="208"/>
        <v>0</v>
      </c>
    </row>
    <row r="1234" spans="1:33">
      <c r="A1234" s="20" t="s">
        <v>7443</v>
      </c>
      <c r="B1234" s="150"/>
      <c r="C1234" s="21" t="s">
        <v>14671</v>
      </c>
      <c r="D1234" s="109" t="s">
        <v>14623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2"/>
        <v>0</v>
      </c>
      <c r="O1234" s="268">
        <f t="shared" si="203"/>
        <v>0</v>
      </c>
      <c r="P1234" s="239"/>
      <c r="Q1234" s="239"/>
      <c r="R1234" s="239"/>
      <c r="S1234" s="239"/>
      <c r="T1234" s="239"/>
      <c r="U1234" s="240"/>
      <c r="V1234" s="240"/>
      <c r="W1234" s="240"/>
      <c r="X1234" s="278"/>
      <c r="Y1234" s="237"/>
      <c r="Z1234" s="237"/>
      <c r="AA1234" s="279"/>
      <c r="AB1234" s="238"/>
      <c r="AC1234" s="196">
        <f t="shared" si="204"/>
        <v>0</v>
      </c>
      <c r="AD1234" s="196">
        <f t="shared" si="205"/>
        <v>0</v>
      </c>
      <c r="AE1234" s="196">
        <f t="shared" si="206"/>
        <v>0</v>
      </c>
      <c r="AF1234" s="2">
        <f t="shared" si="207"/>
        <v>0</v>
      </c>
      <c r="AG1234" s="2">
        <f t="shared" si="208"/>
        <v>0</v>
      </c>
    </row>
    <row r="1235" spans="1:33">
      <c r="A1235" s="20" t="s">
        <v>7517</v>
      </c>
      <c r="B1235" s="150"/>
      <c r="C1235" s="21" t="s">
        <v>14671</v>
      </c>
      <c r="D1235" s="109" t="s">
        <v>14673</v>
      </c>
      <c r="E1235" s="109"/>
      <c r="F1235" s="391" t="s">
        <v>14672</v>
      </c>
      <c r="G1235" s="23" t="s">
        <v>14642</v>
      </c>
      <c r="H1235" s="23"/>
      <c r="I1235" s="23"/>
      <c r="J1235" s="23"/>
      <c r="K1235" s="23"/>
      <c r="L1235" s="375" t="s">
        <v>7787</v>
      </c>
      <c r="M1235" s="351"/>
      <c r="N1235" s="267">
        <f t="shared" si="202"/>
        <v>0</v>
      </c>
      <c r="O1235" s="268">
        <f t="shared" si="203"/>
        <v>0</v>
      </c>
      <c r="P1235" s="239"/>
      <c r="Q1235" s="239"/>
      <c r="R1235" s="239"/>
      <c r="S1235" s="239"/>
      <c r="T1235" s="239"/>
      <c r="U1235" s="240"/>
      <c r="V1235" s="239"/>
      <c r="W1235" s="240"/>
      <c r="X1235" s="278"/>
      <c r="Y1235" s="243"/>
      <c r="Z1235" s="237"/>
      <c r="AA1235" s="279"/>
      <c r="AB1235" s="238"/>
      <c r="AC1235" s="196">
        <f t="shared" si="204"/>
        <v>0</v>
      </c>
      <c r="AD1235" s="196">
        <f t="shared" si="205"/>
        <v>0</v>
      </c>
      <c r="AE1235" s="196">
        <f t="shared" si="206"/>
        <v>0</v>
      </c>
      <c r="AF1235" s="2">
        <f t="shared" si="207"/>
        <v>0</v>
      </c>
      <c r="AG1235" s="2">
        <f t="shared" si="208"/>
        <v>0</v>
      </c>
    </row>
    <row r="1236" spans="1:33">
      <c r="A1236" s="20" t="s">
        <v>7444</v>
      </c>
      <c r="B1236" s="150" t="s">
        <v>8854</v>
      </c>
      <c r="C1236" s="21" t="s">
        <v>8855</v>
      </c>
      <c r="D1236" s="109" t="s">
        <v>4070</v>
      </c>
      <c r="E1236" s="109" t="s">
        <v>8856</v>
      </c>
      <c r="F1236" s="391" t="s">
        <v>19771</v>
      </c>
      <c r="G1236" s="23" t="s">
        <v>8857</v>
      </c>
      <c r="H1236" s="23" t="s">
        <v>19770</v>
      </c>
      <c r="I1236" s="23"/>
      <c r="J1236" s="23"/>
      <c r="K1236" s="23"/>
      <c r="L1236" s="375" t="s">
        <v>7787</v>
      </c>
      <c r="M1236" s="351" t="s">
        <v>7787</v>
      </c>
      <c r="N1236" s="267">
        <f t="shared" si="202"/>
        <v>0</v>
      </c>
      <c r="O1236" s="268">
        <f t="shared" si="203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9"/>
      <c r="Z1236" s="237"/>
      <c r="AA1236" s="279"/>
      <c r="AB1236" s="238"/>
      <c r="AC1236" s="196">
        <f t="shared" si="204"/>
        <v>0</v>
      </c>
      <c r="AD1236" s="196">
        <f t="shared" si="205"/>
        <v>0</v>
      </c>
      <c r="AE1236" s="196">
        <f t="shared" si="206"/>
        <v>0</v>
      </c>
      <c r="AF1236" s="2">
        <f t="shared" si="207"/>
        <v>0</v>
      </c>
      <c r="AG1236" s="2">
        <f t="shared" si="208"/>
        <v>0</v>
      </c>
    </row>
    <row r="1237" spans="1:33">
      <c r="A1237" s="20" t="s">
        <v>7969</v>
      </c>
      <c r="B1237" s="150"/>
      <c r="C1237" s="21" t="s">
        <v>14674</v>
      </c>
      <c r="D1237" s="109" t="s">
        <v>14591</v>
      </c>
      <c r="E1237" s="109"/>
      <c r="F1237" s="391" t="s">
        <v>14675</v>
      </c>
      <c r="G1237" s="23" t="s">
        <v>13601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2"/>
        <v>0</v>
      </c>
      <c r="O1237" s="268">
        <f t="shared" si="203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4"/>
        <v>0</v>
      </c>
      <c r="AD1237" s="196">
        <f t="shared" si="205"/>
        <v>0</v>
      </c>
      <c r="AE1237" s="196">
        <f t="shared" si="206"/>
        <v>0</v>
      </c>
      <c r="AF1237" s="2">
        <f t="shared" si="207"/>
        <v>0</v>
      </c>
      <c r="AG1237" s="2">
        <f t="shared" si="208"/>
        <v>0</v>
      </c>
    </row>
    <row r="1238" spans="1:33">
      <c r="A1238" s="20" t="s">
        <v>19890</v>
      </c>
      <c r="B1238" s="150"/>
      <c r="C1238" s="21" t="s">
        <v>8043</v>
      </c>
      <c r="D1238" s="109" t="s">
        <v>19463</v>
      </c>
      <c r="E1238" s="109" t="s">
        <v>19464</v>
      </c>
      <c r="F1238" s="391" t="s">
        <v>8045</v>
      </c>
      <c r="G1238" s="23" t="s">
        <v>13249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2"/>
        <v>0</v>
      </c>
      <c r="O1238" s="268">
        <f t="shared" si="203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4"/>
        <v>0</v>
      </c>
      <c r="AD1238" s="196">
        <f t="shared" si="205"/>
        <v>0</v>
      </c>
      <c r="AE1238" s="196">
        <f t="shared" si="206"/>
        <v>0</v>
      </c>
      <c r="AF1238" s="2">
        <f t="shared" si="207"/>
        <v>0</v>
      </c>
      <c r="AG1238" s="2">
        <f t="shared" si="208"/>
        <v>0</v>
      </c>
    </row>
    <row r="1239" spans="1:33">
      <c r="A1239" s="20" t="s">
        <v>7595</v>
      </c>
      <c r="B1239" s="150"/>
      <c r="C1239" s="21" t="s">
        <v>14676</v>
      </c>
      <c r="D1239" s="109" t="s">
        <v>14623</v>
      </c>
      <c r="E1239" s="109" t="s">
        <v>14640</v>
      </c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2"/>
        <v>0</v>
      </c>
      <c r="O1239" s="268">
        <f t="shared" si="203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4"/>
        <v>0</v>
      </c>
      <c r="AD1239" s="196">
        <f t="shared" si="205"/>
        <v>0</v>
      </c>
      <c r="AE1239" s="196">
        <f t="shared" si="206"/>
        <v>0</v>
      </c>
      <c r="AF1239" s="2">
        <f t="shared" si="207"/>
        <v>0</v>
      </c>
      <c r="AG1239" s="2">
        <f t="shared" si="208"/>
        <v>0</v>
      </c>
    </row>
    <row r="1240" spans="1:33">
      <c r="A1240" s="20" t="s">
        <v>7601</v>
      </c>
      <c r="B1240" s="150"/>
      <c r="C1240" s="21" t="s">
        <v>14676</v>
      </c>
      <c r="D1240" s="109" t="s">
        <v>14610</v>
      </c>
      <c r="E1240" s="109"/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 t="s">
        <v>7787</v>
      </c>
      <c r="N1240" s="267">
        <f t="shared" si="202"/>
        <v>0</v>
      </c>
      <c r="O1240" s="268">
        <f t="shared" si="203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4"/>
        <v>0</v>
      </c>
      <c r="AD1240" s="196">
        <f t="shared" si="205"/>
        <v>0</v>
      </c>
      <c r="AE1240" s="196">
        <f t="shared" si="206"/>
        <v>0</v>
      </c>
      <c r="AF1240" s="2">
        <f t="shared" si="207"/>
        <v>0</v>
      </c>
      <c r="AG1240" s="2">
        <f t="shared" si="208"/>
        <v>0</v>
      </c>
    </row>
    <row r="1241" spans="1:33">
      <c r="A1241" s="20" t="s">
        <v>10753</v>
      </c>
      <c r="B1241" s="150"/>
      <c r="C1241" s="21" t="s">
        <v>14676</v>
      </c>
      <c r="D1241" s="109" t="s">
        <v>14678</v>
      </c>
      <c r="E1241" s="109" t="s">
        <v>13611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/>
      <c r="N1241" s="267">
        <f t="shared" si="202"/>
        <v>0</v>
      </c>
      <c r="O1241" s="268">
        <f t="shared" si="203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4"/>
        <v>0</v>
      </c>
      <c r="AD1241" s="196">
        <f t="shared" si="205"/>
        <v>0</v>
      </c>
      <c r="AE1241" s="196">
        <f t="shared" si="206"/>
        <v>0</v>
      </c>
      <c r="AF1241" s="2">
        <f t="shared" si="207"/>
        <v>0</v>
      </c>
      <c r="AG1241" s="2">
        <f t="shared" si="208"/>
        <v>0</v>
      </c>
    </row>
    <row r="1242" spans="1:33">
      <c r="A1242" s="20" t="s">
        <v>10832</v>
      </c>
      <c r="B1242" s="150"/>
      <c r="C1242" s="21" t="s">
        <v>14676</v>
      </c>
      <c r="D1242" s="109" t="s">
        <v>14678</v>
      </c>
      <c r="E1242" s="109" t="s">
        <v>14679</v>
      </c>
      <c r="F1242" s="391" t="s">
        <v>14677</v>
      </c>
      <c r="G1242" s="23" t="s">
        <v>14642</v>
      </c>
      <c r="H1242" s="23"/>
      <c r="I1242" s="23"/>
      <c r="J1242" s="23"/>
      <c r="K1242" s="23"/>
      <c r="L1242" s="375" t="s">
        <v>7787</v>
      </c>
      <c r="M1242" s="351" t="s">
        <v>7787</v>
      </c>
      <c r="N1242" s="267">
        <f t="shared" si="202"/>
        <v>0</v>
      </c>
      <c r="O1242" s="268">
        <f t="shared" si="203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4"/>
        <v>0</v>
      </c>
      <c r="AD1242" s="196">
        <f t="shared" si="205"/>
        <v>0</v>
      </c>
      <c r="AE1242" s="196">
        <f t="shared" si="206"/>
        <v>0</v>
      </c>
      <c r="AF1242" s="2">
        <f t="shared" si="207"/>
        <v>0</v>
      </c>
      <c r="AG1242" s="2">
        <f t="shared" si="208"/>
        <v>0</v>
      </c>
    </row>
    <row r="1243" spans="1:33">
      <c r="A1243" s="20" t="s">
        <v>1803</v>
      </c>
      <c r="B1243" s="150"/>
      <c r="C1243" s="21" t="s">
        <v>757</v>
      </c>
      <c r="D1243" s="109" t="s">
        <v>13949</v>
      </c>
      <c r="E1243" s="109"/>
      <c r="F1243" s="391" t="s">
        <v>14680</v>
      </c>
      <c r="G1243" s="23"/>
      <c r="H1243" s="23"/>
      <c r="I1243" s="23"/>
      <c r="J1243" s="23"/>
      <c r="K1243" s="23"/>
      <c r="L1243" s="350"/>
      <c r="M1243" s="351"/>
      <c r="N1243" s="267">
        <f t="shared" si="202"/>
        <v>0</v>
      </c>
      <c r="O1243" s="268">
        <f t="shared" si="203"/>
        <v>0</v>
      </c>
      <c r="P1243" s="239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4"/>
        <v>0</v>
      </c>
      <c r="AD1243" s="196">
        <f t="shared" si="205"/>
        <v>0</v>
      </c>
      <c r="AE1243" s="196">
        <f t="shared" si="206"/>
        <v>0</v>
      </c>
      <c r="AF1243" s="2">
        <f t="shared" si="207"/>
        <v>0</v>
      </c>
      <c r="AG1243" s="2">
        <f t="shared" si="208"/>
        <v>0</v>
      </c>
    </row>
    <row r="1244" spans="1:33">
      <c r="A1244" s="20" t="s">
        <v>1804</v>
      </c>
      <c r="B1244" s="150"/>
      <c r="C1244" s="21" t="s">
        <v>757</v>
      </c>
      <c r="D1244" s="109" t="s">
        <v>13613</v>
      </c>
      <c r="E1244" s="109"/>
      <c r="F1244" s="391" t="s">
        <v>14680</v>
      </c>
      <c r="G1244" s="23" t="s">
        <v>14637</v>
      </c>
      <c r="H1244" s="23"/>
      <c r="I1244" s="23"/>
      <c r="J1244" s="23"/>
      <c r="K1244" s="23"/>
      <c r="L1244" s="375" t="s">
        <v>7787</v>
      </c>
      <c r="M1244" s="351" t="s">
        <v>7787</v>
      </c>
      <c r="N1244" s="267">
        <f t="shared" si="202"/>
        <v>0</v>
      </c>
      <c r="O1244" s="268">
        <f t="shared" si="203"/>
        <v>0</v>
      </c>
      <c r="P1244" s="248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4"/>
        <v>0</v>
      </c>
      <c r="AD1244" s="196">
        <f t="shared" si="205"/>
        <v>0</v>
      </c>
      <c r="AE1244" s="196">
        <f t="shared" si="206"/>
        <v>0</v>
      </c>
      <c r="AF1244" s="2">
        <f t="shared" si="207"/>
        <v>0</v>
      </c>
      <c r="AG1244" s="2">
        <f t="shared" si="208"/>
        <v>0</v>
      </c>
    </row>
    <row r="1245" spans="1:33">
      <c r="A1245" s="20" t="s">
        <v>1805</v>
      </c>
      <c r="B1245" s="150"/>
      <c r="C1245" s="21" t="s">
        <v>757</v>
      </c>
      <c r="D1245" s="109" t="s">
        <v>13955</v>
      </c>
      <c r="E1245" s="109"/>
      <c r="F1245" s="391" t="s">
        <v>14680</v>
      </c>
      <c r="G1245" s="23"/>
      <c r="H1245" s="23"/>
      <c r="I1245" s="23"/>
      <c r="J1245" s="23"/>
      <c r="K1245" s="23"/>
      <c r="L1245" s="350"/>
      <c r="M1245" s="351"/>
      <c r="N1245" s="267">
        <f t="shared" si="202"/>
        <v>0</v>
      </c>
      <c r="O1245" s="268">
        <f t="shared" si="203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4"/>
        <v>0</v>
      </c>
      <c r="AD1245" s="196">
        <f t="shared" si="205"/>
        <v>0</v>
      </c>
      <c r="AE1245" s="196">
        <f t="shared" si="206"/>
        <v>0</v>
      </c>
      <c r="AF1245" s="2">
        <f t="shared" si="207"/>
        <v>0</v>
      </c>
      <c r="AG1245" s="2">
        <f t="shared" si="208"/>
        <v>0</v>
      </c>
    </row>
    <row r="1246" spans="1:33">
      <c r="A1246" s="20" t="s">
        <v>8266</v>
      </c>
      <c r="B1246" s="150"/>
      <c r="C1246" s="21" t="s">
        <v>14681</v>
      </c>
      <c r="D1246" s="109" t="s">
        <v>14682</v>
      </c>
      <c r="E1246" s="109"/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2"/>
        <v>0</v>
      </c>
      <c r="O1246" s="268">
        <f t="shared" si="203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4"/>
        <v>0</v>
      </c>
      <c r="AD1246" s="196">
        <f t="shared" si="205"/>
        <v>0</v>
      </c>
      <c r="AE1246" s="196">
        <f t="shared" si="206"/>
        <v>0</v>
      </c>
      <c r="AF1246" s="2">
        <f t="shared" si="207"/>
        <v>0</v>
      </c>
      <c r="AG1246" s="2">
        <f t="shared" si="208"/>
        <v>0</v>
      </c>
    </row>
    <row r="1247" spans="1:33">
      <c r="A1247" s="20" t="s">
        <v>8535</v>
      </c>
      <c r="B1247" s="150" t="s">
        <v>8532</v>
      </c>
      <c r="C1247" s="21" t="s">
        <v>14681</v>
      </c>
      <c r="D1247" s="109" t="s">
        <v>14596</v>
      </c>
      <c r="E1247" s="109" t="s">
        <v>14679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2"/>
        <v>0</v>
      </c>
      <c r="O1247" s="268">
        <f t="shared" si="203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4"/>
        <v>0</v>
      </c>
      <c r="AD1247" s="196">
        <f t="shared" si="205"/>
        <v>0</v>
      </c>
      <c r="AE1247" s="196">
        <f t="shared" si="206"/>
        <v>0</v>
      </c>
      <c r="AF1247" s="2">
        <f t="shared" si="207"/>
        <v>0</v>
      </c>
      <c r="AG1247" s="2">
        <f t="shared" si="208"/>
        <v>0</v>
      </c>
    </row>
    <row r="1248" spans="1:33">
      <c r="A1248" s="20" t="s">
        <v>8536</v>
      </c>
      <c r="B1248" s="150" t="s">
        <v>8533</v>
      </c>
      <c r="C1248" s="21" t="s">
        <v>14681</v>
      </c>
      <c r="D1248" s="109" t="s">
        <v>14596</v>
      </c>
      <c r="E1248" s="109" t="s">
        <v>14685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2"/>
        <v>0</v>
      </c>
      <c r="O1248" s="268">
        <f t="shared" si="203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4"/>
        <v>0</v>
      </c>
      <c r="AD1248" s="196">
        <f t="shared" si="205"/>
        <v>0</v>
      </c>
      <c r="AE1248" s="196">
        <f t="shared" si="206"/>
        <v>0</v>
      </c>
      <c r="AF1248" s="2">
        <f t="shared" si="207"/>
        <v>0</v>
      </c>
      <c r="AG1248" s="2">
        <f t="shared" si="208"/>
        <v>0</v>
      </c>
    </row>
    <row r="1249" spans="1:33">
      <c r="A1249" s="20" t="s">
        <v>8541</v>
      </c>
      <c r="B1249" s="150"/>
      <c r="C1249" s="21" t="s">
        <v>14681</v>
      </c>
      <c r="D1249" s="109" t="s">
        <v>14596</v>
      </c>
      <c r="E1249" s="109" t="s">
        <v>14686</v>
      </c>
      <c r="F1249" s="391" t="s">
        <v>14683</v>
      </c>
      <c r="G1249" s="23" t="s">
        <v>14684</v>
      </c>
      <c r="H1249" s="23"/>
      <c r="I1249" s="23"/>
      <c r="J1249" s="23"/>
      <c r="K1249" s="23"/>
      <c r="L1249" s="375" t="s">
        <v>7787</v>
      </c>
      <c r="M1249" s="351" t="s">
        <v>7787</v>
      </c>
      <c r="N1249" s="267">
        <f t="shared" si="202"/>
        <v>0</v>
      </c>
      <c r="O1249" s="268">
        <f t="shared" si="203"/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4"/>
        <v>0</v>
      </c>
      <c r="AD1249" s="196">
        <f t="shared" si="205"/>
        <v>0</v>
      </c>
      <c r="AE1249" s="196">
        <f t="shared" si="206"/>
        <v>0</v>
      </c>
      <c r="AF1249" s="2">
        <f t="shared" si="207"/>
        <v>0</v>
      </c>
      <c r="AG1249" s="2">
        <f t="shared" si="208"/>
        <v>0</v>
      </c>
    </row>
    <row r="1250" spans="1:33">
      <c r="A1250" s="20" t="s">
        <v>7602</v>
      </c>
      <c r="B1250" s="150"/>
      <c r="C1250" s="21" t="s">
        <v>14687</v>
      </c>
      <c r="D1250" s="109" t="s">
        <v>14627</v>
      </c>
      <c r="E1250" s="109" t="s">
        <v>14640</v>
      </c>
      <c r="F1250" s="391" t="s">
        <v>14688</v>
      </c>
      <c r="G1250" s="23" t="s">
        <v>14642</v>
      </c>
      <c r="H1250" s="23"/>
      <c r="I1250" s="23"/>
      <c r="J1250" s="23"/>
      <c r="K1250" s="23"/>
      <c r="L1250" s="375" t="s">
        <v>7787</v>
      </c>
      <c r="M1250" s="351"/>
      <c r="N1250" s="267">
        <f t="shared" ref="N1250:N1313" si="209">SUM(L1250:M1250)</f>
        <v>0</v>
      </c>
      <c r="O1250" s="268">
        <f t="shared" ref="O1250:O1313" si="210">SUM(P1250:Z1250)</f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4"/>
        <v>0</v>
      </c>
      <c r="AD1250" s="196">
        <f t="shared" si="205"/>
        <v>0</v>
      </c>
      <c r="AE1250" s="196">
        <f t="shared" si="206"/>
        <v>0</v>
      </c>
      <c r="AF1250" s="2">
        <f t="shared" si="207"/>
        <v>0</v>
      </c>
      <c r="AG1250" s="2">
        <f t="shared" si="208"/>
        <v>0</v>
      </c>
    </row>
    <row r="1251" spans="1:33">
      <c r="A1251" s="20" t="s">
        <v>7597</v>
      </c>
      <c r="B1251" s="150"/>
      <c r="C1251" s="21" t="s">
        <v>14689</v>
      </c>
      <c r="D1251" s="109" t="s">
        <v>14591</v>
      </c>
      <c r="E1251" s="109"/>
      <c r="F1251" s="391" t="s">
        <v>14690</v>
      </c>
      <c r="G1251" s="23" t="s">
        <v>14691</v>
      </c>
      <c r="H1251" s="23"/>
      <c r="I1251" s="23"/>
      <c r="J1251" s="23"/>
      <c r="K1251" s="23"/>
      <c r="L1251" s="375" t="s">
        <v>7787</v>
      </c>
      <c r="M1251" s="351"/>
      <c r="N1251" s="267">
        <f t="shared" si="209"/>
        <v>0</v>
      </c>
      <c r="O1251" s="268">
        <f t="shared" si="210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4"/>
        <v>0</v>
      </c>
      <c r="AD1251" s="196">
        <f t="shared" si="205"/>
        <v>0</v>
      </c>
      <c r="AE1251" s="196">
        <f t="shared" si="206"/>
        <v>0</v>
      </c>
      <c r="AF1251" s="2">
        <f t="shared" si="207"/>
        <v>0</v>
      </c>
      <c r="AG1251" s="2">
        <f t="shared" si="208"/>
        <v>0</v>
      </c>
    </row>
    <row r="1252" spans="1:33">
      <c r="A1252" s="20" t="s">
        <v>11535</v>
      </c>
      <c r="B1252" s="150"/>
      <c r="C1252" s="21" t="s">
        <v>14692</v>
      </c>
      <c r="D1252" s="109" t="s">
        <v>14693</v>
      </c>
      <c r="E1252" s="109"/>
      <c r="F1252" s="391" t="s">
        <v>14694</v>
      </c>
      <c r="G1252" s="23" t="s">
        <v>14695</v>
      </c>
      <c r="H1252" s="23"/>
      <c r="I1252" s="23"/>
      <c r="J1252" s="23"/>
      <c r="K1252" s="23"/>
      <c r="L1252" s="375"/>
      <c r="M1252" s="351" t="s">
        <v>7787</v>
      </c>
      <c r="N1252" s="267">
        <f t="shared" si="209"/>
        <v>0</v>
      </c>
      <c r="O1252" s="268">
        <f t="shared" si="210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4"/>
        <v>0</v>
      </c>
      <c r="AD1252" s="196">
        <f t="shared" si="205"/>
        <v>0</v>
      </c>
      <c r="AE1252" s="196">
        <f t="shared" si="206"/>
        <v>0</v>
      </c>
      <c r="AF1252" s="2">
        <f t="shared" si="207"/>
        <v>0</v>
      </c>
      <c r="AG1252" s="2">
        <f t="shared" si="208"/>
        <v>0</v>
      </c>
    </row>
    <row r="1253" spans="1:33">
      <c r="A1253" s="20" t="s">
        <v>8421</v>
      </c>
      <c r="B1253" s="150"/>
      <c r="C1253" s="21" t="s">
        <v>8525</v>
      </c>
      <c r="D1253" s="109" t="s">
        <v>14693</v>
      </c>
      <c r="E1253" s="109"/>
      <c r="F1253" s="391" t="s">
        <v>14696</v>
      </c>
      <c r="G1253" s="23" t="s">
        <v>14562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9"/>
        <v>0</v>
      </c>
      <c r="O1253" s="268">
        <f t="shared" si="210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4"/>
        <v>0</v>
      </c>
      <c r="AD1253" s="196">
        <f t="shared" si="205"/>
        <v>0</v>
      </c>
      <c r="AE1253" s="196">
        <f t="shared" si="206"/>
        <v>0</v>
      </c>
      <c r="AF1253" s="2">
        <f t="shared" si="207"/>
        <v>0</v>
      </c>
      <c r="AG1253" s="2">
        <f t="shared" si="208"/>
        <v>0</v>
      </c>
    </row>
    <row r="1254" spans="1:33">
      <c r="A1254" s="20" t="s">
        <v>8263</v>
      </c>
      <c r="B1254" s="150"/>
      <c r="C1254" s="21" t="s">
        <v>14697</v>
      </c>
      <c r="D1254" s="109" t="s">
        <v>13955</v>
      </c>
      <c r="E1254" s="109"/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9"/>
        <v>0</v>
      </c>
      <c r="O1254" s="268">
        <f t="shared" si="210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4"/>
        <v>0</v>
      </c>
      <c r="AD1254" s="196">
        <f t="shared" si="205"/>
        <v>0</v>
      </c>
      <c r="AE1254" s="196">
        <f t="shared" si="206"/>
        <v>0</v>
      </c>
      <c r="AF1254" s="2">
        <f t="shared" si="207"/>
        <v>0</v>
      </c>
      <c r="AG1254" s="2">
        <f t="shared" si="208"/>
        <v>0</v>
      </c>
    </row>
    <row r="1255" spans="1:33">
      <c r="A1255" s="20" t="s">
        <v>8558</v>
      </c>
      <c r="B1255" s="150"/>
      <c r="C1255" s="21" t="s">
        <v>14697</v>
      </c>
      <c r="D1255" s="109" t="s">
        <v>14596</v>
      </c>
      <c r="E1255" s="109" t="s">
        <v>13611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9"/>
        <v>0</v>
      </c>
      <c r="O1255" s="268">
        <f t="shared" si="210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4"/>
        <v>0</v>
      </c>
      <c r="AD1255" s="196">
        <f t="shared" si="205"/>
        <v>0</v>
      </c>
      <c r="AE1255" s="196">
        <f t="shared" si="206"/>
        <v>0</v>
      </c>
      <c r="AF1255" s="2">
        <f t="shared" si="207"/>
        <v>0</v>
      </c>
      <c r="AG1255" s="2">
        <f t="shared" si="208"/>
        <v>0</v>
      </c>
    </row>
    <row r="1256" spans="1:33">
      <c r="A1256" s="20" t="s">
        <v>9086</v>
      </c>
      <c r="B1256" s="150"/>
      <c r="C1256" s="21" t="s">
        <v>14697</v>
      </c>
      <c r="D1256" s="109" t="s">
        <v>14596</v>
      </c>
      <c r="E1256" s="109" t="s">
        <v>13608</v>
      </c>
      <c r="F1256" s="391" t="s">
        <v>14698</v>
      </c>
      <c r="G1256" s="23" t="s">
        <v>14684</v>
      </c>
      <c r="H1256" s="23"/>
      <c r="I1256" s="23"/>
      <c r="J1256" s="23"/>
      <c r="K1256" s="23"/>
      <c r="L1256" s="375" t="s">
        <v>7787</v>
      </c>
      <c r="M1256" s="351" t="s">
        <v>7787</v>
      </c>
      <c r="N1256" s="267">
        <f t="shared" si="209"/>
        <v>0</v>
      </c>
      <c r="O1256" s="268">
        <f t="shared" si="210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4"/>
        <v>0</v>
      </c>
      <c r="AD1256" s="196">
        <f t="shared" si="205"/>
        <v>0</v>
      </c>
      <c r="AE1256" s="196">
        <f t="shared" si="206"/>
        <v>0</v>
      </c>
      <c r="AF1256" s="2">
        <f t="shared" si="207"/>
        <v>0</v>
      </c>
      <c r="AG1256" s="2">
        <f t="shared" si="208"/>
        <v>0</v>
      </c>
    </row>
    <row r="1257" spans="1:33">
      <c r="A1257" s="20" t="s">
        <v>7604</v>
      </c>
      <c r="B1257" s="150"/>
      <c r="C1257" s="21" t="s">
        <v>14699</v>
      </c>
      <c r="D1257" s="109" t="s">
        <v>14591</v>
      </c>
      <c r="E1257" s="109"/>
      <c r="F1257" s="391" t="s">
        <v>14700</v>
      </c>
      <c r="G1257" s="23" t="s">
        <v>14691</v>
      </c>
      <c r="H1257" s="23"/>
      <c r="I1257" s="23"/>
      <c r="J1257" s="23"/>
      <c r="K1257" s="23"/>
      <c r="L1257" s="375" t="s">
        <v>7787</v>
      </c>
      <c r="M1257" s="351"/>
      <c r="N1257" s="267">
        <f t="shared" si="209"/>
        <v>0</v>
      </c>
      <c r="O1257" s="268">
        <f t="shared" si="210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4"/>
        <v>0</v>
      </c>
      <c r="AD1257" s="196">
        <f t="shared" si="205"/>
        <v>0</v>
      </c>
      <c r="AE1257" s="196">
        <f t="shared" si="206"/>
        <v>0</v>
      </c>
      <c r="AF1257" s="2">
        <f t="shared" si="207"/>
        <v>0</v>
      </c>
      <c r="AG1257" s="2">
        <f t="shared" si="208"/>
        <v>0</v>
      </c>
    </row>
    <row r="1258" spans="1:33">
      <c r="A1258" s="20" t="s">
        <v>9471</v>
      </c>
      <c r="B1258" s="150"/>
      <c r="C1258" s="21" t="s">
        <v>14701</v>
      </c>
      <c r="D1258" s="109" t="s">
        <v>14693</v>
      </c>
      <c r="E1258" s="109"/>
      <c r="F1258" s="391" t="s">
        <v>14702</v>
      </c>
      <c r="G1258" s="23" t="s">
        <v>14703</v>
      </c>
      <c r="H1258" s="23" t="s">
        <v>14704</v>
      </c>
      <c r="I1258" s="23" t="s">
        <v>14705</v>
      </c>
      <c r="J1258" s="23"/>
      <c r="K1258" s="23"/>
      <c r="L1258" s="375"/>
      <c r="M1258" s="351" t="s">
        <v>7787</v>
      </c>
      <c r="N1258" s="267">
        <f t="shared" si="209"/>
        <v>0</v>
      </c>
      <c r="O1258" s="268">
        <f t="shared" si="210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4"/>
        <v>0</v>
      </c>
      <c r="AD1258" s="196">
        <f t="shared" si="205"/>
        <v>0</v>
      </c>
      <c r="AE1258" s="196">
        <f t="shared" si="206"/>
        <v>0</v>
      </c>
      <c r="AF1258" s="2">
        <f t="shared" si="207"/>
        <v>0</v>
      </c>
      <c r="AG1258" s="2">
        <f t="shared" si="208"/>
        <v>0</v>
      </c>
    </row>
    <row r="1259" spans="1:33">
      <c r="A1259" s="20" t="s">
        <v>8049</v>
      </c>
      <c r="B1259" s="150"/>
      <c r="C1259" s="21" t="s">
        <v>14701</v>
      </c>
      <c r="D1259" s="109" t="s">
        <v>14591</v>
      </c>
      <c r="E1259" s="109"/>
      <c r="F1259" s="391" t="s">
        <v>14702</v>
      </c>
      <c r="G1259" s="23" t="s">
        <v>14638</v>
      </c>
      <c r="H1259" s="23"/>
      <c r="I1259" s="23"/>
      <c r="J1259" s="23"/>
      <c r="K1259" s="23"/>
      <c r="L1259" s="375" t="s">
        <v>7787</v>
      </c>
      <c r="M1259" s="351" t="s">
        <v>7787</v>
      </c>
      <c r="N1259" s="267">
        <f t="shared" si="209"/>
        <v>0</v>
      </c>
      <c r="O1259" s="268">
        <f t="shared" si="210"/>
        <v>0</v>
      </c>
      <c r="P1259" s="239"/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/>
      <c r="AC1259" s="196">
        <f t="shared" si="204"/>
        <v>0</v>
      </c>
      <c r="AD1259" s="196">
        <f t="shared" si="205"/>
        <v>0</v>
      </c>
      <c r="AE1259" s="196">
        <f t="shared" si="206"/>
        <v>0</v>
      </c>
      <c r="AF1259" s="2">
        <f t="shared" si="207"/>
        <v>0</v>
      </c>
      <c r="AG1259" s="2">
        <f t="shared" si="208"/>
        <v>0</v>
      </c>
    </row>
    <row r="1260" spans="1:33">
      <c r="A1260" s="20" t="s">
        <v>8047</v>
      </c>
      <c r="B1260" s="150"/>
      <c r="C1260" s="21" t="s">
        <v>14706</v>
      </c>
      <c r="D1260" s="109" t="s">
        <v>14693</v>
      </c>
      <c r="E1260" s="109"/>
      <c r="F1260" s="391" t="s">
        <v>14707</v>
      </c>
      <c r="G1260" s="23" t="s">
        <v>14562</v>
      </c>
      <c r="H1260" s="23"/>
      <c r="I1260" s="23"/>
      <c r="J1260" s="23"/>
      <c r="K1260" s="23"/>
      <c r="L1260" s="375" t="s">
        <v>45</v>
      </c>
      <c r="M1260" s="351" t="s">
        <v>45</v>
      </c>
      <c r="N1260" s="267">
        <f t="shared" si="209"/>
        <v>0</v>
      </c>
      <c r="O1260" s="268">
        <f t="shared" si="210"/>
        <v>300</v>
      </c>
      <c r="P1260" s="239">
        <f>2300-2000</f>
        <v>300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26501</v>
      </c>
      <c r="AC1260" s="196">
        <f t="shared" si="204"/>
        <v>300</v>
      </c>
      <c r="AD1260" s="196">
        <f t="shared" si="205"/>
        <v>300</v>
      </c>
      <c r="AE1260" s="196">
        <f t="shared" si="206"/>
        <v>0</v>
      </c>
      <c r="AF1260" s="2">
        <f t="shared" si="207"/>
        <v>300</v>
      </c>
      <c r="AG1260" s="2">
        <f t="shared" si="208"/>
        <v>0</v>
      </c>
    </row>
    <row r="1261" spans="1:33">
      <c r="A1261" s="20" t="s">
        <v>7873</v>
      </c>
      <c r="B1261" s="150"/>
      <c r="C1261" s="21" t="s">
        <v>7959</v>
      </c>
      <c r="D1261" s="109" t="s">
        <v>14645</v>
      </c>
      <c r="E1261" s="109"/>
      <c r="F1261" s="391" t="s">
        <v>14708</v>
      </c>
      <c r="G1261" s="23" t="s">
        <v>14709</v>
      </c>
      <c r="H1261" s="23" t="s">
        <v>14710</v>
      </c>
      <c r="I1261" s="23" t="s">
        <v>24058</v>
      </c>
      <c r="J1261" s="23"/>
      <c r="K1261" s="23" t="s">
        <v>13604</v>
      </c>
      <c r="L1261" s="375" t="s">
        <v>27774</v>
      </c>
      <c r="M1261" s="351" t="s">
        <v>7787</v>
      </c>
      <c r="N1261" s="267">
        <f t="shared" si="209"/>
        <v>0</v>
      </c>
      <c r="O1261" s="268">
        <f t="shared" si="210"/>
        <v>200</v>
      </c>
      <c r="P1261" s="239">
        <f>1200-1000</f>
        <v>200</v>
      </c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 t="s">
        <v>27772</v>
      </c>
      <c r="AC1261" s="196">
        <f t="shared" si="204"/>
        <v>200</v>
      </c>
      <c r="AD1261" s="196">
        <f t="shared" si="205"/>
        <v>200</v>
      </c>
      <c r="AE1261" s="196">
        <f t="shared" si="206"/>
        <v>0</v>
      </c>
      <c r="AF1261" s="2">
        <f t="shared" si="207"/>
        <v>200</v>
      </c>
      <c r="AG1261" s="2">
        <f t="shared" si="208"/>
        <v>0</v>
      </c>
    </row>
    <row r="1262" spans="1:33">
      <c r="A1262" s="20" t="s">
        <v>8048</v>
      </c>
      <c r="B1262" s="150"/>
      <c r="C1262" s="21" t="s">
        <v>7959</v>
      </c>
      <c r="D1262" s="109" t="s">
        <v>14682</v>
      </c>
      <c r="E1262" s="109"/>
      <c r="F1262" s="391" t="s">
        <v>14708</v>
      </c>
      <c r="G1262" s="23" t="s">
        <v>14711</v>
      </c>
      <c r="H1262" s="23"/>
      <c r="I1262" s="23"/>
      <c r="J1262" s="23"/>
      <c r="K1262" s="23"/>
      <c r="L1262" s="375" t="s">
        <v>7787</v>
      </c>
      <c r="M1262" s="351"/>
      <c r="N1262" s="267">
        <f t="shared" si="209"/>
        <v>0</v>
      </c>
      <c r="O1262" s="268">
        <f t="shared" si="210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4"/>
        <v>0</v>
      </c>
      <c r="AD1262" s="196">
        <f t="shared" si="205"/>
        <v>0</v>
      </c>
      <c r="AE1262" s="196">
        <f t="shared" si="206"/>
        <v>0</v>
      </c>
      <c r="AF1262" s="2">
        <f t="shared" si="207"/>
        <v>0</v>
      </c>
      <c r="AG1262" s="2">
        <f t="shared" si="208"/>
        <v>0</v>
      </c>
    </row>
    <row r="1263" spans="1:33">
      <c r="A1263" s="20" t="s">
        <v>7776</v>
      </c>
      <c r="B1263" s="150"/>
      <c r="C1263" s="21" t="s">
        <v>14712</v>
      </c>
      <c r="D1263" s="109" t="s">
        <v>14591</v>
      </c>
      <c r="E1263" s="109"/>
      <c r="F1263" s="391" t="s">
        <v>14713</v>
      </c>
      <c r="G1263" s="23" t="s">
        <v>14691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9"/>
        <v>0</v>
      </c>
      <c r="O1263" s="268">
        <f t="shared" si="210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4"/>
        <v>0</v>
      </c>
      <c r="AD1263" s="196">
        <f t="shared" si="205"/>
        <v>0</v>
      </c>
      <c r="AE1263" s="196">
        <f t="shared" si="206"/>
        <v>0</v>
      </c>
      <c r="AF1263" s="2">
        <f t="shared" si="207"/>
        <v>0</v>
      </c>
      <c r="AG1263" s="2">
        <f t="shared" si="208"/>
        <v>0</v>
      </c>
    </row>
    <row r="1264" spans="1:33">
      <c r="A1264" s="20" t="s">
        <v>7596</v>
      </c>
      <c r="B1264" s="150"/>
      <c r="C1264" s="21" t="s">
        <v>14714</v>
      </c>
      <c r="D1264" s="109" t="s">
        <v>13613</v>
      </c>
      <c r="E1264" s="109"/>
      <c r="F1264" s="391" t="s">
        <v>14715</v>
      </c>
      <c r="G1264" s="23" t="s">
        <v>14716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9"/>
        <v>0</v>
      </c>
      <c r="O1264" s="268">
        <f t="shared" si="210"/>
        <v>0</v>
      </c>
      <c r="P1264" s="239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4"/>
        <v>0</v>
      </c>
      <c r="AD1264" s="196">
        <f t="shared" si="205"/>
        <v>0</v>
      </c>
      <c r="AE1264" s="196">
        <f t="shared" si="206"/>
        <v>0</v>
      </c>
      <c r="AF1264" s="2">
        <f t="shared" si="207"/>
        <v>0</v>
      </c>
      <c r="AG1264" s="2">
        <f t="shared" si="208"/>
        <v>0</v>
      </c>
    </row>
    <row r="1265" spans="1:33">
      <c r="A1265" s="20" t="s">
        <v>8265</v>
      </c>
      <c r="B1265" s="150"/>
      <c r="C1265" s="21" t="s">
        <v>8298</v>
      </c>
      <c r="D1265" s="109" t="s">
        <v>14693</v>
      </c>
      <c r="E1265" s="109" t="s">
        <v>14717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9"/>
        <v>0</v>
      </c>
      <c r="O1265" s="268">
        <f t="shared" si="210"/>
        <v>0</v>
      </c>
      <c r="P1265" s="248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4"/>
        <v>0</v>
      </c>
      <c r="AD1265" s="196">
        <f t="shared" si="205"/>
        <v>0</v>
      </c>
      <c r="AE1265" s="196">
        <f t="shared" si="206"/>
        <v>0</v>
      </c>
      <c r="AF1265" s="2">
        <f t="shared" si="207"/>
        <v>0</v>
      </c>
      <c r="AG1265" s="2">
        <f t="shared" si="208"/>
        <v>0</v>
      </c>
    </row>
    <row r="1266" spans="1:33">
      <c r="A1266" s="20" t="s">
        <v>12410</v>
      </c>
      <c r="B1266" s="150"/>
      <c r="C1266" s="21" t="s">
        <v>8298</v>
      </c>
      <c r="D1266" s="109" t="s">
        <v>14693</v>
      </c>
      <c r="E1266" s="202" t="s">
        <v>14719</v>
      </c>
      <c r="F1266" s="391" t="s">
        <v>14718</v>
      </c>
      <c r="G1266" s="23" t="s">
        <v>14562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9"/>
        <v>0</v>
      </c>
      <c r="O1266" s="268">
        <f t="shared" si="210"/>
        <v>0</v>
      </c>
      <c r="P1266" s="239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4"/>
        <v>0</v>
      </c>
      <c r="AD1266" s="196">
        <f t="shared" si="205"/>
        <v>0</v>
      </c>
      <c r="AE1266" s="196">
        <f t="shared" si="206"/>
        <v>0</v>
      </c>
      <c r="AF1266" s="2">
        <f t="shared" si="207"/>
        <v>0</v>
      </c>
      <c r="AG1266" s="2">
        <f t="shared" si="208"/>
        <v>0</v>
      </c>
    </row>
    <row r="1267" spans="1:33">
      <c r="A1267" s="20" t="s">
        <v>12650</v>
      </c>
      <c r="B1267" s="150"/>
      <c r="C1267" s="21" t="s">
        <v>8298</v>
      </c>
      <c r="D1267" s="109" t="s">
        <v>14645</v>
      </c>
      <c r="E1267" s="202" t="s">
        <v>14600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 t="s">
        <v>7787</v>
      </c>
      <c r="N1267" s="267">
        <f t="shared" si="209"/>
        <v>0</v>
      </c>
      <c r="O1267" s="268">
        <f t="shared" si="210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4"/>
        <v>0</v>
      </c>
      <c r="AD1267" s="196">
        <f t="shared" si="205"/>
        <v>0</v>
      </c>
      <c r="AE1267" s="196">
        <f t="shared" si="206"/>
        <v>0</v>
      </c>
      <c r="AF1267" s="2">
        <f t="shared" si="207"/>
        <v>0</v>
      </c>
      <c r="AG1267" s="2">
        <f t="shared" si="208"/>
        <v>0</v>
      </c>
    </row>
    <row r="1268" spans="1:33">
      <c r="A1268" s="20" t="s">
        <v>12651</v>
      </c>
      <c r="B1268" s="150"/>
      <c r="C1268" s="21" t="s">
        <v>8298</v>
      </c>
      <c r="D1268" s="109" t="s">
        <v>14661</v>
      </c>
      <c r="E1268" s="202" t="s">
        <v>13611</v>
      </c>
      <c r="F1268" s="391" t="s">
        <v>14718</v>
      </c>
      <c r="G1268" s="23" t="s">
        <v>14720</v>
      </c>
      <c r="H1268" s="23"/>
      <c r="I1268" s="23"/>
      <c r="J1268" s="23"/>
      <c r="K1268" s="23"/>
      <c r="L1268" s="375" t="s">
        <v>7787</v>
      </c>
      <c r="M1268" s="351"/>
      <c r="N1268" s="267">
        <f t="shared" si="209"/>
        <v>0</v>
      </c>
      <c r="O1268" s="268">
        <f t="shared" si="210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4"/>
        <v>0</v>
      </c>
      <c r="AD1268" s="196">
        <f t="shared" si="205"/>
        <v>0</v>
      </c>
      <c r="AE1268" s="196">
        <f t="shared" si="206"/>
        <v>0</v>
      </c>
      <c r="AF1268" s="2">
        <f t="shared" si="207"/>
        <v>0</v>
      </c>
      <c r="AG1268" s="2">
        <f t="shared" si="208"/>
        <v>0</v>
      </c>
    </row>
    <row r="1269" spans="1:33">
      <c r="A1269" s="20" t="s">
        <v>9219</v>
      </c>
      <c r="B1269" s="150"/>
      <c r="C1269" s="21" t="s">
        <v>14721</v>
      </c>
      <c r="D1269" s="109" t="s">
        <v>14596</v>
      </c>
      <c r="E1269" s="109" t="s">
        <v>13611</v>
      </c>
      <c r="F1269" s="391" t="s">
        <v>14722</v>
      </c>
      <c r="G1269" s="23" t="s">
        <v>13944</v>
      </c>
      <c r="H1269" s="23"/>
      <c r="I1269" s="23"/>
      <c r="J1269" s="23"/>
      <c r="K1269" s="23"/>
      <c r="L1269" s="375" t="s">
        <v>7787</v>
      </c>
      <c r="M1269" s="351" t="s">
        <v>7787</v>
      </c>
      <c r="N1269" s="267">
        <f t="shared" si="209"/>
        <v>0</v>
      </c>
      <c r="O1269" s="268">
        <f t="shared" si="210"/>
        <v>0</v>
      </c>
      <c r="P1269" s="248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4"/>
        <v>0</v>
      </c>
      <c r="AD1269" s="196">
        <f t="shared" si="205"/>
        <v>0</v>
      </c>
      <c r="AE1269" s="196">
        <f t="shared" si="206"/>
        <v>0</v>
      </c>
      <c r="AF1269" s="2">
        <f t="shared" si="207"/>
        <v>0</v>
      </c>
      <c r="AG1269" s="2">
        <f t="shared" si="208"/>
        <v>0</v>
      </c>
    </row>
    <row r="1270" spans="1:33">
      <c r="A1270" s="20" t="s">
        <v>7870</v>
      </c>
      <c r="B1270" s="150"/>
      <c r="C1270" s="21" t="s">
        <v>14721</v>
      </c>
      <c r="D1270" s="109" t="s">
        <v>14591</v>
      </c>
      <c r="E1270" s="109"/>
      <c r="F1270" s="391" t="s">
        <v>14723</v>
      </c>
      <c r="G1270" s="23" t="s">
        <v>14724</v>
      </c>
      <c r="H1270" s="23" t="s">
        <v>13731</v>
      </c>
      <c r="I1270" s="23"/>
      <c r="J1270" s="23"/>
      <c r="K1270" s="23"/>
      <c r="L1270" s="375" t="s">
        <v>7787</v>
      </c>
      <c r="M1270" s="351" t="s">
        <v>7787</v>
      </c>
      <c r="N1270" s="267">
        <f t="shared" si="209"/>
        <v>0</v>
      </c>
      <c r="O1270" s="268">
        <f t="shared" si="210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7"/>
      <c r="Z1270" s="237"/>
      <c r="AA1270" s="279"/>
      <c r="AB1270" s="238"/>
      <c r="AC1270" s="196">
        <f t="shared" si="204"/>
        <v>0</v>
      </c>
      <c r="AD1270" s="196">
        <f t="shared" si="205"/>
        <v>0</v>
      </c>
      <c r="AE1270" s="196">
        <f t="shared" si="206"/>
        <v>0</v>
      </c>
      <c r="AF1270" s="2">
        <f t="shared" si="207"/>
        <v>0</v>
      </c>
      <c r="AG1270" s="2">
        <f t="shared" si="208"/>
        <v>0</v>
      </c>
    </row>
    <row r="1271" spans="1:33">
      <c r="A1271" s="20" t="s">
        <v>8837</v>
      </c>
      <c r="B1271" s="150"/>
      <c r="C1271" s="21" t="s">
        <v>14721</v>
      </c>
      <c r="D1271" s="109" t="s">
        <v>14682</v>
      </c>
      <c r="E1271" s="109" t="s">
        <v>25258</v>
      </c>
      <c r="F1271" s="391" t="s">
        <v>14723</v>
      </c>
      <c r="G1271" s="23" t="s">
        <v>13944</v>
      </c>
      <c r="H1271" s="23" t="s">
        <v>13603</v>
      </c>
      <c r="I1271" s="23" t="s">
        <v>13601</v>
      </c>
      <c r="J1271" s="23"/>
      <c r="K1271" s="23"/>
      <c r="L1271" s="375" t="s">
        <v>7787</v>
      </c>
      <c r="M1271" s="351" t="s">
        <v>7787</v>
      </c>
      <c r="N1271" s="267">
        <f t="shared" si="209"/>
        <v>0</v>
      </c>
      <c r="O1271" s="268">
        <f t="shared" si="210"/>
        <v>0</v>
      </c>
      <c r="P1271" s="239"/>
      <c r="Q1271" s="239"/>
      <c r="R1271" s="239"/>
      <c r="S1271" s="239"/>
      <c r="T1271" s="239"/>
      <c r="U1271" s="240"/>
      <c r="V1271" s="240"/>
      <c r="W1271" s="240"/>
      <c r="X1271" s="278"/>
      <c r="Y1271" s="239"/>
      <c r="Z1271" s="237"/>
      <c r="AA1271" s="279"/>
      <c r="AB1271" s="238"/>
      <c r="AC1271" s="196">
        <f t="shared" si="204"/>
        <v>0</v>
      </c>
      <c r="AD1271" s="196">
        <f t="shared" si="205"/>
        <v>0</v>
      </c>
      <c r="AE1271" s="196">
        <f t="shared" si="206"/>
        <v>0</v>
      </c>
      <c r="AF1271" s="2">
        <f t="shared" si="207"/>
        <v>0</v>
      </c>
      <c r="AG1271" s="2">
        <f t="shared" si="208"/>
        <v>0</v>
      </c>
    </row>
    <row r="1272" spans="1:33">
      <c r="A1272" s="20" t="s">
        <v>7874</v>
      </c>
      <c r="B1272" s="150"/>
      <c r="C1272" s="21" t="s">
        <v>14725</v>
      </c>
      <c r="D1272" s="109" t="s">
        <v>14645</v>
      </c>
      <c r="E1272" s="109"/>
      <c r="F1272" s="391" t="s">
        <v>14726</v>
      </c>
      <c r="G1272" s="23" t="s">
        <v>13951</v>
      </c>
      <c r="H1272" s="23"/>
      <c r="I1272" s="23"/>
      <c r="J1272" s="23"/>
      <c r="K1272" s="23"/>
      <c r="L1272" s="375"/>
      <c r="M1272" s="351" t="s">
        <v>7787</v>
      </c>
      <c r="N1272" s="267">
        <f t="shared" si="209"/>
        <v>0</v>
      </c>
      <c r="O1272" s="268">
        <f t="shared" si="210"/>
        <v>0</v>
      </c>
      <c r="P1272" s="248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4"/>
        <v>0</v>
      </c>
      <c r="AD1272" s="196">
        <f t="shared" si="205"/>
        <v>0</v>
      </c>
      <c r="AE1272" s="196">
        <f t="shared" si="206"/>
        <v>0</v>
      </c>
      <c r="AF1272" s="2">
        <f t="shared" si="207"/>
        <v>0</v>
      </c>
      <c r="AG1272" s="2">
        <f t="shared" si="208"/>
        <v>0</v>
      </c>
    </row>
    <row r="1273" spans="1:33">
      <c r="A1273" s="20" t="s">
        <v>8217</v>
      </c>
      <c r="B1273" s="150"/>
      <c r="C1273" s="21" t="s">
        <v>14727</v>
      </c>
      <c r="D1273" s="109" t="s">
        <v>14693</v>
      </c>
      <c r="E1273" s="109"/>
      <c r="F1273" s="391" t="s">
        <v>14728</v>
      </c>
      <c r="G1273" s="23" t="s">
        <v>14635</v>
      </c>
      <c r="H1273" s="23" t="s">
        <v>14729</v>
      </c>
      <c r="I1273" s="23" t="s">
        <v>14730</v>
      </c>
      <c r="J1273" s="23"/>
      <c r="K1273" s="23"/>
      <c r="L1273" s="375" t="s">
        <v>7787</v>
      </c>
      <c r="M1273" s="351" t="s">
        <v>7787</v>
      </c>
      <c r="N1273" s="267">
        <f t="shared" si="209"/>
        <v>0</v>
      </c>
      <c r="O1273" s="268">
        <f t="shared" si="210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4"/>
        <v>0</v>
      </c>
      <c r="AD1273" s="196">
        <f t="shared" si="205"/>
        <v>0</v>
      </c>
      <c r="AE1273" s="196">
        <f t="shared" si="206"/>
        <v>0</v>
      </c>
      <c r="AF1273" s="2">
        <f t="shared" si="207"/>
        <v>0</v>
      </c>
      <c r="AG1273" s="2">
        <f t="shared" si="208"/>
        <v>0</v>
      </c>
    </row>
    <row r="1274" spans="1:33">
      <c r="A1274" s="20" t="s">
        <v>10451</v>
      </c>
      <c r="B1274" s="150"/>
      <c r="C1274" s="21" t="s">
        <v>10640</v>
      </c>
      <c r="D1274" s="109" t="s">
        <v>10641</v>
      </c>
      <c r="E1274" s="109" t="s">
        <v>4061</v>
      </c>
      <c r="F1274" s="391" t="s">
        <v>10642</v>
      </c>
      <c r="G1274" s="23" t="s">
        <v>10643</v>
      </c>
      <c r="H1274" s="23"/>
      <c r="I1274" s="23"/>
      <c r="J1274" s="23"/>
      <c r="K1274" s="23"/>
      <c r="L1274" s="375" t="s">
        <v>7787</v>
      </c>
      <c r="M1274" s="351" t="s">
        <v>7787</v>
      </c>
      <c r="N1274" s="267">
        <f t="shared" si="209"/>
        <v>0</v>
      </c>
      <c r="O1274" s="268">
        <f t="shared" si="210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4"/>
        <v>0</v>
      </c>
      <c r="AD1274" s="196">
        <f t="shared" si="205"/>
        <v>0</v>
      </c>
      <c r="AE1274" s="196">
        <f t="shared" si="206"/>
        <v>0</v>
      </c>
      <c r="AF1274" s="2">
        <f t="shared" si="207"/>
        <v>0</v>
      </c>
      <c r="AG1274" s="2">
        <f t="shared" si="208"/>
        <v>0</v>
      </c>
    </row>
    <row r="1275" spans="1:33">
      <c r="A1275" s="20" t="s">
        <v>9769</v>
      </c>
      <c r="B1275" s="150"/>
      <c r="C1275" s="21" t="s">
        <v>10640</v>
      </c>
      <c r="D1275" s="109" t="s">
        <v>10644</v>
      </c>
      <c r="E1275" s="109"/>
      <c r="F1275" s="391" t="s">
        <v>10642</v>
      </c>
      <c r="G1275" s="23" t="s">
        <v>10645</v>
      </c>
      <c r="H1275" s="23"/>
      <c r="I1275" s="23"/>
      <c r="J1275" s="23"/>
      <c r="K1275" s="23"/>
      <c r="L1275" s="375" t="s">
        <v>7787</v>
      </c>
      <c r="M1275" s="351"/>
      <c r="N1275" s="267">
        <f t="shared" si="209"/>
        <v>0</v>
      </c>
      <c r="O1275" s="268">
        <f t="shared" si="210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7"/>
      <c r="Z1275" s="237"/>
      <c r="AA1275" s="279"/>
      <c r="AB1275" s="238"/>
      <c r="AC1275" s="196">
        <f t="shared" si="204"/>
        <v>0</v>
      </c>
      <c r="AD1275" s="196">
        <f t="shared" si="205"/>
        <v>0</v>
      </c>
      <c r="AE1275" s="196">
        <f t="shared" si="206"/>
        <v>0</v>
      </c>
      <c r="AF1275" s="2">
        <f t="shared" si="207"/>
        <v>0</v>
      </c>
      <c r="AG1275" s="2">
        <f t="shared" si="208"/>
        <v>0</v>
      </c>
    </row>
    <row r="1276" spans="1:33">
      <c r="A1276" s="20" t="s">
        <v>8344</v>
      </c>
      <c r="B1276" s="150"/>
      <c r="C1276" s="21" t="s">
        <v>14731</v>
      </c>
      <c r="D1276" s="109" t="s">
        <v>14618</v>
      </c>
      <c r="E1276" s="109"/>
      <c r="F1276" s="391" t="s">
        <v>14732</v>
      </c>
      <c r="G1276" s="23" t="s">
        <v>14703</v>
      </c>
      <c r="H1276" s="23" t="s">
        <v>13951</v>
      </c>
      <c r="I1276" s="23" t="s">
        <v>14730</v>
      </c>
      <c r="J1276" s="23"/>
      <c r="K1276" s="23"/>
      <c r="L1276" s="375" t="s">
        <v>7787</v>
      </c>
      <c r="M1276" s="351" t="s">
        <v>7787</v>
      </c>
      <c r="N1276" s="267">
        <f t="shared" si="209"/>
        <v>0</v>
      </c>
      <c r="O1276" s="268">
        <f t="shared" si="210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4"/>
        <v>0</v>
      </c>
      <c r="AD1276" s="196">
        <f t="shared" si="205"/>
        <v>0</v>
      </c>
      <c r="AE1276" s="196">
        <f t="shared" si="206"/>
        <v>0</v>
      </c>
      <c r="AF1276" s="2">
        <f t="shared" si="207"/>
        <v>0</v>
      </c>
      <c r="AG1276" s="2">
        <f t="shared" si="208"/>
        <v>0</v>
      </c>
    </row>
    <row r="1277" spans="1:33">
      <c r="A1277" s="20" t="s">
        <v>9857</v>
      </c>
      <c r="B1277" s="150"/>
      <c r="C1277" s="21" t="s">
        <v>14731</v>
      </c>
      <c r="D1277" s="109" t="s">
        <v>14733</v>
      </c>
      <c r="E1277" s="109"/>
      <c r="F1277" s="391" t="s">
        <v>14732</v>
      </c>
      <c r="G1277" s="23" t="s">
        <v>14637</v>
      </c>
      <c r="H1277" s="23"/>
      <c r="I1277" s="23"/>
      <c r="J1277" s="23"/>
      <c r="K1277" s="23"/>
      <c r="L1277" s="375" t="s">
        <v>7787</v>
      </c>
      <c r="M1277" s="351" t="s">
        <v>7787</v>
      </c>
      <c r="N1277" s="267">
        <f t="shared" si="209"/>
        <v>0</v>
      </c>
      <c r="O1277" s="268">
        <f t="shared" si="210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9"/>
      <c r="Z1277" s="237"/>
      <c r="AA1277" s="279"/>
      <c r="AB1277" s="238"/>
      <c r="AC1277" s="196">
        <f t="shared" si="204"/>
        <v>0</v>
      </c>
      <c r="AD1277" s="196">
        <f t="shared" si="205"/>
        <v>0</v>
      </c>
      <c r="AE1277" s="196">
        <f t="shared" si="206"/>
        <v>0</v>
      </c>
      <c r="AF1277" s="2">
        <f t="shared" si="207"/>
        <v>0</v>
      </c>
      <c r="AG1277" s="2">
        <f t="shared" si="208"/>
        <v>0</v>
      </c>
    </row>
    <row r="1278" spans="1:33">
      <c r="A1278" s="20" t="s">
        <v>11110</v>
      </c>
      <c r="B1278" s="150"/>
      <c r="C1278" s="21" t="s">
        <v>10640</v>
      </c>
      <c r="D1278" s="109" t="s">
        <v>14734</v>
      </c>
      <c r="E1278" s="109"/>
      <c r="F1278" s="391" t="s">
        <v>10642</v>
      </c>
      <c r="G1278" s="23" t="s">
        <v>14703</v>
      </c>
      <c r="H1278" s="23" t="s">
        <v>14735</v>
      </c>
      <c r="I1278" s="23"/>
      <c r="J1278" s="23"/>
      <c r="K1278" s="23"/>
      <c r="L1278" s="375" t="s">
        <v>7787</v>
      </c>
      <c r="M1278" s="351" t="s">
        <v>7787</v>
      </c>
      <c r="N1278" s="267">
        <f t="shared" si="209"/>
        <v>0</v>
      </c>
      <c r="O1278" s="268">
        <f t="shared" si="210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4"/>
        <v>0</v>
      </c>
      <c r="AD1278" s="196">
        <f t="shared" si="205"/>
        <v>0</v>
      </c>
      <c r="AE1278" s="196">
        <f t="shared" si="206"/>
        <v>0</v>
      </c>
      <c r="AF1278" s="2">
        <f t="shared" si="207"/>
        <v>0</v>
      </c>
      <c r="AG1278" s="2">
        <f t="shared" si="208"/>
        <v>0</v>
      </c>
    </row>
    <row r="1279" spans="1:33">
      <c r="A1279" s="20" t="s">
        <v>8269</v>
      </c>
      <c r="B1279" s="150"/>
      <c r="C1279" s="21" t="s">
        <v>14736</v>
      </c>
      <c r="D1279" s="109" t="s">
        <v>14591</v>
      </c>
      <c r="E1279" s="109"/>
      <c r="F1279" s="391" t="s">
        <v>14737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/>
      <c r="N1279" s="267">
        <f t="shared" si="209"/>
        <v>0</v>
      </c>
      <c r="O1279" s="268">
        <f t="shared" si="210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79"/>
      <c r="AB1279" s="238"/>
      <c r="AC1279" s="196">
        <f t="shared" si="204"/>
        <v>0</v>
      </c>
      <c r="AD1279" s="196">
        <f t="shared" si="205"/>
        <v>0</v>
      </c>
      <c r="AE1279" s="196">
        <f t="shared" si="206"/>
        <v>0</v>
      </c>
      <c r="AF1279" s="2">
        <f t="shared" si="207"/>
        <v>0</v>
      </c>
      <c r="AG1279" s="2">
        <f t="shared" si="208"/>
        <v>0</v>
      </c>
    </row>
    <row r="1280" spans="1:33">
      <c r="A1280" s="20" t="s">
        <v>8134</v>
      </c>
      <c r="B1280" s="150"/>
      <c r="C1280" s="21" t="s">
        <v>14738</v>
      </c>
      <c r="D1280" s="109" t="s">
        <v>14591</v>
      </c>
      <c r="E1280" s="109"/>
      <c r="F1280" s="391" t="s">
        <v>14739</v>
      </c>
      <c r="G1280" s="23" t="s">
        <v>14637</v>
      </c>
      <c r="H1280" s="23"/>
      <c r="I1280" s="23"/>
      <c r="J1280" s="23"/>
      <c r="K1280" s="23"/>
      <c r="L1280" s="375" t="s">
        <v>7787</v>
      </c>
      <c r="M1280" s="351" t="s">
        <v>7787</v>
      </c>
      <c r="N1280" s="267">
        <f t="shared" si="209"/>
        <v>0</v>
      </c>
      <c r="O1280" s="268">
        <f t="shared" si="210"/>
        <v>0</v>
      </c>
      <c r="P1280" s="239"/>
      <c r="Q1280" s="239"/>
      <c r="R1280" s="239"/>
      <c r="S1280" s="239"/>
      <c r="T1280" s="239"/>
      <c r="U1280" s="240"/>
      <c r="V1280" s="240"/>
      <c r="W1280" s="240"/>
      <c r="X1280" s="278"/>
      <c r="Y1280" s="237"/>
      <c r="Z1280" s="237"/>
      <c r="AA1280" s="239"/>
      <c r="AB1280" s="238"/>
      <c r="AC1280" s="196">
        <f t="shared" si="204"/>
        <v>0</v>
      </c>
      <c r="AD1280" s="196">
        <f t="shared" si="205"/>
        <v>0</v>
      </c>
      <c r="AE1280" s="196">
        <f t="shared" si="206"/>
        <v>0</v>
      </c>
      <c r="AF1280" s="2">
        <f t="shared" si="207"/>
        <v>0</v>
      </c>
      <c r="AG1280" s="2">
        <f t="shared" si="208"/>
        <v>0</v>
      </c>
    </row>
    <row r="1281" spans="1:33">
      <c r="A1281" s="20" t="s">
        <v>9503</v>
      </c>
      <c r="B1281" s="150"/>
      <c r="C1281" s="21" t="s">
        <v>14740</v>
      </c>
      <c r="D1281" s="109" t="s">
        <v>13613</v>
      </c>
      <c r="E1281" s="109" t="s">
        <v>14613</v>
      </c>
      <c r="F1281" s="391" t="s">
        <v>14741</v>
      </c>
      <c r="G1281" s="23" t="s">
        <v>14742</v>
      </c>
      <c r="H1281" s="23" t="s">
        <v>13951</v>
      </c>
      <c r="I1281" s="23"/>
      <c r="J1281" s="23"/>
      <c r="K1281" s="23"/>
      <c r="L1281" s="375" t="s">
        <v>7787</v>
      </c>
      <c r="M1281" s="351"/>
      <c r="N1281" s="267">
        <f t="shared" si="209"/>
        <v>0</v>
      </c>
      <c r="O1281" s="268">
        <f t="shared" si="210"/>
        <v>0</v>
      </c>
      <c r="P1281" s="239"/>
      <c r="Q1281" s="239"/>
      <c r="R1281" s="239"/>
      <c r="S1281" s="239"/>
      <c r="T1281" s="239"/>
      <c r="U1281" s="239"/>
      <c r="V1281" s="240"/>
      <c r="W1281" s="240"/>
      <c r="X1281" s="278"/>
      <c r="Y1281" s="237"/>
      <c r="Z1281" s="237"/>
      <c r="AA1281" s="247"/>
      <c r="AB1281" s="238"/>
      <c r="AC1281" s="196">
        <f t="shared" si="204"/>
        <v>0</v>
      </c>
      <c r="AD1281" s="196">
        <f t="shared" si="205"/>
        <v>0</v>
      </c>
      <c r="AE1281" s="196">
        <f t="shared" si="206"/>
        <v>0</v>
      </c>
      <c r="AF1281" s="2">
        <f t="shared" si="207"/>
        <v>0</v>
      </c>
      <c r="AG1281" s="2">
        <f t="shared" si="208"/>
        <v>0</v>
      </c>
    </row>
    <row r="1282" spans="1:33">
      <c r="A1282" s="20" t="s">
        <v>12652</v>
      </c>
      <c r="B1282" s="150"/>
      <c r="C1282" s="21" t="s">
        <v>14740</v>
      </c>
      <c r="D1282" s="109" t="s">
        <v>13613</v>
      </c>
      <c r="E1282" s="109" t="s">
        <v>13611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/>
      <c r="N1282" s="267">
        <f t="shared" si="209"/>
        <v>0</v>
      </c>
      <c r="O1282" s="268">
        <f t="shared" si="210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4"/>
        <v>0</v>
      </c>
      <c r="AD1282" s="196">
        <f t="shared" si="205"/>
        <v>0</v>
      </c>
      <c r="AE1282" s="196">
        <f t="shared" si="206"/>
        <v>0</v>
      </c>
      <c r="AF1282" s="2">
        <f t="shared" si="207"/>
        <v>0</v>
      </c>
      <c r="AG1282" s="2">
        <f t="shared" si="208"/>
        <v>0</v>
      </c>
    </row>
    <row r="1283" spans="1:33">
      <c r="A1283" s="20" t="s">
        <v>12653</v>
      </c>
      <c r="B1283" s="150"/>
      <c r="C1283" s="21" t="s">
        <v>14740</v>
      </c>
      <c r="D1283" s="109" t="s">
        <v>13613</v>
      </c>
      <c r="E1283" s="109" t="s">
        <v>14600</v>
      </c>
      <c r="F1283" s="391" t="s">
        <v>14741</v>
      </c>
      <c r="G1283" s="23" t="s">
        <v>14742</v>
      </c>
      <c r="H1283" s="23"/>
      <c r="I1283" s="23"/>
      <c r="J1283" s="23"/>
      <c r="K1283" s="23"/>
      <c r="L1283" s="375" t="s">
        <v>7787</v>
      </c>
      <c r="M1283" s="351" t="s">
        <v>7787</v>
      </c>
      <c r="N1283" s="267">
        <f t="shared" si="209"/>
        <v>0</v>
      </c>
      <c r="O1283" s="268">
        <f t="shared" si="210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4"/>
        <v>0</v>
      </c>
      <c r="AD1283" s="196">
        <f t="shared" si="205"/>
        <v>0</v>
      </c>
      <c r="AE1283" s="196">
        <f t="shared" si="206"/>
        <v>0</v>
      </c>
      <c r="AF1283" s="2">
        <f t="shared" si="207"/>
        <v>0</v>
      </c>
      <c r="AG1283" s="2">
        <f t="shared" si="208"/>
        <v>0</v>
      </c>
    </row>
    <row r="1284" spans="1:33">
      <c r="A1284" s="20" t="s">
        <v>8978</v>
      </c>
      <c r="B1284" s="150"/>
      <c r="C1284" s="21" t="s">
        <v>14743</v>
      </c>
      <c r="D1284" s="109" t="s">
        <v>13613</v>
      </c>
      <c r="E1284" s="109" t="s">
        <v>14613</v>
      </c>
      <c r="F1284" s="391" t="s">
        <v>14744</v>
      </c>
      <c r="G1284" s="23" t="s">
        <v>14615</v>
      </c>
      <c r="H1284" s="23" t="s">
        <v>14745</v>
      </c>
      <c r="I1284" s="23"/>
      <c r="J1284" s="23"/>
      <c r="K1284" s="23"/>
      <c r="L1284" s="375" t="s">
        <v>7787</v>
      </c>
      <c r="M1284" s="351" t="s">
        <v>7787</v>
      </c>
      <c r="N1284" s="267">
        <f t="shared" si="209"/>
        <v>0</v>
      </c>
      <c r="O1284" s="268">
        <f t="shared" si="210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4"/>
        <v>0</v>
      </c>
      <c r="AD1284" s="196">
        <f t="shared" si="205"/>
        <v>0</v>
      </c>
      <c r="AE1284" s="196">
        <f t="shared" si="206"/>
        <v>0</v>
      </c>
      <c r="AF1284" s="2">
        <f t="shared" si="207"/>
        <v>0</v>
      </c>
      <c r="AG1284" s="2">
        <f t="shared" si="208"/>
        <v>0</v>
      </c>
    </row>
    <row r="1285" spans="1:33">
      <c r="A1285" s="20" t="s">
        <v>18902</v>
      </c>
      <c r="B1285" s="150"/>
      <c r="C1285" s="21" t="s">
        <v>9031</v>
      </c>
      <c r="D1285" s="109" t="s">
        <v>8376</v>
      </c>
      <c r="E1285" s="109" t="s">
        <v>3132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9"/>
        <v>0</v>
      </c>
      <c r="O1285" s="268">
        <f t="shared" si="210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4"/>
        <v>0</v>
      </c>
      <c r="AD1285" s="196">
        <f t="shared" si="205"/>
        <v>0</v>
      </c>
      <c r="AE1285" s="196">
        <f t="shared" si="206"/>
        <v>0</v>
      </c>
      <c r="AF1285" s="2">
        <f t="shared" si="207"/>
        <v>0</v>
      </c>
      <c r="AG1285" s="2">
        <f t="shared" si="208"/>
        <v>0</v>
      </c>
    </row>
    <row r="1286" spans="1:33">
      <c r="A1286" s="20" t="s">
        <v>19891</v>
      </c>
      <c r="B1286" s="150"/>
      <c r="C1286" s="21" t="s">
        <v>9031</v>
      </c>
      <c r="D1286" s="109" t="s">
        <v>8376</v>
      </c>
      <c r="E1286" s="109" t="s">
        <v>19348</v>
      </c>
      <c r="F1286" s="391" t="s">
        <v>9050</v>
      </c>
      <c r="G1286" s="23" t="s">
        <v>19112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9"/>
        <v>0</v>
      </c>
      <c r="O1286" s="268">
        <f t="shared" si="210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4"/>
        <v>0</v>
      </c>
      <c r="AD1286" s="196">
        <f t="shared" si="205"/>
        <v>0</v>
      </c>
      <c r="AE1286" s="196">
        <f t="shared" si="206"/>
        <v>0</v>
      </c>
      <c r="AF1286" s="2">
        <f t="shared" si="207"/>
        <v>0</v>
      </c>
      <c r="AG1286" s="2">
        <f t="shared" si="208"/>
        <v>0</v>
      </c>
    </row>
    <row r="1287" spans="1:33">
      <c r="A1287" s="20" t="s">
        <v>10217</v>
      </c>
      <c r="B1287" s="150"/>
      <c r="C1287" s="21" t="s">
        <v>8669</v>
      </c>
      <c r="D1287" s="109" t="s">
        <v>14618</v>
      </c>
      <c r="E1287" s="109"/>
      <c r="F1287" s="391" t="s">
        <v>8670</v>
      </c>
      <c r="G1287" s="23" t="s">
        <v>14635</v>
      </c>
      <c r="H1287" s="23"/>
      <c r="I1287" s="23"/>
      <c r="J1287" s="23"/>
      <c r="K1287" s="23"/>
      <c r="L1287" s="375" t="s">
        <v>7787</v>
      </c>
      <c r="M1287" s="351" t="s">
        <v>7787</v>
      </c>
      <c r="N1287" s="267">
        <f t="shared" si="209"/>
        <v>0</v>
      </c>
      <c r="O1287" s="268">
        <f t="shared" si="210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4"/>
        <v>0</v>
      </c>
      <c r="AD1287" s="196">
        <f t="shared" si="205"/>
        <v>0</v>
      </c>
      <c r="AE1287" s="196">
        <f t="shared" si="206"/>
        <v>0</v>
      </c>
      <c r="AF1287" s="2">
        <f t="shared" si="207"/>
        <v>0</v>
      </c>
      <c r="AG1287" s="2">
        <f t="shared" si="208"/>
        <v>0</v>
      </c>
    </row>
    <row r="1288" spans="1:33">
      <c r="A1288" s="20" t="s">
        <v>8264</v>
      </c>
      <c r="B1288" s="150"/>
      <c r="C1288" s="21" t="s">
        <v>8669</v>
      </c>
      <c r="D1288" s="109" t="s">
        <v>13613</v>
      </c>
      <c r="E1288" s="109"/>
      <c r="F1288" s="391" t="s">
        <v>8670</v>
      </c>
      <c r="G1288" s="23" t="s">
        <v>8671</v>
      </c>
      <c r="H1288" s="23" t="s">
        <v>14637</v>
      </c>
      <c r="I1288" s="23" t="s">
        <v>14746</v>
      </c>
      <c r="J1288" s="23"/>
      <c r="K1288" s="23"/>
      <c r="L1288" s="375" t="s">
        <v>7787</v>
      </c>
      <c r="M1288" s="351" t="s">
        <v>7787</v>
      </c>
      <c r="N1288" s="267">
        <f t="shared" si="209"/>
        <v>0</v>
      </c>
      <c r="O1288" s="268">
        <f t="shared" si="210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7"/>
      <c r="Z1288" s="237"/>
      <c r="AA1288" s="247"/>
      <c r="AB1288" s="238"/>
      <c r="AC1288" s="196">
        <f t="shared" si="204"/>
        <v>0</v>
      </c>
      <c r="AD1288" s="196">
        <f t="shared" si="205"/>
        <v>0</v>
      </c>
      <c r="AE1288" s="196">
        <f t="shared" si="206"/>
        <v>0</v>
      </c>
      <c r="AF1288" s="2">
        <f t="shared" si="207"/>
        <v>0</v>
      </c>
      <c r="AG1288" s="2">
        <f t="shared" si="208"/>
        <v>0</v>
      </c>
    </row>
    <row r="1289" spans="1:33">
      <c r="A1289" s="20" t="s">
        <v>8565</v>
      </c>
      <c r="B1289" s="150"/>
      <c r="C1289" s="21" t="s">
        <v>14747</v>
      </c>
      <c r="D1289" s="109" t="s">
        <v>14591</v>
      </c>
      <c r="E1289" s="219" t="s">
        <v>14748</v>
      </c>
      <c r="F1289" s="391" t="s">
        <v>14749</v>
      </c>
      <c r="G1289" s="23" t="s">
        <v>14638</v>
      </c>
      <c r="H1289" s="23" t="s">
        <v>13951</v>
      </c>
      <c r="I1289" s="23"/>
      <c r="J1289" s="23"/>
      <c r="K1289" s="23"/>
      <c r="L1289" s="375" t="s">
        <v>7787</v>
      </c>
      <c r="M1289" s="351" t="s">
        <v>7787</v>
      </c>
      <c r="N1289" s="267">
        <f t="shared" si="209"/>
        <v>0</v>
      </c>
      <c r="O1289" s="268">
        <f t="shared" si="210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si="204"/>
        <v>0</v>
      </c>
      <c r="AD1289" s="196">
        <f t="shared" si="205"/>
        <v>0</v>
      </c>
      <c r="AE1289" s="196">
        <f t="shared" si="206"/>
        <v>0</v>
      </c>
      <c r="AF1289" s="2">
        <f t="shared" si="207"/>
        <v>0</v>
      </c>
      <c r="AG1289" s="2">
        <f t="shared" si="208"/>
        <v>0</v>
      </c>
    </row>
    <row r="1290" spans="1:33">
      <c r="A1290" s="20" t="s">
        <v>11015</v>
      </c>
      <c r="B1290" s="150"/>
      <c r="C1290" s="21" t="s">
        <v>11038</v>
      </c>
      <c r="D1290" s="109" t="s">
        <v>4070</v>
      </c>
      <c r="E1290" s="219" t="s">
        <v>10227</v>
      </c>
      <c r="F1290" s="391" t="s">
        <v>11039</v>
      </c>
      <c r="G1290" s="23" t="s">
        <v>5334</v>
      </c>
      <c r="H1290" s="23"/>
      <c r="I1290" s="23"/>
      <c r="J1290" s="23"/>
      <c r="K1290" s="23"/>
      <c r="L1290" s="375" t="s">
        <v>7787</v>
      </c>
      <c r="M1290" s="351"/>
      <c r="N1290" s="267">
        <f t="shared" si="209"/>
        <v>0</v>
      </c>
      <c r="O1290" s="268">
        <f t="shared" si="210"/>
        <v>0</v>
      </c>
      <c r="P1290" s="239"/>
      <c r="Q1290" s="239"/>
      <c r="R1290" s="239"/>
      <c r="S1290" s="239"/>
      <c r="T1290" s="239"/>
      <c r="U1290" s="240"/>
      <c r="V1290" s="240"/>
      <c r="W1290" s="240"/>
      <c r="X1290" s="278"/>
      <c r="Y1290" s="239"/>
      <c r="Z1290" s="237"/>
      <c r="AA1290" s="247"/>
      <c r="AB1290" s="238"/>
      <c r="AC1290" s="196">
        <f t="shared" ref="AC1290:AC1353" si="211">SUM(P1290:AA1290)</f>
        <v>0</v>
      </c>
      <c r="AD1290" s="196">
        <f t="shared" ref="AD1290:AD1353" si="212">SUM(P1290:AB1290)</f>
        <v>0</v>
      </c>
      <c r="AE1290" s="196">
        <f t="shared" ref="AE1290:AE1353" si="213">SUM(AC1290-AD1290)</f>
        <v>0</v>
      </c>
      <c r="AF1290" s="2">
        <f t="shared" ref="AF1290:AF1353" si="214">+AC1290</f>
        <v>0</v>
      </c>
      <c r="AG1290" s="2">
        <f t="shared" ref="AG1290:AG1353" si="215">+AC1290-AF1290</f>
        <v>0</v>
      </c>
    </row>
    <row r="1291" spans="1:33">
      <c r="A1291" s="20" t="s">
        <v>11111</v>
      </c>
      <c r="B1291" s="150"/>
      <c r="C1291" s="387" t="s">
        <v>14750</v>
      </c>
      <c r="D1291" s="219" t="s">
        <v>4070</v>
      </c>
      <c r="E1291" s="219" t="s">
        <v>14751</v>
      </c>
      <c r="F1291" s="395" t="s">
        <v>11039</v>
      </c>
      <c r="G1291" s="23" t="s">
        <v>13951</v>
      </c>
      <c r="H1291" s="23" t="s">
        <v>17175</v>
      </c>
      <c r="I1291" s="23"/>
      <c r="J1291" s="23"/>
      <c r="K1291" s="23"/>
      <c r="L1291" s="375" t="s">
        <v>7787</v>
      </c>
      <c r="M1291" s="351" t="s">
        <v>7787</v>
      </c>
      <c r="N1291" s="267">
        <f t="shared" si="209"/>
        <v>0</v>
      </c>
      <c r="O1291" s="268">
        <f t="shared" si="210"/>
        <v>0</v>
      </c>
      <c r="P1291" s="239"/>
      <c r="Q1291" s="239"/>
      <c r="R1291" s="239"/>
      <c r="S1291" s="239"/>
      <c r="T1291" s="239"/>
      <c r="U1291" s="240"/>
      <c r="V1291" s="239"/>
      <c r="W1291" s="240"/>
      <c r="X1291" s="278"/>
      <c r="Y1291" s="239"/>
      <c r="Z1291" s="237"/>
      <c r="AA1291" s="247"/>
      <c r="AB1291" s="238"/>
      <c r="AC1291" s="196">
        <f t="shared" si="211"/>
        <v>0</v>
      </c>
      <c r="AD1291" s="196">
        <f t="shared" si="212"/>
        <v>0</v>
      </c>
      <c r="AE1291" s="196">
        <f t="shared" si="213"/>
        <v>0</v>
      </c>
      <c r="AF1291" s="2">
        <f t="shared" si="214"/>
        <v>0</v>
      </c>
      <c r="AG1291" s="2">
        <f t="shared" si="215"/>
        <v>0</v>
      </c>
    </row>
    <row r="1292" spans="1:33">
      <c r="A1292" s="20" t="s">
        <v>8570</v>
      </c>
      <c r="B1292" s="150"/>
      <c r="C1292" s="21" t="s">
        <v>14752</v>
      </c>
      <c r="D1292" s="109" t="s">
        <v>14618</v>
      </c>
      <c r="E1292" s="109"/>
      <c r="F1292" s="391" t="s">
        <v>14753</v>
      </c>
      <c r="G1292" s="23" t="s">
        <v>14562</v>
      </c>
      <c r="H1292" s="23"/>
      <c r="I1292" s="23"/>
      <c r="J1292" s="23"/>
      <c r="K1292" s="23"/>
      <c r="L1292" s="375" t="s">
        <v>7787</v>
      </c>
      <c r="M1292" s="351"/>
      <c r="N1292" s="267">
        <f t="shared" si="209"/>
        <v>0</v>
      </c>
      <c r="O1292" s="268">
        <f t="shared" si="210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47"/>
      <c r="AB1292" s="238"/>
      <c r="AC1292" s="196">
        <f t="shared" si="211"/>
        <v>0</v>
      </c>
      <c r="AD1292" s="196">
        <f t="shared" si="212"/>
        <v>0</v>
      </c>
      <c r="AE1292" s="196">
        <f t="shared" si="213"/>
        <v>0</v>
      </c>
      <c r="AF1292" s="2">
        <f t="shared" si="214"/>
        <v>0</v>
      </c>
      <c r="AG1292" s="2">
        <f t="shared" si="215"/>
        <v>0</v>
      </c>
    </row>
    <row r="1293" spans="1:33">
      <c r="A1293" s="20" t="s">
        <v>8562</v>
      </c>
      <c r="B1293" s="150"/>
      <c r="C1293" s="21" t="s">
        <v>14754</v>
      </c>
      <c r="D1293" s="109" t="s">
        <v>14618</v>
      </c>
      <c r="E1293" s="109"/>
      <c r="F1293" s="391" t="s">
        <v>14755</v>
      </c>
      <c r="G1293" s="23" t="s">
        <v>14562</v>
      </c>
      <c r="H1293" s="23" t="s">
        <v>13889</v>
      </c>
      <c r="I1293" s="23"/>
      <c r="J1293" s="23"/>
      <c r="K1293" s="23"/>
      <c r="L1293" s="375" t="s">
        <v>7787</v>
      </c>
      <c r="M1293" s="351" t="s">
        <v>7787</v>
      </c>
      <c r="N1293" s="267">
        <f t="shared" si="209"/>
        <v>0</v>
      </c>
      <c r="O1293" s="268">
        <f t="shared" si="210"/>
        <v>0</v>
      </c>
      <c r="P1293" s="239"/>
      <c r="Q1293" s="239"/>
      <c r="R1293" s="239"/>
      <c r="S1293" s="239"/>
      <c r="T1293" s="239"/>
      <c r="U1293" s="240"/>
      <c r="V1293" s="240"/>
      <c r="W1293" s="240"/>
      <c r="X1293" s="278"/>
      <c r="Y1293" s="240"/>
      <c r="Z1293" s="237"/>
      <c r="AA1293" s="279"/>
      <c r="AB1293" s="238"/>
      <c r="AC1293" s="196">
        <f t="shared" si="211"/>
        <v>0</v>
      </c>
      <c r="AD1293" s="196">
        <f t="shared" si="212"/>
        <v>0</v>
      </c>
      <c r="AE1293" s="196">
        <f t="shared" si="213"/>
        <v>0</v>
      </c>
      <c r="AF1293" s="2">
        <f t="shared" si="214"/>
        <v>0</v>
      </c>
      <c r="AG1293" s="2">
        <f t="shared" si="215"/>
        <v>0</v>
      </c>
    </row>
    <row r="1294" spans="1:33">
      <c r="A1294" s="377" t="s">
        <v>8563</v>
      </c>
      <c r="B1294" s="150"/>
      <c r="C1294" s="213" t="s">
        <v>14756</v>
      </c>
      <c r="D1294" s="109" t="s">
        <v>14757</v>
      </c>
      <c r="E1294" s="109"/>
      <c r="F1294" s="393" t="s">
        <v>14758</v>
      </c>
      <c r="G1294" s="380" t="s">
        <v>14545</v>
      </c>
      <c r="H1294" s="380"/>
      <c r="I1294" s="380"/>
      <c r="J1294" s="380"/>
      <c r="K1294" s="380"/>
      <c r="L1294" s="375"/>
      <c r="M1294" s="351"/>
      <c r="N1294" s="267">
        <f t="shared" si="209"/>
        <v>0</v>
      </c>
      <c r="O1294" s="268">
        <f t="shared" si="210"/>
        <v>0</v>
      </c>
      <c r="P1294" s="252"/>
      <c r="Q1294" s="252"/>
      <c r="R1294" s="252"/>
      <c r="S1294" s="252"/>
      <c r="T1294" s="252"/>
      <c r="U1294" s="289"/>
      <c r="V1294" s="289"/>
      <c r="W1294" s="289"/>
      <c r="X1294" s="290"/>
      <c r="Y1294" s="289"/>
      <c r="Z1294" s="289"/>
      <c r="AA1294" s="291"/>
      <c r="AB1294" s="251"/>
      <c r="AC1294" s="196">
        <f t="shared" si="211"/>
        <v>0</v>
      </c>
      <c r="AD1294" s="196">
        <f t="shared" si="212"/>
        <v>0</v>
      </c>
      <c r="AE1294" s="196">
        <f t="shared" si="213"/>
        <v>0</v>
      </c>
      <c r="AF1294" s="2">
        <f t="shared" si="214"/>
        <v>0</v>
      </c>
      <c r="AG1294" s="2">
        <f t="shared" si="215"/>
        <v>0</v>
      </c>
    </row>
    <row r="1295" spans="1:33">
      <c r="A1295" s="20" t="s">
        <v>8563</v>
      </c>
      <c r="B1295" s="150"/>
      <c r="C1295" s="21" t="s">
        <v>14759</v>
      </c>
      <c r="D1295" s="109" t="s">
        <v>14757</v>
      </c>
      <c r="E1295" s="109" t="s">
        <v>14760</v>
      </c>
      <c r="F1295" s="391" t="s">
        <v>14758</v>
      </c>
      <c r="G1295" s="23" t="s">
        <v>14545</v>
      </c>
      <c r="H1295" s="23"/>
      <c r="I1295" s="23"/>
      <c r="J1295" s="23"/>
      <c r="K1295" s="23"/>
      <c r="L1295" s="375" t="s">
        <v>7787</v>
      </c>
      <c r="M1295" s="351" t="s">
        <v>7787</v>
      </c>
      <c r="N1295" s="267">
        <f t="shared" si="209"/>
        <v>0</v>
      </c>
      <c r="O1295" s="268">
        <f t="shared" si="210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11"/>
        <v>0</v>
      </c>
      <c r="AD1295" s="196">
        <f t="shared" si="212"/>
        <v>0</v>
      </c>
      <c r="AE1295" s="196">
        <f t="shared" si="213"/>
        <v>0</v>
      </c>
      <c r="AF1295" s="2">
        <f t="shared" si="214"/>
        <v>0</v>
      </c>
      <c r="AG1295" s="2">
        <f t="shared" si="215"/>
        <v>0</v>
      </c>
    </row>
    <row r="1296" spans="1:33">
      <c r="A1296" s="20" t="s">
        <v>1806</v>
      </c>
      <c r="B1296" s="150"/>
      <c r="C1296" s="21" t="s">
        <v>758</v>
      </c>
      <c r="D1296" s="109" t="s">
        <v>13319</v>
      </c>
      <c r="E1296" s="109"/>
      <c r="F1296" s="391" t="s">
        <v>14761</v>
      </c>
      <c r="G1296" s="23" t="s">
        <v>14762</v>
      </c>
      <c r="H1296" s="23" t="s">
        <v>13249</v>
      </c>
      <c r="I1296" s="23"/>
      <c r="J1296" s="23"/>
      <c r="K1296" s="23"/>
      <c r="L1296" s="375" t="s">
        <v>7787</v>
      </c>
      <c r="M1296" s="351" t="s">
        <v>7787</v>
      </c>
      <c r="N1296" s="267">
        <f t="shared" si="209"/>
        <v>0</v>
      </c>
      <c r="O1296" s="268">
        <f t="shared" si="210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11"/>
        <v>0</v>
      </c>
      <c r="AD1296" s="196">
        <f t="shared" si="212"/>
        <v>0</v>
      </c>
      <c r="AE1296" s="196">
        <f t="shared" si="213"/>
        <v>0</v>
      </c>
      <c r="AF1296" s="2">
        <f t="shared" si="214"/>
        <v>0</v>
      </c>
      <c r="AG1296" s="2">
        <f t="shared" si="215"/>
        <v>0</v>
      </c>
    </row>
    <row r="1297" spans="1:33">
      <c r="A1297" s="20" t="s">
        <v>1807</v>
      </c>
      <c r="B1297" s="150"/>
      <c r="C1297" s="21" t="s">
        <v>758</v>
      </c>
      <c r="D1297" s="109" t="s">
        <v>13878</v>
      </c>
      <c r="E1297" s="109"/>
      <c r="F1297" s="391" t="s">
        <v>14761</v>
      </c>
      <c r="G1297" s="23"/>
      <c r="H1297" s="23"/>
      <c r="I1297" s="23"/>
      <c r="J1297" s="23"/>
      <c r="K1297" s="23"/>
      <c r="L1297" s="350"/>
      <c r="M1297" s="351"/>
      <c r="N1297" s="267">
        <f t="shared" si="209"/>
        <v>0</v>
      </c>
      <c r="O1297" s="268">
        <f t="shared" si="210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7"/>
      <c r="Z1297" s="237"/>
      <c r="AA1297" s="279"/>
      <c r="AB1297" s="238"/>
      <c r="AC1297" s="196">
        <f t="shared" si="211"/>
        <v>0</v>
      </c>
      <c r="AD1297" s="196">
        <f t="shared" si="212"/>
        <v>0</v>
      </c>
      <c r="AE1297" s="196">
        <f t="shared" si="213"/>
        <v>0</v>
      </c>
      <c r="AF1297" s="2">
        <f t="shared" si="214"/>
        <v>0</v>
      </c>
      <c r="AG1297" s="2">
        <f t="shared" si="215"/>
        <v>0</v>
      </c>
    </row>
    <row r="1298" spans="1:33">
      <c r="A1298" s="20" t="s">
        <v>10389</v>
      </c>
      <c r="B1298" s="150"/>
      <c r="C1298" s="21" t="s">
        <v>14763</v>
      </c>
      <c r="D1298" s="109" t="s">
        <v>13319</v>
      </c>
      <c r="E1298" s="109" t="s">
        <v>13477</v>
      </c>
      <c r="F1298" s="391" t="s">
        <v>14764</v>
      </c>
      <c r="G1298" s="266" t="s">
        <v>14765</v>
      </c>
      <c r="H1298" s="23" t="s">
        <v>14766</v>
      </c>
      <c r="I1298" s="23" t="s">
        <v>14767</v>
      </c>
      <c r="J1298" s="23" t="s">
        <v>13810</v>
      </c>
      <c r="K1298" s="23"/>
      <c r="L1298" s="375" t="s">
        <v>7787</v>
      </c>
      <c r="M1298" s="351" t="s">
        <v>7787</v>
      </c>
      <c r="N1298" s="267">
        <f t="shared" si="209"/>
        <v>0</v>
      </c>
      <c r="O1298" s="268">
        <f t="shared" si="210"/>
        <v>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9"/>
      <c r="Z1298" s="237"/>
      <c r="AA1298" s="279"/>
      <c r="AB1298" s="238"/>
      <c r="AC1298" s="196">
        <f t="shared" si="211"/>
        <v>0</v>
      </c>
      <c r="AD1298" s="196">
        <f t="shared" si="212"/>
        <v>0</v>
      </c>
      <c r="AE1298" s="196">
        <f t="shared" si="213"/>
        <v>0</v>
      </c>
      <c r="AF1298" s="2">
        <f t="shared" si="214"/>
        <v>0</v>
      </c>
      <c r="AG1298" s="2">
        <f t="shared" si="215"/>
        <v>0</v>
      </c>
    </row>
    <row r="1299" spans="1:33">
      <c r="A1299" s="20" t="s">
        <v>9088</v>
      </c>
      <c r="B1299" s="150"/>
      <c r="C1299" s="21" t="s">
        <v>14768</v>
      </c>
      <c r="D1299" s="109" t="s">
        <v>14757</v>
      </c>
      <c r="E1299" s="109"/>
      <c r="F1299" s="391" t="s">
        <v>14769</v>
      </c>
      <c r="G1299" s="23" t="s">
        <v>14770</v>
      </c>
      <c r="H1299" s="23" t="s">
        <v>14771</v>
      </c>
      <c r="I1299" s="23"/>
      <c r="J1299" s="23"/>
      <c r="K1299" s="23"/>
      <c r="L1299" s="375" t="s">
        <v>7787</v>
      </c>
      <c r="M1299" s="351" t="s">
        <v>7787</v>
      </c>
      <c r="N1299" s="267">
        <f t="shared" si="209"/>
        <v>0</v>
      </c>
      <c r="O1299" s="268">
        <f t="shared" si="210"/>
        <v>50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>
        <v>50</v>
      </c>
      <c r="Z1299" s="237"/>
      <c r="AA1299" s="279"/>
      <c r="AB1299" s="238"/>
      <c r="AC1299" s="196">
        <f t="shared" si="211"/>
        <v>50</v>
      </c>
      <c r="AD1299" s="196">
        <f t="shared" si="212"/>
        <v>50</v>
      </c>
      <c r="AE1299" s="196">
        <f t="shared" si="213"/>
        <v>0</v>
      </c>
      <c r="AF1299" s="2">
        <f t="shared" si="214"/>
        <v>50</v>
      </c>
      <c r="AG1299" s="2">
        <f t="shared" si="215"/>
        <v>0</v>
      </c>
    </row>
    <row r="1300" spans="1:33">
      <c r="A1300" s="20" t="s">
        <v>8836</v>
      </c>
      <c r="B1300" s="150"/>
      <c r="C1300" s="21" t="s">
        <v>8843</v>
      </c>
      <c r="D1300" s="109" t="s">
        <v>13878</v>
      </c>
      <c r="E1300" s="109"/>
      <c r="F1300" s="391" t="s">
        <v>14772</v>
      </c>
      <c r="G1300" s="23" t="s">
        <v>14773</v>
      </c>
      <c r="H1300" s="23" t="s">
        <v>14637</v>
      </c>
      <c r="I1300" s="23" t="s">
        <v>13951</v>
      </c>
      <c r="J1300" s="23"/>
      <c r="K1300" s="23"/>
      <c r="L1300" s="375" t="s">
        <v>7787</v>
      </c>
      <c r="M1300" s="351"/>
      <c r="N1300" s="267">
        <f t="shared" si="209"/>
        <v>0</v>
      </c>
      <c r="O1300" s="268">
        <f t="shared" si="210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11"/>
        <v>0</v>
      </c>
      <c r="AD1300" s="196">
        <f t="shared" si="212"/>
        <v>0</v>
      </c>
      <c r="AE1300" s="196">
        <f t="shared" si="213"/>
        <v>0</v>
      </c>
      <c r="AF1300" s="2">
        <f t="shared" si="214"/>
        <v>0</v>
      </c>
      <c r="AG1300" s="2">
        <f t="shared" si="215"/>
        <v>0</v>
      </c>
    </row>
    <row r="1301" spans="1:33">
      <c r="A1301" s="20" t="s">
        <v>9508</v>
      </c>
      <c r="B1301" s="150"/>
      <c r="C1301" s="21" t="s">
        <v>8843</v>
      </c>
      <c r="D1301" s="109" t="s">
        <v>14618</v>
      </c>
      <c r="E1301" s="109"/>
      <c r="F1301" s="391" t="s">
        <v>14774</v>
      </c>
      <c r="G1301" s="23" t="s">
        <v>14562</v>
      </c>
      <c r="H1301" s="23"/>
      <c r="I1301" s="23"/>
      <c r="J1301" s="23"/>
      <c r="K1301" s="23"/>
      <c r="L1301" s="375"/>
      <c r="M1301" s="351" t="s">
        <v>7787</v>
      </c>
      <c r="N1301" s="267">
        <f t="shared" si="209"/>
        <v>0</v>
      </c>
      <c r="O1301" s="268">
        <f t="shared" si="210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7"/>
      <c r="Z1301" s="237"/>
      <c r="AA1301" s="279"/>
      <c r="AB1301" s="238"/>
      <c r="AC1301" s="196">
        <f t="shared" si="211"/>
        <v>0</v>
      </c>
      <c r="AD1301" s="196">
        <f t="shared" si="212"/>
        <v>0</v>
      </c>
      <c r="AE1301" s="196">
        <f t="shared" si="213"/>
        <v>0</v>
      </c>
      <c r="AF1301" s="2">
        <f t="shared" si="214"/>
        <v>0</v>
      </c>
      <c r="AG1301" s="2">
        <f t="shared" si="215"/>
        <v>0</v>
      </c>
    </row>
    <row r="1302" spans="1:33">
      <c r="A1302" s="20" t="s">
        <v>10754</v>
      </c>
      <c r="B1302" s="150"/>
      <c r="C1302" s="21" t="s">
        <v>8843</v>
      </c>
      <c r="D1302" s="109" t="s">
        <v>14610</v>
      </c>
      <c r="E1302" s="109"/>
      <c r="F1302" s="391" t="s">
        <v>14774</v>
      </c>
      <c r="G1302" s="23" t="s">
        <v>14637</v>
      </c>
      <c r="H1302" s="23"/>
      <c r="I1302" s="23"/>
      <c r="J1302" s="23"/>
      <c r="K1302" s="23"/>
      <c r="L1302" s="375" t="s">
        <v>7787</v>
      </c>
      <c r="M1302" s="351"/>
      <c r="N1302" s="267">
        <f t="shared" si="209"/>
        <v>0</v>
      </c>
      <c r="O1302" s="268">
        <f t="shared" si="210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9"/>
      <c r="Z1302" s="237"/>
      <c r="AA1302" s="279"/>
      <c r="AB1302" s="238"/>
      <c r="AC1302" s="196">
        <f t="shared" si="211"/>
        <v>0</v>
      </c>
      <c r="AD1302" s="196">
        <f t="shared" si="212"/>
        <v>0</v>
      </c>
      <c r="AE1302" s="196">
        <f t="shared" si="213"/>
        <v>0</v>
      </c>
      <c r="AF1302" s="2">
        <f t="shared" si="214"/>
        <v>0</v>
      </c>
      <c r="AG1302" s="2">
        <f t="shared" si="215"/>
        <v>0</v>
      </c>
    </row>
    <row r="1303" spans="1:33">
      <c r="A1303" s="20" t="s">
        <v>8569</v>
      </c>
      <c r="B1303" s="150"/>
      <c r="C1303" s="21" t="s">
        <v>14775</v>
      </c>
      <c r="D1303" s="109" t="s">
        <v>14618</v>
      </c>
      <c r="E1303" s="109"/>
      <c r="F1303" s="391" t="s">
        <v>14776</v>
      </c>
      <c r="G1303" s="23" t="s">
        <v>14562</v>
      </c>
      <c r="H1303" s="23"/>
      <c r="I1303" s="23"/>
      <c r="J1303" s="23"/>
      <c r="K1303" s="23"/>
      <c r="L1303" s="375" t="s">
        <v>7787</v>
      </c>
      <c r="M1303" s="351" t="s">
        <v>7787</v>
      </c>
      <c r="N1303" s="267">
        <f t="shared" si="209"/>
        <v>0</v>
      </c>
      <c r="O1303" s="268">
        <f t="shared" si="210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11"/>
        <v>0</v>
      </c>
      <c r="AD1303" s="196">
        <f t="shared" si="212"/>
        <v>0</v>
      </c>
      <c r="AE1303" s="196">
        <f t="shared" si="213"/>
        <v>0</v>
      </c>
      <c r="AF1303" s="2">
        <f t="shared" si="214"/>
        <v>0</v>
      </c>
      <c r="AG1303" s="2">
        <f t="shared" si="215"/>
        <v>0</v>
      </c>
    </row>
    <row r="1304" spans="1:33">
      <c r="A1304" s="20" t="s">
        <v>8834</v>
      </c>
      <c r="B1304" s="150"/>
      <c r="C1304" s="21" t="s">
        <v>14777</v>
      </c>
      <c r="D1304" s="109" t="s">
        <v>14645</v>
      </c>
      <c r="E1304" s="109"/>
      <c r="F1304" s="391" t="s">
        <v>14778</v>
      </c>
      <c r="G1304" s="23" t="s">
        <v>13601</v>
      </c>
      <c r="H1304" s="23"/>
      <c r="I1304" s="23"/>
      <c r="J1304" s="23"/>
      <c r="K1304" s="23"/>
      <c r="L1304" s="375"/>
      <c r="M1304" s="351" t="s">
        <v>7787</v>
      </c>
      <c r="N1304" s="267">
        <f t="shared" si="209"/>
        <v>0</v>
      </c>
      <c r="O1304" s="268">
        <f t="shared" si="210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11"/>
        <v>0</v>
      </c>
      <c r="AD1304" s="196">
        <f t="shared" si="212"/>
        <v>0</v>
      </c>
      <c r="AE1304" s="196">
        <f t="shared" si="213"/>
        <v>0</v>
      </c>
      <c r="AF1304" s="2">
        <f t="shared" si="214"/>
        <v>0</v>
      </c>
      <c r="AG1304" s="2">
        <f t="shared" si="215"/>
        <v>0</v>
      </c>
    </row>
    <row r="1305" spans="1:33">
      <c r="A1305" s="20" t="s">
        <v>20506</v>
      </c>
      <c r="B1305" s="150"/>
      <c r="C1305" s="21" t="s">
        <v>8819</v>
      </c>
      <c r="D1305" s="109" t="s">
        <v>4070</v>
      </c>
      <c r="E1305" s="109"/>
      <c r="F1305" s="391" t="s">
        <v>8841</v>
      </c>
      <c r="G1305" s="23" t="s">
        <v>17078</v>
      </c>
      <c r="H1305" s="23"/>
      <c r="I1305" s="23"/>
      <c r="J1305" s="23"/>
      <c r="K1305" s="23"/>
      <c r="L1305" s="375" t="s">
        <v>7787</v>
      </c>
      <c r="M1305" s="351" t="s">
        <v>7787</v>
      </c>
      <c r="N1305" s="267">
        <f t="shared" si="209"/>
        <v>0</v>
      </c>
      <c r="O1305" s="268">
        <f t="shared" si="210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11"/>
        <v>0</v>
      </c>
      <c r="AD1305" s="196">
        <f t="shared" si="212"/>
        <v>0</v>
      </c>
      <c r="AE1305" s="196">
        <f t="shared" si="213"/>
        <v>0</v>
      </c>
      <c r="AF1305" s="2">
        <f t="shared" si="214"/>
        <v>0</v>
      </c>
      <c r="AG1305" s="2">
        <f t="shared" si="215"/>
        <v>0</v>
      </c>
    </row>
    <row r="1306" spans="1:33">
      <c r="A1306" s="20" t="s">
        <v>11993</v>
      </c>
      <c r="B1306" s="150"/>
      <c r="C1306" s="21" t="s">
        <v>14777</v>
      </c>
      <c r="D1306" s="109" t="s">
        <v>14682</v>
      </c>
      <c r="E1306" s="109"/>
      <c r="F1306" s="391" t="s">
        <v>14778</v>
      </c>
      <c r="G1306" s="23" t="s">
        <v>13601</v>
      </c>
      <c r="H1306" s="23"/>
      <c r="I1306" s="23"/>
      <c r="J1306" s="23"/>
      <c r="K1306" s="23"/>
      <c r="L1306" s="375" t="s">
        <v>45</v>
      </c>
      <c r="M1306" s="351" t="s">
        <v>45</v>
      </c>
      <c r="N1306" s="267">
        <f t="shared" si="209"/>
        <v>0</v>
      </c>
      <c r="O1306" s="268">
        <f t="shared" si="210"/>
        <v>0</v>
      </c>
      <c r="P1306" s="239"/>
      <c r="Q1306" s="239"/>
      <c r="R1306" s="239"/>
      <c r="S1306" s="239"/>
      <c r="T1306" s="239"/>
      <c r="U1306" s="240"/>
      <c r="V1306" s="240"/>
      <c r="W1306" s="240"/>
      <c r="X1306" s="278"/>
      <c r="Y1306" s="237"/>
      <c r="Z1306" s="237"/>
      <c r="AA1306" s="279"/>
      <c r="AB1306" s="238"/>
      <c r="AC1306" s="196">
        <f t="shared" si="211"/>
        <v>0</v>
      </c>
      <c r="AD1306" s="196">
        <f t="shared" si="212"/>
        <v>0</v>
      </c>
      <c r="AE1306" s="196">
        <f t="shared" si="213"/>
        <v>0</v>
      </c>
      <c r="AF1306" s="2">
        <f t="shared" si="214"/>
        <v>0</v>
      </c>
      <c r="AG1306" s="2">
        <f t="shared" si="215"/>
        <v>0</v>
      </c>
    </row>
    <row r="1307" spans="1:33">
      <c r="A1307" s="20" t="s">
        <v>19892</v>
      </c>
      <c r="B1307" s="150"/>
      <c r="C1307" s="21" t="s">
        <v>8819</v>
      </c>
      <c r="D1307" s="109" t="s">
        <v>19447</v>
      </c>
      <c r="E1307" s="109" t="s">
        <v>19448</v>
      </c>
      <c r="F1307" s="391" t="s">
        <v>8841</v>
      </c>
      <c r="G1307" s="23" t="s">
        <v>13249</v>
      </c>
      <c r="H1307" s="23"/>
      <c r="I1307" s="23"/>
      <c r="J1307" s="23"/>
      <c r="K1307" s="23"/>
      <c r="L1307" s="375"/>
      <c r="M1307" s="351"/>
      <c r="N1307" s="267">
        <f t="shared" si="209"/>
        <v>0</v>
      </c>
      <c r="O1307" s="268">
        <f t="shared" si="210"/>
        <v>0</v>
      </c>
      <c r="P1307" s="239"/>
      <c r="Q1307" s="239"/>
      <c r="R1307" s="239"/>
      <c r="S1307" s="239"/>
      <c r="T1307" s="239"/>
      <c r="U1307" s="240"/>
      <c r="V1307" s="244"/>
      <c r="W1307" s="240"/>
      <c r="X1307" s="278"/>
      <c r="Y1307" s="237"/>
      <c r="Z1307" s="237"/>
      <c r="AA1307" s="279"/>
      <c r="AB1307" s="238"/>
      <c r="AC1307" s="196">
        <f t="shared" si="211"/>
        <v>0</v>
      </c>
      <c r="AD1307" s="196">
        <f t="shared" si="212"/>
        <v>0</v>
      </c>
      <c r="AE1307" s="196">
        <f t="shared" si="213"/>
        <v>0</v>
      </c>
      <c r="AF1307" s="2">
        <f t="shared" si="214"/>
        <v>0</v>
      </c>
      <c r="AG1307" s="2">
        <f t="shared" si="215"/>
        <v>0</v>
      </c>
    </row>
    <row r="1308" spans="1:33">
      <c r="A1308" s="20" t="s">
        <v>8561</v>
      </c>
      <c r="B1308" s="150"/>
      <c r="C1308" s="21" t="s">
        <v>14779</v>
      </c>
      <c r="D1308" s="109" t="s">
        <v>14780</v>
      </c>
      <c r="E1308" s="109"/>
      <c r="F1308" s="391" t="s">
        <v>14781</v>
      </c>
      <c r="G1308" s="23" t="s">
        <v>13951</v>
      </c>
      <c r="H1308" s="23" t="s">
        <v>14637</v>
      </c>
      <c r="I1308" s="23" t="s">
        <v>14782</v>
      </c>
      <c r="J1308" s="23" t="s">
        <v>13409</v>
      </c>
      <c r="K1308" s="23"/>
      <c r="L1308" s="375" t="s">
        <v>27895</v>
      </c>
      <c r="M1308" s="351" t="s">
        <v>45</v>
      </c>
      <c r="N1308" s="267">
        <f t="shared" si="209"/>
        <v>0</v>
      </c>
      <c r="O1308" s="268">
        <f t="shared" si="210"/>
        <v>750</v>
      </c>
      <c r="P1308" s="239"/>
      <c r="Q1308" s="239">
        <f>600-450+600</f>
        <v>750</v>
      </c>
      <c r="R1308" s="239"/>
      <c r="S1308" s="239"/>
      <c r="T1308" s="239"/>
      <c r="U1308" s="239"/>
      <c r="V1308" s="239"/>
      <c r="W1308" s="240"/>
      <c r="X1308" s="278"/>
      <c r="Y1308" s="237"/>
      <c r="Z1308" s="237"/>
      <c r="AA1308" s="279"/>
      <c r="AB1308" s="238" t="s">
        <v>27892</v>
      </c>
      <c r="AC1308" s="196">
        <f t="shared" si="211"/>
        <v>750</v>
      </c>
      <c r="AD1308" s="196">
        <f t="shared" si="212"/>
        <v>750</v>
      </c>
      <c r="AE1308" s="196">
        <f t="shared" si="213"/>
        <v>0</v>
      </c>
      <c r="AF1308" s="2">
        <f t="shared" si="214"/>
        <v>750</v>
      </c>
      <c r="AG1308" s="2">
        <f t="shared" si="215"/>
        <v>0</v>
      </c>
    </row>
    <row r="1309" spans="1:33">
      <c r="A1309" s="20" t="s">
        <v>8537</v>
      </c>
      <c r="B1309" s="150"/>
      <c r="C1309" s="21" t="s">
        <v>14783</v>
      </c>
      <c r="D1309" s="109" t="s">
        <v>14780</v>
      </c>
      <c r="E1309" s="109"/>
      <c r="F1309" s="391" t="s">
        <v>14784</v>
      </c>
      <c r="G1309" s="23" t="s">
        <v>14785</v>
      </c>
      <c r="H1309" s="23"/>
      <c r="I1309" s="23"/>
      <c r="J1309" s="23"/>
      <c r="K1309" s="23"/>
      <c r="L1309" s="375" t="s">
        <v>7787</v>
      </c>
      <c r="M1309" s="351" t="s">
        <v>7787</v>
      </c>
      <c r="N1309" s="267">
        <f t="shared" si="209"/>
        <v>0</v>
      </c>
      <c r="O1309" s="268">
        <f t="shared" si="210"/>
        <v>0</v>
      </c>
      <c r="P1309" s="239"/>
      <c r="Q1309" s="239"/>
      <c r="R1309" s="239"/>
      <c r="S1309" s="239"/>
      <c r="T1309" s="239"/>
      <c r="U1309" s="240"/>
      <c r="V1309" s="240"/>
      <c r="W1309" s="240"/>
      <c r="X1309" s="278"/>
      <c r="Y1309" s="278"/>
      <c r="Z1309" s="237"/>
      <c r="AA1309" s="279"/>
      <c r="AB1309" s="238"/>
      <c r="AC1309" s="196">
        <f t="shared" si="211"/>
        <v>0</v>
      </c>
      <c r="AD1309" s="196">
        <f t="shared" si="212"/>
        <v>0</v>
      </c>
      <c r="AE1309" s="196">
        <f t="shared" si="213"/>
        <v>0</v>
      </c>
      <c r="AF1309" s="2">
        <f t="shared" si="214"/>
        <v>0</v>
      </c>
      <c r="AG1309" s="2">
        <f t="shared" si="215"/>
        <v>0</v>
      </c>
    </row>
    <row r="1310" spans="1:33">
      <c r="A1310" s="377" t="s">
        <v>9472</v>
      </c>
      <c r="B1310" s="150"/>
      <c r="C1310" s="213" t="s">
        <v>14783</v>
      </c>
      <c r="D1310" s="109" t="s">
        <v>14780</v>
      </c>
      <c r="E1310" s="109" t="s">
        <v>14786</v>
      </c>
      <c r="F1310" s="393" t="s">
        <v>14784</v>
      </c>
      <c r="G1310" s="380" t="s">
        <v>14785</v>
      </c>
      <c r="H1310" s="380"/>
      <c r="I1310" s="380"/>
      <c r="J1310" s="380"/>
      <c r="K1310" s="380"/>
      <c r="L1310" s="375" t="s">
        <v>7787</v>
      </c>
      <c r="M1310" s="351" t="s">
        <v>7787</v>
      </c>
      <c r="N1310" s="267">
        <f t="shared" si="209"/>
        <v>0</v>
      </c>
      <c r="O1310" s="268">
        <f t="shared" si="210"/>
        <v>0</v>
      </c>
      <c r="P1310" s="248"/>
      <c r="Q1310" s="248"/>
      <c r="R1310" s="248"/>
      <c r="S1310" s="248"/>
      <c r="T1310" s="248"/>
      <c r="U1310" s="240"/>
      <c r="V1310" s="248"/>
      <c r="W1310" s="240"/>
      <c r="X1310" s="278"/>
      <c r="Y1310" s="278"/>
      <c r="Z1310" s="240"/>
      <c r="AA1310" s="292"/>
      <c r="AB1310" s="389"/>
      <c r="AC1310" s="196">
        <f t="shared" si="211"/>
        <v>0</v>
      </c>
      <c r="AD1310" s="196">
        <f t="shared" si="212"/>
        <v>0</v>
      </c>
      <c r="AE1310" s="196">
        <f t="shared" si="213"/>
        <v>0</v>
      </c>
      <c r="AF1310" s="2">
        <f t="shared" si="214"/>
        <v>0</v>
      </c>
      <c r="AG1310" s="2">
        <f t="shared" si="215"/>
        <v>0</v>
      </c>
    </row>
    <row r="1311" spans="1:33">
      <c r="A1311" s="20" t="s">
        <v>8349</v>
      </c>
      <c r="B1311" s="150"/>
      <c r="C1311" s="21" t="s">
        <v>14787</v>
      </c>
      <c r="D1311" s="109" t="s">
        <v>14780</v>
      </c>
      <c r="E1311" s="109"/>
      <c r="F1311" s="391" t="s">
        <v>14788</v>
      </c>
      <c r="G1311" s="23" t="s">
        <v>14785</v>
      </c>
      <c r="H1311" s="23"/>
      <c r="I1311" s="23"/>
      <c r="J1311" s="23"/>
      <c r="K1311" s="23"/>
      <c r="L1311" s="375" t="s">
        <v>7787</v>
      </c>
      <c r="M1311" s="351"/>
      <c r="N1311" s="267">
        <f t="shared" si="209"/>
        <v>0</v>
      </c>
      <c r="O1311" s="268">
        <f t="shared" si="210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11"/>
        <v>0</v>
      </c>
      <c r="AD1311" s="196">
        <f t="shared" si="212"/>
        <v>0</v>
      </c>
      <c r="AE1311" s="196">
        <f t="shared" si="213"/>
        <v>0</v>
      </c>
      <c r="AF1311" s="2">
        <f t="shared" si="214"/>
        <v>0</v>
      </c>
      <c r="AG1311" s="2">
        <f t="shared" si="215"/>
        <v>0</v>
      </c>
    </row>
    <row r="1312" spans="1:33">
      <c r="A1312" s="20" t="s">
        <v>1811</v>
      </c>
      <c r="B1312" s="150"/>
      <c r="C1312" s="21" t="s">
        <v>685</v>
      </c>
      <c r="D1312" s="109" t="s">
        <v>14789</v>
      </c>
      <c r="E1312" s="109" t="s">
        <v>14600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9"/>
        <v>0</v>
      </c>
      <c r="O1312" s="268">
        <f t="shared" si="210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11"/>
        <v>0</v>
      </c>
      <c r="AD1312" s="196">
        <f t="shared" si="212"/>
        <v>0</v>
      </c>
      <c r="AE1312" s="196">
        <f t="shared" si="213"/>
        <v>0</v>
      </c>
      <c r="AF1312" s="2">
        <f t="shared" si="214"/>
        <v>0</v>
      </c>
      <c r="AG1312" s="2">
        <f t="shared" si="215"/>
        <v>0</v>
      </c>
    </row>
    <row r="1313" spans="1:33">
      <c r="A1313" s="20" t="s">
        <v>1810</v>
      </c>
      <c r="B1313" s="150"/>
      <c r="C1313" s="21" t="s">
        <v>685</v>
      </c>
      <c r="D1313" s="109" t="s">
        <v>13612</v>
      </c>
      <c r="E1313" s="109" t="s">
        <v>13611</v>
      </c>
      <c r="F1313" s="391" t="s">
        <v>14790</v>
      </c>
      <c r="G1313" s="23"/>
      <c r="H1313" s="23"/>
      <c r="I1313" s="23"/>
      <c r="J1313" s="23"/>
      <c r="K1313" s="23"/>
      <c r="L1313" s="350"/>
      <c r="M1313" s="351"/>
      <c r="N1313" s="267">
        <f t="shared" si="209"/>
        <v>0</v>
      </c>
      <c r="O1313" s="268">
        <f t="shared" si="210"/>
        <v>0</v>
      </c>
      <c r="P1313" s="239"/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79"/>
      <c r="AB1313" s="238"/>
      <c r="AC1313" s="196">
        <f t="shared" si="211"/>
        <v>0</v>
      </c>
      <c r="AD1313" s="196">
        <f t="shared" si="212"/>
        <v>0</v>
      </c>
      <c r="AE1313" s="196">
        <f t="shared" si="213"/>
        <v>0</v>
      </c>
      <c r="AF1313" s="2">
        <f t="shared" si="214"/>
        <v>0</v>
      </c>
      <c r="AG1313" s="2">
        <f t="shared" si="215"/>
        <v>0</v>
      </c>
    </row>
    <row r="1314" spans="1:33">
      <c r="A1314" s="20" t="s">
        <v>1812</v>
      </c>
      <c r="B1314" s="156" t="s">
        <v>14791</v>
      </c>
      <c r="C1314" s="21" t="s">
        <v>685</v>
      </c>
      <c r="D1314" s="109" t="s">
        <v>14792</v>
      </c>
      <c r="E1314" s="109" t="s">
        <v>25777</v>
      </c>
      <c r="F1314" s="391" t="s">
        <v>14790</v>
      </c>
      <c r="G1314" s="23" t="s">
        <v>14793</v>
      </c>
      <c r="H1314" s="23"/>
      <c r="I1314" s="23"/>
      <c r="J1314" s="23"/>
      <c r="K1314" s="23"/>
      <c r="L1314" s="375" t="s">
        <v>45</v>
      </c>
      <c r="M1314" s="351" t="s">
        <v>45</v>
      </c>
      <c r="N1314" s="267">
        <f t="shared" ref="N1314:N1380" si="216">SUM(L1314:M1314)</f>
        <v>0</v>
      </c>
      <c r="O1314" s="268">
        <f t="shared" ref="O1314:O1380" si="217">SUM(P1314:Z1314)</f>
        <v>250</v>
      </c>
      <c r="P1314" s="239">
        <f>1150-900</f>
        <v>250</v>
      </c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39"/>
      <c r="AB1314" s="254" t="s">
        <v>26211</v>
      </c>
      <c r="AC1314" s="196">
        <f t="shared" si="211"/>
        <v>250</v>
      </c>
      <c r="AD1314" s="196">
        <f t="shared" si="212"/>
        <v>250</v>
      </c>
      <c r="AE1314" s="196">
        <f t="shared" si="213"/>
        <v>0</v>
      </c>
      <c r="AF1314" s="2">
        <f t="shared" si="214"/>
        <v>250</v>
      </c>
      <c r="AG1314" s="2">
        <f t="shared" si="215"/>
        <v>0</v>
      </c>
    </row>
    <row r="1315" spans="1:33">
      <c r="A1315" s="20" t="s">
        <v>1808</v>
      </c>
      <c r="B1315" s="150"/>
      <c r="C1315" s="21" t="s">
        <v>685</v>
      </c>
      <c r="D1315" s="109" t="s">
        <v>13949</v>
      </c>
      <c r="E1315" s="109"/>
      <c r="F1315" s="391" t="s">
        <v>14790</v>
      </c>
      <c r="G1315" s="23" t="s">
        <v>14794</v>
      </c>
      <c r="H1315" s="23"/>
      <c r="I1315" s="23"/>
      <c r="J1315" s="23"/>
      <c r="K1315" s="23"/>
      <c r="L1315" s="350"/>
      <c r="M1315" s="351" t="s">
        <v>7787</v>
      </c>
      <c r="N1315" s="267">
        <f t="shared" si="216"/>
        <v>0</v>
      </c>
      <c r="O1315" s="268">
        <f t="shared" si="217"/>
        <v>0</v>
      </c>
      <c r="P1315" s="239"/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/>
      <c r="AC1315" s="196">
        <f t="shared" si="211"/>
        <v>0</v>
      </c>
      <c r="AD1315" s="196">
        <f t="shared" si="212"/>
        <v>0</v>
      </c>
      <c r="AE1315" s="196">
        <f t="shared" si="213"/>
        <v>0</v>
      </c>
      <c r="AF1315" s="2">
        <f t="shared" si="214"/>
        <v>0</v>
      </c>
      <c r="AG1315" s="2">
        <f t="shared" si="215"/>
        <v>0</v>
      </c>
    </row>
    <row r="1316" spans="1:33">
      <c r="A1316" s="20" t="s">
        <v>1809</v>
      </c>
      <c r="B1316" s="161"/>
      <c r="C1316" s="21" t="s">
        <v>685</v>
      </c>
      <c r="D1316" s="109" t="s">
        <v>13613</v>
      </c>
      <c r="E1316" s="109" t="s">
        <v>25776</v>
      </c>
      <c r="F1316" s="391" t="s">
        <v>14790</v>
      </c>
      <c r="G1316" s="23" t="s">
        <v>13958</v>
      </c>
      <c r="H1316" s="23" t="s">
        <v>14795</v>
      </c>
      <c r="I1316" s="23"/>
      <c r="J1316" s="23"/>
      <c r="K1316" s="23"/>
      <c r="L1316" s="375" t="s">
        <v>27396</v>
      </c>
      <c r="M1316" s="351" t="s">
        <v>45</v>
      </c>
      <c r="N1316" s="267">
        <f t="shared" si="216"/>
        <v>0</v>
      </c>
      <c r="O1316" s="268">
        <f t="shared" si="217"/>
        <v>500</v>
      </c>
      <c r="P1316" s="239">
        <f>3000-200-1000-250-400-100-550+500-200-100-250+1650-500+150-100-450-100-400-200</f>
        <v>500</v>
      </c>
      <c r="Q1316" s="239"/>
      <c r="R1316" s="239"/>
      <c r="S1316" s="239"/>
      <c r="T1316" s="239"/>
      <c r="U1316" s="240"/>
      <c r="V1316" s="240"/>
      <c r="W1316" s="240"/>
      <c r="X1316" s="278"/>
      <c r="Y1316" s="237"/>
      <c r="Z1316" s="237"/>
      <c r="AA1316" s="279"/>
      <c r="AB1316" s="238" t="s">
        <v>27395</v>
      </c>
      <c r="AC1316" s="196">
        <f t="shared" si="211"/>
        <v>500</v>
      </c>
      <c r="AD1316" s="196">
        <f t="shared" si="212"/>
        <v>500</v>
      </c>
      <c r="AE1316" s="196">
        <f t="shared" si="213"/>
        <v>0</v>
      </c>
      <c r="AF1316" s="2">
        <f t="shared" si="214"/>
        <v>500</v>
      </c>
      <c r="AG1316" s="2">
        <f t="shared" si="215"/>
        <v>0</v>
      </c>
    </row>
    <row r="1317" spans="1:33">
      <c r="A1317" s="20" t="s">
        <v>1813</v>
      </c>
      <c r="B1317" s="150"/>
      <c r="C1317" s="21" t="s">
        <v>685</v>
      </c>
      <c r="D1317" s="109" t="s">
        <v>13955</v>
      </c>
      <c r="E1317" s="109"/>
      <c r="F1317" s="391" t="s">
        <v>14790</v>
      </c>
      <c r="G1317" s="23"/>
      <c r="H1317" s="23"/>
      <c r="I1317" s="23"/>
      <c r="J1317" s="23"/>
      <c r="K1317" s="23"/>
      <c r="L1317" s="350"/>
      <c r="M1317" s="351"/>
      <c r="N1317" s="267">
        <f t="shared" si="216"/>
        <v>0</v>
      </c>
      <c r="O1317" s="268">
        <f t="shared" si="217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39"/>
      <c r="Z1317" s="237"/>
      <c r="AA1317" s="279"/>
      <c r="AB1317" s="238"/>
      <c r="AC1317" s="196">
        <f t="shared" si="211"/>
        <v>0</v>
      </c>
      <c r="AD1317" s="196">
        <f t="shared" si="212"/>
        <v>0</v>
      </c>
      <c r="AE1317" s="196">
        <f t="shared" si="213"/>
        <v>0</v>
      </c>
      <c r="AF1317" s="2">
        <f t="shared" si="214"/>
        <v>0</v>
      </c>
      <c r="AG1317" s="2">
        <f t="shared" si="215"/>
        <v>0</v>
      </c>
    </row>
    <row r="1318" spans="1:33">
      <c r="A1318" s="20" t="s">
        <v>8052</v>
      </c>
      <c r="B1318" s="150"/>
      <c r="C1318" s="21" t="s">
        <v>685</v>
      </c>
      <c r="D1318" s="109" t="s">
        <v>13955</v>
      </c>
      <c r="E1318" s="109" t="s">
        <v>13611</v>
      </c>
      <c r="F1318" s="391" t="s">
        <v>14790</v>
      </c>
      <c r="G1318" s="23" t="s">
        <v>14794</v>
      </c>
      <c r="H1318" s="23"/>
      <c r="I1318" s="23"/>
      <c r="J1318" s="23"/>
      <c r="K1318" s="23"/>
      <c r="L1318" s="375" t="s">
        <v>7787</v>
      </c>
      <c r="M1318" s="351"/>
      <c r="N1318" s="267">
        <f t="shared" si="216"/>
        <v>0</v>
      </c>
      <c r="O1318" s="268">
        <f t="shared" si="217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11"/>
        <v>0</v>
      </c>
      <c r="AD1318" s="196">
        <f t="shared" si="212"/>
        <v>0</v>
      </c>
      <c r="AE1318" s="196">
        <f t="shared" si="213"/>
        <v>0</v>
      </c>
      <c r="AF1318" s="2">
        <f t="shared" si="214"/>
        <v>0</v>
      </c>
      <c r="AG1318" s="2">
        <f t="shared" si="215"/>
        <v>0</v>
      </c>
    </row>
    <row r="1319" spans="1:33">
      <c r="A1319" s="20" t="s">
        <v>20507</v>
      </c>
      <c r="B1319" s="150"/>
      <c r="C1319" s="213" t="s">
        <v>9022</v>
      </c>
      <c r="D1319" s="109" t="s">
        <v>6766</v>
      </c>
      <c r="E1319" s="109" t="s">
        <v>20903</v>
      </c>
      <c r="F1319" s="391" t="s">
        <v>9032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6"/>
        <v>0</v>
      </c>
      <c r="O1319" s="268">
        <f t="shared" si="217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11"/>
        <v>0</v>
      </c>
      <c r="AD1319" s="196">
        <f t="shared" si="212"/>
        <v>0</v>
      </c>
      <c r="AE1319" s="196">
        <f t="shared" si="213"/>
        <v>0</v>
      </c>
      <c r="AF1319" s="2">
        <f t="shared" si="214"/>
        <v>0</v>
      </c>
      <c r="AG1319" s="2">
        <f t="shared" si="215"/>
        <v>0</v>
      </c>
    </row>
    <row r="1320" spans="1:33">
      <c r="A1320" s="20" t="s">
        <v>8976</v>
      </c>
      <c r="B1320" s="150"/>
      <c r="C1320" s="21" t="s">
        <v>14796</v>
      </c>
      <c r="D1320" s="109" t="s">
        <v>14797</v>
      </c>
      <c r="E1320" s="109" t="s">
        <v>14717</v>
      </c>
      <c r="F1320" s="391" t="s">
        <v>14798</v>
      </c>
      <c r="G1320" s="23" t="s">
        <v>15064</v>
      </c>
      <c r="H1320" s="23"/>
      <c r="I1320" s="23"/>
      <c r="J1320" s="23"/>
      <c r="K1320" s="23"/>
      <c r="L1320" s="375" t="s">
        <v>7787</v>
      </c>
      <c r="M1320" s="351"/>
      <c r="N1320" s="267">
        <f t="shared" si="216"/>
        <v>0</v>
      </c>
      <c r="O1320" s="268">
        <f t="shared" si="217"/>
        <v>0</v>
      </c>
      <c r="P1320" s="239"/>
      <c r="Q1320" s="239"/>
      <c r="R1320" s="239"/>
      <c r="S1320" s="239"/>
      <c r="T1320" s="239"/>
      <c r="U1320" s="240"/>
      <c r="V1320" s="240"/>
      <c r="W1320" s="240"/>
      <c r="X1320" s="278"/>
      <c r="Y1320" s="248"/>
      <c r="Z1320" s="237"/>
      <c r="AA1320" s="279"/>
      <c r="AB1320" s="238"/>
      <c r="AC1320" s="196">
        <f t="shared" si="211"/>
        <v>0</v>
      </c>
      <c r="AD1320" s="196">
        <f t="shared" si="212"/>
        <v>0</v>
      </c>
      <c r="AE1320" s="196">
        <f t="shared" si="213"/>
        <v>0</v>
      </c>
      <c r="AF1320" s="2">
        <f t="shared" si="214"/>
        <v>0</v>
      </c>
      <c r="AG1320" s="2">
        <f t="shared" si="215"/>
        <v>0</v>
      </c>
    </row>
    <row r="1321" spans="1:33">
      <c r="A1321" s="20" t="s">
        <v>9296</v>
      </c>
      <c r="B1321" s="150"/>
      <c r="C1321" s="213" t="s">
        <v>14796</v>
      </c>
      <c r="D1321" s="109" t="s">
        <v>14797</v>
      </c>
      <c r="E1321" s="202" t="s">
        <v>14799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 t="s">
        <v>7787</v>
      </c>
      <c r="M1321" s="351" t="s">
        <v>7787</v>
      </c>
      <c r="N1321" s="267">
        <f t="shared" si="216"/>
        <v>0</v>
      </c>
      <c r="O1321" s="268">
        <f t="shared" si="217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11"/>
        <v>0</v>
      </c>
      <c r="AD1321" s="196">
        <f t="shared" si="212"/>
        <v>0</v>
      </c>
      <c r="AE1321" s="196">
        <f t="shared" si="213"/>
        <v>0</v>
      </c>
      <c r="AF1321" s="2">
        <f t="shared" si="214"/>
        <v>0</v>
      </c>
      <c r="AG1321" s="2">
        <f t="shared" si="215"/>
        <v>0</v>
      </c>
    </row>
    <row r="1322" spans="1:33">
      <c r="A1322" s="20" t="s">
        <v>9387</v>
      </c>
      <c r="B1322" s="150"/>
      <c r="C1322" s="213" t="s">
        <v>14796</v>
      </c>
      <c r="D1322" s="109" t="s">
        <v>14596</v>
      </c>
      <c r="E1322" s="202" t="s">
        <v>14679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/>
      <c r="M1322" s="351"/>
      <c r="N1322" s="267">
        <f t="shared" si="216"/>
        <v>0</v>
      </c>
      <c r="O1322" s="268">
        <f t="shared" si="217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11"/>
        <v>0</v>
      </c>
      <c r="AD1322" s="196">
        <f t="shared" si="212"/>
        <v>0</v>
      </c>
      <c r="AE1322" s="196">
        <f t="shared" si="213"/>
        <v>0</v>
      </c>
      <c r="AF1322" s="2">
        <f t="shared" si="214"/>
        <v>0</v>
      </c>
      <c r="AG1322" s="2">
        <f t="shared" si="215"/>
        <v>0</v>
      </c>
    </row>
    <row r="1323" spans="1:33">
      <c r="A1323" s="20" t="s">
        <v>9388</v>
      </c>
      <c r="B1323" s="150"/>
      <c r="C1323" s="213" t="s">
        <v>14796</v>
      </c>
      <c r="D1323" s="109" t="s">
        <v>14596</v>
      </c>
      <c r="E1323" s="202" t="s">
        <v>14686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6"/>
        <v>0</v>
      </c>
      <c r="O1323" s="268">
        <f t="shared" si="217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11"/>
        <v>0</v>
      </c>
      <c r="AD1323" s="196">
        <f t="shared" si="212"/>
        <v>0</v>
      </c>
      <c r="AE1323" s="196">
        <f t="shared" si="213"/>
        <v>0</v>
      </c>
      <c r="AF1323" s="2">
        <f t="shared" si="214"/>
        <v>0</v>
      </c>
      <c r="AG1323" s="2">
        <f t="shared" si="215"/>
        <v>0</v>
      </c>
    </row>
    <row r="1324" spans="1:33">
      <c r="A1324" s="20" t="s">
        <v>9389</v>
      </c>
      <c r="B1324" s="150"/>
      <c r="C1324" s="213" t="s">
        <v>14796</v>
      </c>
      <c r="D1324" s="109" t="s">
        <v>14596</v>
      </c>
      <c r="E1324" s="202" t="s">
        <v>14685</v>
      </c>
      <c r="F1324" s="393" t="s">
        <v>14798</v>
      </c>
      <c r="G1324" s="23" t="s">
        <v>15064</v>
      </c>
      <c r="H1324" s="380"/>
      <c r="I1324" s="380"/>
      <c r="J1324" s="380"/>
      <c r="K1324" s="380"/>
      <c r="L1324" s="375" t="s">
        <v>7787</v>
      </c>
      <c r="M1324" s="351"/>
      <c r="N1324" s="267">
        <f t="shared" si="216"/>
        <v>0</v>
      </c>
      <c r="O1324" s="268">
        <f t="shared" si="217"/>
        <v>0</v>
      </c>
      <c r="P1324" s="248"/>
      <c r="Q1324" s="248"/>
      <c r="R1324" s="248"/>
      <c r="S1324" s="248"/>
      <c r="T1324" s="248"/>
      <c r="U1324" s="240"/>
      <c r="V1324" s="240"/>
      <c r="W1324" s="240"/>
      <c r="X1324" s="278"/>
      <c r="Y1324" s="248"/>
      <c r="Z1324" s="240"/>
      <c r="AA1324" s="292"/>
      <c r="AB1324" s="389"/>
      <c r="AC1324" s="196">
        <f t="shared" si="211"/>
        <v>0</v>
      </c>
      <c r="AD1324" s="196">
        <f t="shared" si="212"/>
        <v>0</v>
      </c>
      <c r="AE1324" s="196">
        <f t="shared" si="213"/>
        <v>0</v>
      </c>
      <c r="AF1324" s="2">
        <f t="shared" si="214"/>
        <v>0</v>
      </c>
      <c r="AG1324" s="2">
        <f t="shared" si="215"/>
        <v>0</v>
      </c>
    </row>
    <row r="1325" spans="1:33">
      <c r="A1325" s="20" t="s">
        <v>18752</v>
      </c>
      <c r="B1325" s="150"/>
      <c r="C1325" s="213" t="s">
        <v>18868</v>
      </c>
      <c r="D1325" s="109" t="s">
        <v>18869</v>
      </c>
      <c r="E1325" s="202"/>
      <c r="F1325" s="393" t="s">
        <v>18871</v>
      </c>
      <c r="G1325" s="380" t="s">
        <v>18870</v>
      </c>
      <c r="H1325" s="380"/>
      <c r="I1325" s="380"/>
      <c r="J1325" s="380"/>
      <c r="K1325" s="380"/>
      <c r="L1325" s="375"/>
      <c r="M1325" s="351" t="s">
        <v>7787</v>
      </c>
      <c r="N1325" s="267">
        <f t="shared" si="216"/>
        <v>0</v>
      </c>
      <c r="O1325" s="268">
        <f t="shared" si="217"/>
        <v>0</v>
      </c>
      <c r="P1325" s="248"/>
      <c r="Q1325" s="248"/>
      <c r="R1325" s="248"/>
      <c r="S1325" s="248"/>
      <c r="T1325" s="248"/>
      <c r="U1325" s="240"/>
      <c r="V1325" s="244"/>
      <c r="W1325" s="240"/>
      <c r="X1325" s="278"/>
      <c r="Y1325" s="248"/>
      <c r="Z1325" s="240"/>
      <c r="AA1325" s="292"/>
      <c r="AB1325" s="389"/>
      <c r="AC1325" s="196">
        <f t="shared" si="211"/>
        <v>0</v>
      </c>
      <c r="AD1325" s="196">
        <f t="shared" si="212"/>
        <v>0</v>
      </c>
      <c r="AE1325" s="196">
        <f t="shared" si="213"/>
        <v>0</v>
      </c>
      <c r="AF1325" s="2">
        <f t="shared" si="214"/>
        <v>0</v>
      </c>
      <c r="AG1325" s="2">
        <f t="shared" si="215"/>
        <v>0</v>
      </c>
    </row>
    <row r="1326" spans="1:33">
      <c r="A1326" s="20" t="s">
        <v>8762</v>
      </c>
      <c r="B1326" s="150"/>
      <c r="C1326" s="21" t="s">
        <v>14800</v>
      </c>
      <c r="D1326" s="109" t="s">
        <v>14623</v>
      </c>
      <c r="E1326" s="109" t="s">
        <v>14801</v>
      </c>
      <c r="F1326" s="391" t="s">
        <v>14802</v>
      </c>
      <c r="G1326" s="23" t="s">
        <v>14642</v>
      </c>
      <c r="H1326" s="23"/>
      <c r="I1326" s="23"/>
      <c r="J1326" s="23"/>
      <c r="K1326" s="23"/>
      <c r="L1326" s="375" t="s">
        <v>7787</v>
      </c>
      <c r="M1326" s="351"/>
      <c r="N1326" s="267">
        <f t="shared" si="216"/>
        <v>0</v>
      </c>
      <c r="O1326" s="268">
        <f t="shared" si="217"/>
        <v>0</v>
      </c>
      <c r="P1326" s="239"/>
      <c r="Q1326" s="239"/>
      <c r="R1326" s="239"/>
      <c r="S1326" s="239"/>
      <c r="T1326" s="239"/>
      <c r="U1326" s="240"/>
      <c r="V1326" s="239"/>
      <c r="W1326" s="240"/>
      <c r="X1326" s="278"/>
      <c r="Y1326" s="237"/>
      <c r="Z1326" s="237"/>
      <c r="AA1326" s="279"/>
      <c r="AB1326" s="238"/>
      <c r="AC1326" s="196">
        <f t="shared" si="211"/>
        <v>0</v>
      </c>
      <c r="AD1326" s="196">
        <f t="shared" si="212"/>
        <v>0</v>
      </c>
      <c r="AE1326" s="196">
        <f t="shared" si="213"/>
        <v>0</v>
      </c>
      <c r="AF1326" s="2">
        <f t="shared" si="214"/>
        <v>0</v>
      </c>
      <c r="AG1326" s="2">
        <f t="shared" si="215"/>
        <v>0</v>
      </c>
    </row>
    <row r="1327" spans="1:33">
      <c r="A1327" s="20" t="s">
        <v>9778</v>
      </c>
      <c r="B1327" s="150"/>
      <c r="C1327" s="21" t="s">
        <v>14803</v>
      </c>
      <c r="D1327" s="109" t="s">
        <v>14591</v>
      </c>
      <c r="E1327" s="109"/>
      <c r="F1327" s="391" t="s">
        <v>14804</v>
      </c>
      <c r="G1327" s="23" t="s">
        <v>14805</v>
      </c>
      <c r="H1327" s="23"/>
      <c r="I1327" s="23"/>
      <c r="J1327" s="23"/>
      <c r="K1327" s="23"/>
      <c r="L1327" s="375" t="s">
        <v>7787</v>
      </c>
      <c r="M1327" s="351" t="s">
        <v>7787</v>
      </c>
      <c r="N1327" s="267">
        <f t="shared" si="216"/>
        <v>0</v>
      </c>
      <c r="O1327" s="268">
        <f t="shared" si="217"/>
        <v>0</v>
      </c>
      <c r="P1327" s="239"/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/>
      <c r="AC1327" s="196">
        <f t="shared" si="211"/>
        <v>0</v>
      </c>
      <c r="AD1327" s="196">
        <f t="shared" si="212"/>
        <v>0</v>
      </c>
      <c r="AE1327" s="196">
        <f t="shared" si="213"/>
        <v>0</v>
      </c>
      <c r="AF1327" s="2">
        <f t="shared" si="214"/>
        <v>0</v>
      </c>
      <c r="AG1327" s="2">
        <f t="shared" si="215"/>
        <v>0</v>
      </c>
    </row>
    <row r="1328" spans="1:33">
      <c r="A1328" s="20" t="s">
        <v>9089</v>
      </c>
      <c r="B1328" s="150"/>
      <c r="C1328" s="21" t="s">
        <v>14806</v>
      </c>
      <c r="D1328" s="109" t="s">
        <v>14807</v>
      </c>
      <c r="E1328" s="109"/>
      <c r="F1328" s="391" t="s">
        <v>14808</v>
      </c>
      <c r="G1328" s="23" t="s">
        <v>14703</v>
      </c>
      <c r="H1328" s="23" t="s">
        <v>13989</v>
      </c>
      <c r="I1328" s="23"/>
      <c r="J1328" s="23"/>
      <c r="K1328" s="23"/>
      <c r="L1328" s="375" t="s">
        <v>45</v>
      </c>
      <c r="M1328" s="351" t="s">
        <v>7787</v>
      </c>
      <c r="N1328" s="267">
        <f t="shared" si="216"/>
        <v>0</v>
      </c>
      <c r="O1328" s="268">
        <f t="shared" si="217"/>
        <v>200</v>
      </c>
      <c r="P1328" s="239">
        <f>800-600+600-600</f>
        <v>200</v>
      </c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 t="s">
        <v>27259</v>
      </c>
      <c r="AC1328" s="196">
        <f t="shared" si="211"/>
        <v>200</v>
      </c>
      <c r="AD1328" s="196">
        <f t="shared" si="212"/>
        <v>200</v>
      </c>
      <c r="AE1328" s="196">
        <f t="shared" si="213"/>
        <v>0</v>
      </c>
      <c r="AF1328" s="2">
        <f t="shared" si="214"/>
        <v>200</v>
      </c>
      <c r="AG1328" s="2">
        <f t="shared" si="215"/>
        <v>0</v>
      </c>
    </row>
    <row r="1329" spans="1:33">
      <c r="A1329" s="20" t="s">
        <v>11402</v>
      </c>
      <c r="B1329" s="150"/>
      <c r="C1329" s="21" t="s">
        <v>14809</v>
      </c>
      <c r="D1329" s="109" t="s">
        <v>14591</v>
      </c>
      <c r="E1329" s="109"/>
      <c r="F1329" s="391" t="s">
        <v>14810</v>
      </c>
      <c r="G1329" s="23" t="s">
        <v>14811</v>
      </c>
      <c r="H1329" s="23" t="s">
        <v>17488</v>
      </c>
      <c r="I1329" s="23"/>
      <c r="J1329" s="23"/>
      <c r="K1329" s="23"/>
      <c r="L1329" s="375"/>
      <c r="M1329" s="351" t="s">
        <v>7787</v>
      </c>
      <c r="N1329" s="267">
        <f t="shared" si="216"/>
        <v>0</v>
      </c>
      <c r="O1329" s="268">
        <f t="shared" si="217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11"/>
        <v>0</v>
      </c>
      <c r="AD1329" s="196">
        <f t="shared" si="212"/>
        <v>0</v>
      </c>
      <c r="AE1329" s="196">
        <f t="shared" si="213"/>
        <v>0</v>
      </c>
      <c r="AF1329" s="2">
        <f t="shared" si="214"/>
        <v>0</v>
      </c>
      <c r="AG1329" s="2">
        <f t="shared" si="215"/>
        <v>0</v>
      </c>
    </row>
    <row r="1330" spans="1:33">
      <c r="A1330" s="20" t="s">
        <v>8764</v>
      </c>
      <c r="B1330" s="150"/>
      <c r="C1330" s="21" t="s">
        <v>14812</v>
      </c>
      <c r="D1330" s="109" t="s">
        <v>14591</v>
      </c>
      <c r="E1330" s="109"/>
      <c r="F1330" s="391" t="s">
        <v>14813</v>
      </c>
      <c r="G1330" s="23" t="s">
        <v>14814</v>
      </c>
      <c r="H1330" s="23"/>
      <c r="I1330" s="23"/>
      <c r="J1330" s="23"/>
      <c r="K1330" s="23"/>
      <c r="L1330" s="375"/>
      <c r="M1330" s="351"/>
      <c r="N1330" s="267">
        <f t="shared" si="216"/>
        <v>0</v>
      </c>
      <c r="O1330" s="268">
        <f t="shared" si="217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11"/>
        <v>0</v>
      </c>
      <c r="AD1330" s="196">
        <f t="shared" si="212"/>
        <v>0</v>
      </c>
      <c r="AE1330" s="196">
        <f t="shared" si="213"/>
        <v>0</v>
      </c>
      <c r="AF1330" s="2">
        <f t="shared" si="214"/>
        <v>0</v>
      </c>
      <c r="AG1330" s="2">
        <f t="shared" si="215"/>
        <v>0</v>
      </c>
    </row>
    <row r="1331" spans="1:33">
      <c r="A1331" s="20" t="s">
        <v>9090</v>
      </c>
      <c r="B1331" s="150"/>
      <c r="C1331" s="21" t="s">
        <v>9130</v>
      </c>
      <c r="D1331" s="109" t="s">
        <v>14815</v>
      </c>
      <c r="E1331" s="109"/>
      <c r="F1331" s="391" t="s">
        <v>14816</v>
      </c>
      <c r="G1331" s="23" t="s">
        <v>14817</v>
      </c>
      <c r="H1331" s="23" t="s">
        <v>14818</v>
      </c>
      <c r="I1331" s="23"/>
      <c r="J1331" s="23"/>
      <c r="K1331" s="23"/>
      <c r="L1331" s="375" t="s">
        <v>7787</v>
      </c>
      <c r="M1331" s="351" t="s">
        <v>7787</v>
      </c>
      <c r="N1331" s="267">
        <f t="shared" si="216"/>
        <v>0</v>
      </c>
      <c r="O1331" s="268">
        <f t="shared" si="217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79"/>
      <c r="AB1331" s="238"/>
      <c r="AC1331" s="196">
        <f t="shared" si="211"/>
        <v>0</v>
      </c>
      <c r="AD1331" s="196">
        <f t="shared" si="212"/>
        <v>0</v>
      </c>
      <c r="AE1331" s="196">
        <f t="shared" si="213"/>
        <v>0</v>
      </c>
      <c r="AF1331" s="2">
        <f t="shared" si="214"/>
        <v>0</v>
      </c>
      <c r="AG1331" s="2">
        <f t="shared" si="215"/>
        <v>0</v>
      </c>
    </row>
    <row r="1332" spans="1:33">
      <c r="A1332" s="20" t="s">
        <v>9297</v>
      </c>
      <c r="B1332" s="150"/>
      <c r="C1332" s="21" t="s">
        <v>14819</v>
      </c>
      <c r="D1332" s="109" t="s">
        <v>14820</v>
      </c>
      <c r="E1332" s="109"/>
      <c r="F1332" s="391" t="s">
        <v>14821</v>
      </c>
      <c r="G1332" s="23" t="s">
        <v>14822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6"/>
        <v>0</v>
      </c>
      <c r="O1332" s="268">
        <f t="shared" si="217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37"/>
      <c r="AB1332" s="238"/>
      <c r="AC1332" s="196">
        <f t="shared" si="211"/>
        <v>0</v>
      </c>
      <c r="AD1332" s="196">
        <f t="shared" si="212"/>
        <v>0</v>
      </c>
      <c r="AE1332" s="196">
        <f t="shared" si="213"/>
        <v>0</v>
      </c>
      <c r="AF1332" s="2">
        <f t="shared" si="214"/>
        <v>0</v>
      </c>
      <c r="AG1332" s="2">
        <f t="shared" si="215"/>
        <v>0</v>
      </c>
    </row>
    <row r="1333" spans="1:33">
      <c r="A1333" s="20" t="s">
        <v>18519</v>
      </c>
      <c r="B1333" s="150"/>
      <c r="C1333" s="21" t="s">
        <v>18477</v>
      </c>
      <c r="D1333" s="109" t="s">
        <v>9366</v>
      </c>
      <c r="E1333" s="109"/>
      <c r="F1333" s="391" t="s">
        <v>9367</v>
      </c>
      <c r="G1333" s="23" t="s">
        <v>18312</v>
      </c>
      <c r="H1333" s="23"/>
      <c r="I1333" s="23"/>
      <c r="J1333" s="23"/>
      <c r="K1333" s="23"/>
      <c r="L1333" s="375" t="s">
        <v>7787</v>
      </c>
      <c r="M1333" s="351" t="s">
        <v>7787</v>
      </c>
      <c r="N1333" s="267">
        <f t="shared" si="216"/>
        <v>0</v>
      </c>
      <c r="O1333" s="268">
        <f t="shared" si="217"/>
        <v>0</v>
      </c>
      <c r="P1333" s="239"/>
      <c r="Q1333" s="239"/>
      <c r="R1333" s="239"/>
      <c r="S1333" s="239"/>
      <c r="T1333" s="239"/>
      <c r="U1333" s="240"/>
      <c r="V1333" s="240"/>
      <c r="W1333" s="240"/>
      <c r="X1333" s="278"/>
      <c r="Y1333" s="237"/>
      <c r="Z1333" s="237"/>
      <c r="AA1333" s="279"/>
      <c r="AB1333" s="238"/>
      <c r="AC1333" s="196">
        <f t="shared" si="211"/>
        <v>0</v>
      </c>
      <c r="AD1333" s="196">
        <f t="shared" si="212"/>
        <v>0</v>
      </c>
      <c r="AE1333" s="196">
        <f t="shared" si="213"/>
        <v>0</v>
      </c>
      <c r="AF1333" s="2">
        <f t="shared" si="214"/>
        <v>0</v>
      </c>
      <c r="AG1333" s="2">
        <f t="shared" si="215"/>
        <v>0</v>
      </c>
    </row>
    <row r="1334" spans="1:33">
      <c r="A1334" s="20" t="s">
        <v>1816</v>
      </c>
      <c r="B1334" s="150"/>
      <c r="C1334" s="21" t="s">
        <v>759</v>
      </c>
      <c r="D1334" s="109" t="s">
        <v>14823</v>
      </c>
      <c r="E1334" s="109"/>
      <c r="F1334" s="391" t="s">
        <v>14824</v>
      </c>
      <c r="G1334" s="23" t="s">
        <v>14720</v>
      </c>
      <c r="H1334" s="23" t="s">
        <v>14825</v>
      </c>
      <c r="I1334" s="23"/>
      <c r="J1334" s="23"/>
      <c r="K1334" s="23"/>
      <c r="L1334" s="375" t="s">
        <v>27849</v>
      </c>
      <c r="M1334" s="351" t="s">
        <v>45</v>
      </c>
      <c r="N1334" s="267">
        <f t="shared" si="216"/>
        <v>0</v>
      </c>
      <c r="O1334" s="268">
        <f t="shared" si="217"/>
        <v>1750</v>
      </c>
      <c r="P1334" s="239">
        <f>850+4950-5000+7700+2450-8500-2400+4950+2800+2950-10000+3400+2950+3050+4400-12000+1200+17700-15600-1000-200-3000-1500+2950+5650-1500-4000-1500</f>
        <v>1750</v>
      </c>
      <c r="Q1334" s="239"/>
      <c r="R1334" s="239"/>
      <c r="S1334" s="239"/>
      <c r="T1334" s="239"/>
      <c r="U1334" s="240"/>
      <c r="V1334" s="240"/>
      <c r="W1334" s="240"/>
      <c r="X1334" s="278"/>
      <c r="Y1334" s="239"/>
      <c r="Z1334" s="237"/>
      <c r="AA1334" s="279"/>
      <c r="AB1334" s="238" t="s">
        <v>27898</v>
      </c>
      <c r="AC1334" s="196">
        <f t="shared" si="211"/>
        <v>1750</v>
      </c>
      <c r="AD1334" s="196">
        <f t="shared" si="212"/>
        <v>1750</v>
      </c>
      <c r="AE1334" s="196">
        <f t="shared" si="213"/>
        <v>0</v>
      </c>
      <c r="AF1334" s="2">
        <f t="shared" si="214"/>
        <v>1750</v>
      </c>
      <c r="AG1334" s="2">
        <f t="shared" si="215"/>
        <v>0</v>
      </c>
    </row>
    <row r="1335" spans="1:33">
      <c r="A1335" s="20" t="s">
        <v>1818</v>
      </c>
      <c r="B1335" s="150"/>
      <c r="C1335" s="21" t="s">
        <v>759</v>
      </c>
      <c r="D1335" s="109" t="s">
        <v>14826</v>
      </c>
      <c r="E1335" s="109"/>
      <c r="F1335" s="391" t="s">
        <v>14827</v>
      </c>
      <c r="G1335" s="23"/>
      <c r="H1335" s="23"/>
      <c r="I1335" s="23"/>
      <c r="J1335" s="23"/>
      <c r="K1335" s="23"/>
      <c r="L1335" s="375" t="s">
        <v>7787</v>
      </c>
      <c r="M1335" s="351"/>
      <c r="N1335" s="267">
        <f t="shared" si="216"/>
        <v>0</v>
      </c>
      <c r="O1335" s="268">
        <f t="shared" si="217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11"/>
        <v>0</v>
      </c>
      <c r="AD1335" s="196">
        <f t="shared" si="212"/>
        <v>0</v>
      </c>
      <c r="AE1335" s="196">
        <f t="shared" si="213"/>
        <v>0</v>
      </c>
      <c r="AF1335" s="2">
        <f t="shared" si="214"/>
        <v>0</v>
      </c>
      <c r="AG1335" s="2">
        <f t="shared" si="215"/>
        <v>0</v>
      </c>
    </row>
    <row r="1336" spans="1:33">
      <c r="A1336" s="20" t="s">
        <v>1814</v>
      </c>
      <c r="B1336" s="150"/>
      <c r="C1336" s="21" t="s">
        <v>759</v>
      </c>
      <c r="D1336" s="109" t="s">
        <v>13949</v>
      </c>
      <c r="E1336" s="109"/>
      <c r="F1336" s="391" t="s">
        <v>14827</v>
      </c>
      <c r="G1336" s="23"/>
      <c r="H1336" s="23"/>
      <c r="I1336" s="23"/>
      <c r="J1336" s="23"/>
      <c r="K1336" s="23"/>
      <c r="L1336" s="350"/>
      <c r="M1336" s="351"/>
      <c r="N1336" s="267">
        <f t="shared" si="216"/>
        <v>0</v>
      </c>
      <c r="O1336" s="268">
        <f t="shared" si="217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79"/>
      <c r="AB1336" s="238"/>
      <c r="AC1336" s="196">
        <f t="shared" si="211"/>
        <v>0</v>
      </c>
      <c r="AD1336" s="196">
        <f t="shared" si="212"/>
        <v>0</v>
      </c>
      <c r="AE1336" s="196">
        <f t="shared" si="213"/>
        <v>0</v>
      </c>
      <c r="AF1336" s="2">
        <f t="shared" si="214"/>
        <v>0</v>
      </c>
      <c r="AG1336" s="2">
        <f t="shared" si="215"/>
        <v>0</v>
      </c>
    </row>
    <row r="1337" spans="1:33">
      <c r="A1337" s="20" t="s">
        <v>1815</v>
      </c>
      <c r="B1337" s="150"/>
      <c r="C1337" s="21" t="s">
        <v>759</v>
      </c>
      <c r="D1337" s="109" t="s">
        <v>13613</v>
      </c>
      <c r="E1337" s="109"/>
      <c r="F1337" s="391" t="s">
        <v>14827</v>
      </c>
      <c r="G1337" s="23" t="s">
        <v>13958</v>
      </c>
      <c r="H1337" s="23" t="s">
        <v>14710</v>
      </c>
      <c r="I1337" s="23" t="s">
        <v>13370</v>
      </c>
      <c r="J1337" s="23"/>
      <c r="K1337" s="23"/>
      <c r="L1337" s="375" t="s">
        <v>7787</v>
      </c>
      <c r="M1337" s="351" t="s">
        <v>7787</v>
      </c>
      <c r="N1337" s="267">
        <f t="shared" si="216"/>
        <v>0</v>
      </c>
      <c r="O1337" s="268">
        <f t="shared" si="217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39"/>
      <c r="AB1337" s="238"/>
      <c r="AC1337" s="196">
        <f t="shared" si="211"/>
        <v>0</v>
      </c>
      <c r="AD1337" s="196">
        <f t="shared" si="212"/>
        <v>0</v>
      </c>
      <c r="AE1337" s="196">
        <f t="shared" si="213"/>
        <v>0</v>
      </c>
      <c r="AF1337" s="2">
        <f t="shared" si="214"/>
        <v>0</v>
      </c>
      <c r="AG1337" s="2">
        <f t="shared" si="215"/>
        <v>0</v>
      </c>
    </row>
    <row r="1338" spans="1:33">
      <c r="A1338" s="20" t="s">
        <v>1817</v>
      </c>
      <c r="B1338" s="150"/>
      <c r="C1338" s="21" t="s">
        <v>759</v>
      </c>
      <c r="D1338" s="109" t="s">
        <v>13955</v>
      </c>
      <c r="E1338" s="109"/>
      <c r="F1338" s="391" t="s">
        <v>14827</v>
      </c>
      <c r="G1338" s="23"/>
      <c r="H1338" s="23"/>
      <c r="I1338" s="23"/>
      <c r="J1338" s="23"/>
      <c r="K1338" s="23"/>
      <c r="L1338" s="350"/>
      <c r="M1338" s="351"/>
      <c r="N1338" s="267">
        <f t="shared" si="216"/>
        <v>0</v>
      </c>
      <c r="O1338" s="268">
        <f t="shared" si="217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7"/>
      <c r="Z1338" s="237"/>
      <c r="AA1338" s="279"/>
      <c r="AB1338" s="238"/>
      <c r="AC1338" s="196">
        <f t="shared" si="211"/>
        <v>0</v>
      </c>
      <c r="AD1338" s="196">
        <f t="shared" si="212"/>
        <v>0</v>
      </c>
      <c r="AE1338" s="196">
        <f t="shared" si="213"/>
        <v>0</v>
      </c>
      <c r="AF1338" s="2">
        <f t="shared" si="214"/>
        <v>0</v>
      </c>
      <c r="AG1338" s="2">
        <f t="shared" si="215"/>
        <v>0</v>
      </c>
    </row>
    <row r="1339" spans="1:33">
      <c r="A1339" s="20" t="s">
        <v>9136</v>
      </c>
      <c r="B1339" s="150"/>
      <c r="C1339" s="21" t="s">
        <v>14828</v>
      </c>
      <c r="D1339" s="109" t="s">
        <v>13613</v>
      </c>
      <c r="E1339" s="109"/>
      <c r="F1339" s="391" t="s">
        <v>14829</v>
      </c>
      <c r="G1339" s="23" t="s">
        <v>14830</v>
      </c>
      <c r="H1339" s="23"/>
      <c r="I1339" s="23"/>
      <c r="J1339" s="23"/>
      <c r="K1339" s="23"/>
      <c r="L1339" s="375" t="s">
        <v>7787</v>
      </c>
      <c r="M1339" s="351" t="s">
        <v>7787</v>
      </c>
      <c r="N1339" s="267">
        <f t="shared" si="216"/>
        <v>0</v>
      </c>
      <c r="O1339" s="268">
        <f t="shared" si="217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9"/>
      <c r="Z1339" s="237"/>
      <c r="AA1339" s="279"/>
      <c r="AB1339" s="238"/>
      <c r="AC1339" s="196">
        <f t="shared" si="211"/>
        <v>0</v>
      </c>
      <c r="AD1339" s="196">
        <f t="shared" si="212"/>
        <v>0</v>
      </c>
      <c r="AE1339" s="196">
        <f t="shared" si="213"/>
        <v>0</v>
      </c>
      <c r="AF1339" s="2">
        <f t="shared" si="214"/>
        <v>0</v>
      </c>
      <c r="AG1339" s="2">
        <f t="shared" si="215"/>
        <v>0</v>
      </c>
    </row>
    <row r="1340" spans="1:33">
      <c r="A1340" s="20" t="s">
        <v>9639</v>
      </c>
      <c r="B1340" s="150"/>
      <c r="C1340" s="21" t="s">
        <v>14831</v>
      </c>
      <c r="D1340" s="109" t="s">
        <v>14832</v>
      </c>
      <c r="E1340" s="109"/>
      <c r="F1340" s="391" t="s">
        <v>14833</v>
      </c>
      <c r="G1340" s="23" t="s">
        <v>14834</v>
      </c>
      <c r="H1340" s="23"/>
      <c r="I1340" s="23"/>
      <c r="J1340" s="23"/>
      <c r="K1340" s="23"/>
      <c r="L1340" s="375" t="s">
        <v>7787</v>
      </c>
      <c r="M1340" s="351"/>
      <c r="N1340" s="267">
        <f t="shared" si="216"/>
        <v>0</v>
      </c>
      <c r="O1340" s="268">
        <f t="shared" si="217"/>
        <v>0</v>
      </c>
      <c r="P1340" s="239"/>
      <c r="Q1340" s="239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11"/>
        <v>0</v>
      </c>
      <c r="AD1340" s="196">
        <f t="shared" si="212"/>
        <v>0</v>
      </c>
      <c r="AE1340" s="196">
        <f t="shared" si="213"/>
        <v>0</v>
      </c>
      <c r="AF1340" s="2">
        <f t="shared" si="214"/>
        <v>0</v>
      </c>
      <c r="AG1340" s="2">
        <f t="shared" si="215"/>
        <v>0</v>
      </c>
    </row>
    <row r="1341" spans="1:33">
      <c r="A1341" s="20" t="s">
        <v>10038</v>
      </c>
      <c r="B1341" s="150"/>
      <c r="C1341" s="21" t="s">
        <v>14831</v>
      </c>
      <c r="D1341" s="109" t="s">
        <v>14835</v>
      </c>
      <c r="E1341" s="109"/>
      <c r="F1341" s="391" t="s">
        <v>14833</v>
      </c>
      <c r="G1341" s="23" t="s">
        <v>14836</v>
      </c>
      <c r="H1341" s="23"/>
      <c r="I1341" s="23"/>
      <c r="J1341" s="23"/>
      <c r="K1341" s="23"/>
      <c r="L1341" s="375" t="s">
        <v>7787</v>
      </c>
      <c r="M1341" s="351" t="s">
        <v>7787</v>
      </c>
      <c r="N1341" s="267">
        <f t="shared" si="216"/>
        <v>0</v>
      </c>
      <c r="O1341" s="268">
        <f t="shared" si="217"/>
        <v>0</v>
      </c>
      <c r="P1341" s="239"/>
      <c r="Q1341" s="237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79"/>
      <c r="AB1341" s="238"/>
      <c r="AC1341" s="196">
        <f t="shared" si="211"/>
        <v>0</v>
      </c>
      <c r="AD1341" s="196">
        <f t="shared" si="212"/>
        <v>0</v>
      </c>
      <c r="AE1341" s="196">
        <f t="shared" si="213"/>
        <v>0</v>
      </c>
      <c r="AF1341" s="2">
        <f t="shared" si="214"/>
        <v>0</v>
      </c>
      <c r="AG1341" s="2">
        <f t="shared" si="215"/>
        <v>0</v>
      </c>
    </row>
    <row r="1342" spans="1:33">
      <c r="A1342" s="20" t="s">
        <v>11292</v>
      </c>
      <c r="B1342" s="150"/>
      <c r="C1342" s="21" t="s">
        <v>14831</v>
      </c>
      <c r="D1342" s="109" t="s">
        <v>14837</v>
      </c>
      <c r="E1342" s="109"/>
      <c r="F1342" s="391" t="s">
        <v>14833</v>
      </c>
      <c r="G1342" s="23" t="s">
        <v>14838</v>
      </c>
      <c r="H1342" s="23" t="s">
        <v>14839</v>
      </c>
      <c r="I1342" s="23"/>
      <c r="J1342" s="23"/>
      <c r="K1342" s="23"/>
      <c r="L1342" s="375" t="s">
        <v>7787</v>
      </c>
      <c r="M1342" s="351"/>
      <c r="N1342" s="267">
        <f t="shared" si="216"/>
        <v>0</v>
      </c>
      <c r="O1342" s="268">
        <f t="shared" si="217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39"/>
      <c r="AB1342" s="238"/>
      <c r="AC1342" s="196">
        <f t="shared" si="211"/>
        <v>0</v>
      </c>
      <c r="AD1342" s="196">
        <f t="shared" si="212"/>
        <v>0</v>
      </c>
      <c r="AE1342" s="196">
        <f t="shared" si="213"/>
        <v>0</v>
      </c>
      <c r="AF1342" s="2">
        <f t="shared" si="214"/>
        <v>0</v>
      </c>
      <c r="AG1342" s="2">
        <f t="shared" si="215"/>
        <v>0</v>
      </c>
    </row>
    <row r="1343" spans="1:33">
      <c r="A1343" s="20" t="s">
        <v>9736</v>
      </c>
      <c r="B1343" s="150"/>
      <c r="C1343" s="21" t="s">
        <v>14831</v>
      </c>
      <c r="D1343" s="109" t="s">
        <v>14840</v>
      </c>
      <c r="E1343" s="109"/>
      <c r="F1343" s="391" t="s">
        <v>9759</v>
      </c>
      <c r="G1343" s="23" t="s">
        <v>14836</v>
      </c>
      <c r="H1343" s="23"/>
      <c r="I1343" s="23"/>
      <c r="J1343" s="23"/>
      <c r="K1343" s="23"/>
      <c r="L1343" s="375" t="s">
        <v>7787</v>
      </c>
      <c r="M1343" s="351"/>
      <c r="N1343" s="267">
        <f t="shared" si="216"/>
        <v>0</v>
      </c>
      <c r="O1343" s="268">
        <f t="shared" si="217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11"/>
        <v>0</v>
      </c>
      <c r="AD1343" s="196">
        <f t="shared" si="212"/>
        <v>0</v>
      </c>
      <c r="AE1343" s="196">
        <f t="shared" si="213"/>
        <v>0</v>
      </c>
      <c r="AF1343" s="2">
        <f t="shared" si="214"/>
        <v>0</v>
      </c>
      <c r="AG1343" s="2">
        <f t="shared" si="215"/>
        <v>0</v>
      </c>
    </row>
    <row r="1344" spans="1:33">
      <c r="A1344" s="20" t="s">
        <v>9293</v>
      </c>
      <c r="B1344" s="150"/>
      <c r="C1344" s="21" t="s">
        <v>14841</v>
      </c>
      <c r="D1344" s="109" t="s">
        <v>13441</v>
      </c>
      <c r="E1344" s="109"/>
      <c r="F1344" s="391" t="s">
        <v>14842</v>
      </c>
      <c r="G1344" s="23" t="s">
        <v>14836</v>
      </c>
      <c r="H1344" s="23" t="s">
        <v>14843</v>
      </c>
      <c r="I1344" s="23" t="s">
        <v>14844</v>
      </c>
      <c r="J1344" s="23"/>
      <c r="K1344" s="23"/>
      <c r="L1344" s="375" t="s">
        <v>7787</v>
      </c>
      <c r="M1344" s="351" t="s">
        <v>7787</v>
      </c>
      <c r="N1344" s="267">
        <f t="shared" si="216"/>
        <v>0</v>
      </c>
      <c r="O1344" s="268">
        <f t="shared" si="217"/>
        <v>0</v>
      </c>
      <c r="P1344" s="239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11"/>
        <v>0</v>
      </c>
      <c r="AD1344" s="196">
        <f t="shared" si="212"/>
        <v>0</v>
      </c>
      <c r="AE1344" s="196">
        <f t="shared" si="213"/>
        <v>0</v>
      </c>
      <c r="AF1344" s="2">
        <f t="shared" si="214"/>
        <v>0</v>
      </c>
      <c r="AG1344" s="2">
        <f t="shared" si="215"/>
        <v>0</v>
      </c>
    </row>
    <row r="1345" spans="1:33">
      <c r="A1345" s="20" t="s">
        <v>8838</v>
      </c>
      <c r="B1345" s="150"/>
      <c r="C1345" s="21" t="s">
        <v>14845</v>
      </c>
      <c r="D1345" s="109" t="s">
        <v>14846</v>
      </c>
      <c r="E1345" s="109" t="s">
        <v>14847</v>
      </c>
      <c r="F1345" s="391" t="s">
        <v>14848</v>
      </c>
      <c r="G1345" s="23" t="s">
        <v>14849</v>
      </c>
      <c r="H1345" s="23"/>
      <c r="I1345" s="23"/>
      <c r="J1345" s="23"/>
      <c r="K1345" s="23"/>
      <c r="L1345" s="375" t="s">
        <v>7787</v>
      </c>
      <c r="M1345" s="351"/>
      <c r="N1345" s="267">
        <f t="shared" si="216"/>
        <v>0</v>
      </c>
      <c r="O1345" s="268">
        <f t="shared" si="217"/>
        <v>0</v>
      </c>
      <c r="P1345" s="240"/>
      <c r="Q1345" s="239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11"/>
        <v>0</v>
      </c>
      <c r="AD1345" s="196">
        <f t="shared" si="212"/>
        <v>0</v>
      </c>
      <c r="AE1345" s="196">
        <f t="shared" si="213"/>
        <v>0</v>
      </c>
      <c r="AF1345" s="2">
        <f t="shared" si="214"/>
        <v>0</v>
      </c>
      <c r="AG1345" s="2">
        <f t="shared" si="215"/>
        <v>0</v>
      </c>
    </row>
    <row r="1346" spans="1:33">
      <c r="A1346" s="20" t="s">
        <v>9224</v>
      </c>
      <c r="B1346" s="150"/>
      <c r="C1346" s="21" t="s">
        <v>14850</v>
      </c>
      <c r="D1346" s="109" t="s">
        <v>14591</v>
      </c>
      <c r="E1346" s="109"/>
      <c r="F1346" s="391" t="s">
        <v>14851</v>
      </c>
      <c r="G1346" s="23" t="s">
        <v>14637</v>
      </c>
      <c r="H1346" s="23"/>
      <c r="I1346" s="23"/>
      <c r="J1346" s="23"/>
      <c r="K1346" s="23"/>
      <c r="L1346" s="375" t="s">
        <v>7787</v>
      </c>
      <c r="M1346" s="351"/>
      <c r="N1346" s="267">
        <f t="shared" si="216"/>
        <v>0</v>
      </c>
      <c r="O1346" s="268">
        <f t="shared" si="217"/>
        <v>0</v>
      </c>
      <c r="P1346" s="244"/>
      <c r="Q1346" s="244"/>
      <c r="R1346" s="239"/>
      <c r="S1346" s="239"/>
      <c r="T1346" s="239"/>
      <c r="U1346" s="240"/>
      <c r="V1346" s="240"/>
      <c r="W1346" s="240"/>
      <c r="X1346" s="278"/>
      <c r="Y1346" s="237"/>
      <c r="Z1346" s="237"/>
      <c r="AA1346" s="279"/>
      <c r="AB1346" s="238"/>
      <c r="AC1346" s="196">
        <f t="shared" si="211"/>
        <v>0</v>
      </c>
      <c r="AD1346" s="196">
        <f t="shared" si="212"/>
        <v>0</v>
      </c>
      <c r="AE1346" s="196">
        <f t="shared" si="213"/>
        <v>0</v>
      </c>
      <c r="AF1346" s="2">
        <f t="shared" si="214"/>
        <v>0</v>
      </c>
      <c r="AG1346" s="2">
        <f t="shared" si="215"/>
        <v>0</v>
      </c>
    </row>
    <row r="1347" spans="1:33">
      <c r="A1347" s="20" t="s">
        <v>9473</v>
      </c>
      <c r="B1347" s="150"/>
      <c r="C1347" s="21" t="s">
        <v>14852</v>
      </c>
      <c r="D1347" s="109" t="s">
        <v>14591</v>
      </c>
      <c r="E1347" s="109"/>
      <c r="F1347" s="391" t="s">
        <v>25368</v>
      </c>
      <c r="G1347" s="23" t="s">
        <v>13610</v>
      </c>
      <c r="H1347" s="23" t="s">
        <v>26477</v>
      </c>
      <c r="I1347" s="23"/>
      <c r="J1347" s="23"/>
      <c r="K1347" s="23"/>
      <c r="L1347" s="375" t="s">
        <v>27652</v>
      </c>
      <c r="M1347" s="351" t="s">
        <v>7787</v>
      </c>
      <c r="N1347" s="267">
        <f t="shared" si="216"/>
        <v>0</v>
      </c>
      <c r="O1347" s="268">
        <f t="shared" si="217"/>
        <v>200</v>
      </c>
      <c r="P1347" s="244"/>
      <c r="Q1347" s="244"/>
      <c r="R1347" s="239"/>
      <c r="S1347" s="239"/>
      <c r="T1347" s="239"/>
      <c r="U1347" s="240">
        <f>300-100</f>
        <v>200</v>
      </c>
      <c r="V1347" s="240"/>
      <c r="W1347" s="240"/>
      <c r="X1347" s="278"/>
      <c r="Y1347" s="237"/>
      <c r="Z1347" s="237"/>
      <c r="AA1347" s="279"/>
      <c r="AB1347" s="238" t="s">
        <v>27647</v>
      </c>
      <c r="AC1347" s="196">
        <f t="shared" si="211"/>
        <v>200</v>
      </c>
      <c r="AD1347" s="196">
        <f t="shared" si="212"/>
        <v>200</v>
      </c>
      <c r="AE1347" s="196">
        <f t="shared" si="213"/>
        <v>0</v>
      </c>
      <c r="AF1347" s="2">
        <f t="shared" si="214"/>
        <v>200</v>
      </c>
      <c r="AG1347" s="2">
        <f t="shared" si="215"/>
        <v>0</v>
      </c>
    </row>
    <row r="1348" spans="1:33">
      <c r="A1348" s="20" t="s">
        <v>27048</v>
      </c>
      <c r="B1348" s="150"/>
      <c r="C1348" s="21" t="s">
        <v>9477</v>
      </c>
      <c r="D1348" s="109" t="s">
        <v>3137</v>
      </c>
      <c r="E1348" s="109"/>
      <c r="F1348" s="391" t="s">
        <v>25367</v>
      </c>
      <c r="G1348" s="23" t="s">
        <v>13942</v>
      </c>
      <c r="H1348" s="23"/>
      <c r="I1348" s="23"/>
      <c r="J1348" s="23"/>
      <c r="K1348" s="23"/>
      <c r="L1348" s="375"/>
      <c r="M1348" s="351"/>
      <c r="N1348" s="267">
        <f t="shared" ref="N1348" si="218">SUM(L1348:M1348)</f>
        <v>0</v>
      </c>
      <c r="O1348" s="268">
        <f t="shared" ref="O1348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11"/>
        <v>0</v>
      </c>
      <c r="AD1348" s="196">
        <f t="shared" si="212"/>
        <v>0</v>
      </c>
      <c r="AE1348" s="196">
        <f t="shared" si="213"/>
        <v>0</v>
      </c>
      <c r="AF1348" s="2">
        <f t="shared" si="214"/>
        <v>0</v>
      </c>
      <c r="AG1348" s="2">
        <f t="shared" si="215"/>
        <v>0</v>
      </c>
    </row>
    <row r="1349" spans="1:33">
      <c r="A1349" s="20" t="s">
        <v>24370</v>
      </c>
      <c r="B1349" s="150"/>
      <c r="C1349" s="21" t="s">
        <v>9477</v>
      </c>
      <c r="D1349" s="109" t="s">
        <v>3137</v>
      </c>
      <c r="E1349" s="202" t="s">
        <v>24403</v>
      </c>
      <c r="F1349" s="391" t="s">
        <v>8868</v>
      </c>
      <c r="G1349" s="203" t="s">
        <v>24404</v>
      </c>
      <c r="H1349" s="23"/>
      <c r="I1349" s="23"/>
      <c r="J1349" s="23"/>
      <c r="K1349" s="23"/>
      <c r="L1349" s="375"/>
      <c r="M1349" s="351"/>
      <c r="N1349" s="267">
        <f t="shared" ref="N1349:N1350" si="220">SUM(L1349:M1349)</f>
        <v>0</v>
      </c>
      <c r="O1349" s="268">
        <f t="shared" ref="O1349:O1350" si="221">SUM(P1349:Z1349)</f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11"/>
        <v>0</v>
      </c>
      <c r="AD1349" s="196">
        <f t="shared" si="212"/>
        <v>0</v>
      </c>
      <c r="AE1349" s="196">
        <f t="shared" si="213"/>
        <v>0</v>
      </c>
      <c r="AF1349" s="2">
        <f t="shared" si="214"/>
        <v>0</v>
      </c>
      <c r="AG1349" s="2">
        <f t="shared" si="215"/>
        <v>0</v>
      </c>
    </row>
    <row r="1350" spans="1:33">
      <c r="A1350" s="20" t="s">
        <v>24923</v>
      </c>
      <c r="B1350" s="150"/>
      <c r="C1350" s="21" t="s">
        <v>9477</v>
      </c>
      <c r="D1350" s="109" t="s">
        <v>3137</v>
      </c>
      <c r="E1350" s="202" t="s">
        <v>3115</v>
      </c>
      <c r="F1350" s="391" t="s">
        <v>8868</v>
      </c>
      <c r="G1350" s="203" t="s">
        <v>16333</v>
      </c>
      <c r="H1350" s="23" t="s">
        <v>24955</v>
      </c>
      <c r="I1350" s="23"/>
      <c r="J1350" s="23"/>
      <c r="K1350" s="23"/>
      <c r="L1350" s="375" t="s">
        <v>7787</v>
      </c>
      <c r="M1350" s="351" t="s">
        <v>45</v>
      </c>
      <c r="N1350" s="267">
        <f t="shared" si="220"/>
        <v>0</v>
      </c>
      <c r="O1350" s="268">
        <f t="shared" si="221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3"/>
      <c r="Z1350" s="237"/>
      <c r="AA1350" s="279"/>
      <c r="AB1350" s="238"/>
      <c r="AC1350" s="196">
        <f t="shared" si="211"/>
        <v>0</v>
      </c>
      <c r="AD1350" s="196">
        <f t="shared" si="212"/>
        <v>0</v>
      </c>
      <c r="AE1350" s="196">
        <f t="shared" si="213"/>
        <v>0</v>
      </c>
      <c r="AF1350" s="2">
        <f t="shared" si="214"/>
        <v>0</v>
      </c>
      <c r="AG1350" s="2">
        <f t="shared" si="215"/>
        <v>0</v>
      </c>
    </row>
    <row r="1351" spans="1:33">
      <c r="A1351" s="20" t="s">
        <v>9513</v>
      </c>
      <c r="B1351" s="150"/>
      <c r="C1351" s="21" t="s">
        <v>9620</v>
      </c>
      <c r="D1351" s="109" t="s">
        <v>14618</v>
      </c>
      <c r="E1351" s="109"/>
      <c r="F1351" s="391" t="s">
        <v>14853</v>
      </c>
      <c r="G1351" s="23" t="s">
        <v>14562</v>
      </c>
      <c r="H1351" s="14"/>
      <c r="I1351" s="14"/>
      <c r="J1351" s="14"/>
      <c r="K1351" s="14"/>
      <c r="L1351" s="375" t="s">
        <v>7787</v>
      </c>
      <c r="M1351" s="351"/>
      <c r="N1351" s="267">
        <f t="shared" si="216"/>
        <v>0</v>
      </c>
      <c r="O1351" s="268">
        <f t="shared" si="217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44"/>
      <c r="Z1351" s="237"/>
      <c r="AA1351" s="279"/>
      <c r="AB1351" s="238"/>
      <c r="AC1351" s="196">
        <f t="shared" si="211"/>
        <v>0</v>
      </c>
      <c r="AD1351" s="196">
        <f t="shared" si="212"/>
        <v>0</v>
      </c>
      <c r="AE1351" s="196">
        <f t="shared" si="213"/>
        <v>0</v>
      </c>
      <c r="AF1351" s="2">
        <f t="shared" si="214"/>
        <v>0</v>
      </c>
      <c r="AG1351" s="2">
        <f t="shared" si="215"/>
        <v>0</v>
      </c>
    </row>
    <row r="1352" spans="1:33">
      <c r="A1352" s="20" t="s">
        <v>9512</v>
      </c>
      <c r="B1352" s="150"/>
      <c r="C1352" s="21" t="s">
        <v>14854</v>
      </c>
      <c r="D1352" s="109" t="s">
        <v>14618</v>
      </c>
      <c r="E1352" s="109"/>
      <c r="F1352" s="391" t="s">
        <v>14855</v>
      </c>
      <c r="G1352" s="23" t="s">
        <v>14562</v>
      </c>
      <c r="H1352" s="23"/>
      <c r="I1352" s="23"/>
      <c r="J1352" s="23"/>
      <c r="K1352" s="23"/>
      <c r="L1352" s="375" t="s">
        <v>7787</v>
      </c>
      <c r="M1352" s="351" t="s">
        <v>7787</v>
      </c>
      <c r="N1352" s="267">
        <f t="shared" si="216"/>
        <v>0</v>
      </c>
      <c r="O1352" s="268">
        <f t="shared" si="217"/>
        <v>0</v>
      </c>
      <c r="P1352" s="244"/>
      <c r="Q1352" s="244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11"/>
        <v>0</v>
      </c>
      <c r="AD1352" s="196">
        <f t="shared" si="212"/>
        <v>0</v>
      </c>
      <c r="AE1352" s="196">
        <f t="shared" si="213"/>
        <v>0</v>
      </c>
      <c r="AF1352" s="2">
        <f t="shared" si="214"/>
        <v>0</v>
      </c>
      <c r="AG1352" s="2">
        <f t="shared" si="215"/>
        <v>0</v>
      </c>
    </row>
    <row r="1353" spans="1:33">
      <c r="A1353" s="20" t="s">
        <v>1828</v>
      </c>
      <c r="B1353" s="161"/>
      <c r="C1353" s="21" t="s">
        <v>760</v>
      </c>
      <c r="D1353" s="109" t="s">
        <v>13945</v>
      </c>
      <c r="E1353" s="109" t="s">
        <v>13947</v>
      </c>
      <c r="F1353" s="391" t="s">
        <v>14856</v>
      </c>
      <c r="G1353" s="23" t="s">
        <v>14573</v>
      </c>
      <c r="H1353" s="23"/>
      <c r="I1353" s="23"/>
      <c r="J1353" s="23"/>
      <c r="K1353" s="23"/>
      <c r="L1353" s="350"/>
      <c r="M1353" s="351"/>
      <c r="N1353" s="267">
        <f t="shared" si="216"/>
        <v>0</v>
      </c>
      <c r="O1353" s="268">
        <f t="shared" si="217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si="211"/>
        <v>0</v>
      </c>
      <c r="AD1353" s="196">
        <f t="shared" si="212"/>
        <v>0</v>
      </c>
      <c r="AE1353" s="196">
        <f t="shared" si="213"/>
        <v>0</v>
      </c>
      <c r="AF1353" s="2">
        <f t="shared" si="214"/>
        <v>0</v>
      </c>
      <c r="AG1353" s="2">
        <f t="shared" si="215"/>
        <v>0</v>
      </c>
    </row>
    <row r="1354" spans="1:33">
      <c r="A1354" s="20" t="s">
        <v>1825</v>
      </c>
      <c r="B1354" s="161"/>
      <c r="C1354" s="21" t="s">
        <v>760</v>
      </c>
      <c r="D1354" s="109" t="s">
        <v>13612</v>
      </c>
      <c r="E1354" s="109" t="s">
        <v>13611</v>
      </c>
      <c r="F1354" s="391" t="s">
        <v>14856</v>
      </c>
      <c r="G1354" s="23"/>
      <c r="H1354" s="23"/>
      <c r="I1354" s="23"/>
      <c r="J1354" s="23"/>
      <c r="K1354" s="23"/>
      <c r="L1354" s="350"/>
      <c r="M1354" s="351"/>
      <c r="N1354" s="267">
        <f t="shared" si="216"/>
        <v>0</v>
      </c>
      <c r="O1354" s="268">
        <f t="shared" si="217"/>
        <v>0</v>
      </c>
      <c r="P1354" s="239"/>
      <c r="Q1354" s="239"/>
      <c r="R1354" s="239"/>
      <c r="S1354" s="239"/>
      <c r="T1354" s="239"/>
      <c r="U1354" s="240"/>
      <c r="V1354" s="240"/>
      <c r="W1354" s="240"/>
      <c r="X1354" s="278"/>
      <c r="Y1354" s="237"/>
      <c r="Z1354" s="237"/>
      <c r="AA1354" s="279"/>
      <c r="AB1354" s="238"/>
      <c r="AC1354" s="196">
        <f t="shared" ref="AC1354:AC1417" si="222">SUM(P1354:AA1354)</f>
        <v>0</v>
      </c>
      <c r="AD1354" s="196">
        <f t="shared" ref="AD1354:AD1417" si="223">SUM(P1354:AB1354)</f>
        <v>0</v>
      </c>
      <c r="AE1354" s="196">
        <f t="shared" ref="AE1354:AE1417" si="224">SUM(AC1354-AD1354)</f>
        <v>0</v>
      </c>
      <c r="AF1354" s="2">
        <f t="shared" ref="AF1354:AF1417" si="225">+AC1354</f>
        <v>0</v>
      </c>
      <c r="AG1354" s="2">
        <f t="shared" ref="AG1354:AG1417" si="226">+AC1354-AF1354</f>
        <v>0</v>
      </c>
    </row>
    <row r="1355" spans="1:33">
      <c r="A1355" s="20" t="s">
        <v>1823</v>
      </c>
      <c r="B1355" s="162" t="s">
        <v>14857</v>
      </c>
      <c r="C1355" s="21" t="s">
        <v>760</v>
      </c>
      <c r="D1355" s="109" t="s">
        <v>14858</v>
      </c>
      <c r="E1355" s="109"/>
      <c r="F1355" s="391" t="s">
        <v>14859</v>
      </c>
      <c r="G1355" s="23" t="s">
        <v>13951</v>
      </c>
      <c r="H1355" s="23"/>
      <c r="I1355" s="23"/>
      <c r="J1355" s="23"/>
      <c r="K1355" s="23"/>
      <c r="L1355" s="375" t="s">
        <v>27931</v>
      </c>
      <c r="M1355" s="351" t="s">
        <v>7787</v>
      </c>
      <c r="N1355" s="267">
        <f t="shared" si="216"/>
        <v>0</v>
      </c>
      <c r="O1355" s="268">
        <f t="shared" si="217"/>
        <v>300</v>
      </c>
      <c r="P1355" s="239"/>
      <c r="Q1355" s="239"/>
      <c r="R1355" s="239"/>
      <c r="S1355" s="239"/>
      <c r="T1355" s="239"/>
      <c r="U1355" s="240">
        <f>1300-1000</f>
        <v>300</v>
      </c>
      <c r="V1355" s="240"/>
      <c r="W1355" s="240"/>
      <c r="X1355" s="278"/>
      <c r="Y1355" s="239"/>
      <c r="Z1355" s="237"/>
      <c r="AA1355" s="279"/>
      <c r="AB1355" s="238" t="s">
        <v>27933</v>
      </c>
      <c r="AC1355" s="196">
        <f t="shared" si="222"/>
        <v>300</v>
      </c>
      <c r="AD1355" s="196">
        <f t="shared" si="223"/>
        <v>300</v>
      </c>
      <c r="AE1355" s="196">
        <f t="shared" si="224"/>
        <v>0</v>
      </c>
      <c r="AF1355" s="2">
        <f t="shared" si="225"/>
        <v>300</v>
      </c>
      <c r="AG1355" s="2">
        <f t="shared" si="226"/>
        <v>0</v>
      </c>
    </row>
    <row r="1356" spans="1:33">
      <c r="A1356" s="20" t="s">
        <v>1824</v>
      </c>
      <c r="B1356" s="156" t="s">
        <v>14860</v>
      </c>
      <c r="C1356" s="21" t="s">
        <v>760</v>
      </c>
      <c r="D1356" s="109" t="s">
        <v>14792</v>
      </c>
      <c r="E1356" s="109"/>
      <c r="F1356" s="391" t="s">
        <v>14856</v>
      </c>
      <c r="G1356" s="23" t="s">
        <v>14825</v>
      </c>
      <c r="H1356" s="23" t="s">
        <v>14720</v>
      </c>
      <c r="I1356" s="23"/>
      <c r="J1356" s="23"/>
      <c r="K1356" s="23"/>
      <c r="L1356" s="375" t="s">
        <v>7787</v>
      </c>
      <c r="M1356" s="351" t="s">
        <v>7787</v>
      </c>
      <c r="N1356" s="267">
        <f t="shared" si="216"/>
        <v>0</v>
      </c>
      <c r="O1356" s="268">
        <f t="shared" si="217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9"/>
      <c r="Z1356" s="237"/>
      <c r="AA1356" s="279"/>
      <c r="AB1356" s="238"/>
      <c r="AC1356" s="196">
        <f t="shared" si="222"/>
        <v>0</v>
      </c>
      <c r="AD1356" s="196">
        <f t="shared" si="223"/>
        <v>0</v>
      </c>
      <c r="AE1356" s="196">
        <f t="shared" si="224"/>
        <v>0</v>
      </c>
      <c r="AF1356" s="2">
        <f t="shared" si="225"/>
        <v>0</v>
      </c>
      <c r="AG1356" s="2">
        <f t="shared" si="226"/>
        <v>0</v>
      </c>
    </row>
    <row r="1357" spans="1:33">
      <c r="A1357" s="20" t="s">
        <v>1826</v>
      </c>
      <c r="B1357" s="161"/>
      <c r="C1357" s="21" t="s">
        <v>760</v>
      </c>
      <c r="D1357" s="109" t="s">
        <v>14826</v>
      </c>
      <c r="E1357" s="109"/>
      <c r="F1357" s="391" t="s">
        <v>14856</v>
      </c>
      <c r="G1357" s="23"/>
      <c r="H1357" s="23"/>
      <c r="I1357" s="23"/>
      <c r="J1357" s="23"/>
      <c r="K1357" s="23"/>
      <c r="L1357" s="350"/>
      <c r="M1357" s="351"/>
      <c r="N1357" s="267">
        <f t="shared" si="216"/>
        <v>0</v>
      </c>
      <c r="O1357" s="268">
        <f t="shared" si="217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7"/>
      <c r="Z1357" s="237"/>
      <c r="AA1357" s="279"/>
      <c r="AB1357" s="238"/>
      <c r="AC1357" s="196">
        <f t="shared" si="222"/>
        <v>0</v>
      </c>
      <c r="AD1357" s="196">
        <f t="shared" si="223"/>
        <v>0</v>
      </c>
      <c r="AE1357" s="196">
        <f t="shared" si="224"/>
        <v>0</v>
      </c>
      <c r="AF1357" s="2">
        <f t="shared" si="225"/>
        <v>0</v>
      </c>
      <c r="AG1357" s="2">
        <f t="shared" si="226"/>
        <v>0</v>
      </c>
    </row>
    <row r="1358" spans="1:33">
      <c r="A1358" s="20" t="s">
        <v>1819</v>
      </c>
      <c r="B1358" s="15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13617</v>
      </c>
      <c r="I1358" s="23" t="s">
        <v>14703</v>
      </c>
      <c r="J1358" s="23" t="s">
        <v>14724</v>
      </c>
      <c r="K1358" s="23"/>
      <c r="L1358" s="356"/>
      <c r="M1358" s="351" t="s">
        <v>7787</v>
      </c>
      <c r="N1358" s="267">
        <f t="shared" si="216"/>
        <v>0</v>
      </c>
      <c r="O1358" s="268">
        <f t="shared" si="217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9"/>
      <c r="Z1358" s="237"/>
      <c r="AA1358" s="279"/>
      <c r="AB1358" s="238"/>
      <c r="AC1358" s="196">
        <f t="shared" si="222"/>
        <v>0</v>
      </c>
      <c r="AD1358" s="196">
        <f t="shared" si="223"/>
        <v>0</v>
      </c>
      <c r="AE1358" s="196">
        <f t="shared" si="224"/>
        <v>0</v>
      </c>
      <c r="AF1358" s="2">
        <f t="shared" si="225"/>
        <v>0</v>
      </c>
      <c r="AG1358" s="2">
        <f t="shared" si="226"/>
        <v>0</v>
      </c>
    </row>
    <row r="1359" spans="1:33">
      <c r="A1359" s="20" t="s">
        <v>1820</v>
      </c>
      <c r="B1359" s="162"/>
      <c r="C1359" s="21" t="s">
        <v>760</v>
      </c>
      <c r="D1359" s="109" t="s">
        <v>13949</v>
      </c>
      <c r="E1359" s="109"/>
      <c r="F1359" s="391" t="s">
        <v>14861</v>
      </c>
      <c r="G1359" s="23" t="s">
        <v>14862</v>
      </c>
      <c r="H1359" s="23" t="s">
        <v>14724</v>
      </c>
      <c r="I1359" s="23" t="s">
        <v>13617</v>
      </c>
      <c r="J1359" s="23" t="s">
        <v>14703</v>
      </c>
      <c r="K1359" s="23"/>
      <c r="L1359" s="350"/>
      <c r="M1359" s="351"/>
      <c r="N1359" s="267">
        <f t="shared" si="216"/>
        <v>0</v>
      </c>
      <c r="O1359" s="268">
        <f t="shared" si="217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2"/>
        <v>0</v>
      </c>
      <c r="AD1359" s="196">
        <f t="shared" si="223"/>
        <v>0</v>
      </c>
      <c r="AE1359" s="196">
        <f t="shared" si="224"/>
        <v>0</v>
      </c>
      <c r="AF1359" s="2">
        <f t="shared" si="225"/>
        <v>0</v>
      </c>
      <c r="AG1359" s="2">
        <f t="shared" si="226"/>
        <v>0</v>
      </c>
    </row>
    <row r="1360" spans="1:33">
      <c r="A1360" s="20" t="s">
        <v>1821</v>
      </c>
      <c r="B1360" s="150"/>
      <c r="C1360" s="21" t="s">
        <v>760</v>
      </c>
      <c r="D1360" s="109" t="s">
        <v>14863</v>
      </c>
      <c r="E1360" s="109"/>
      <c r="F1360" s="391" t="s">
        <v>14864</v>
      </c>
      <c r="G1360" s="23" t="s">
        <v>13951</v>
      </c>
      <c r="H1360" s="23"/>
      <c r="I1360" s="23"/>
      <c r="J1360" s="23"/>
      <c r="K1360" s="23"/>
      <c r="L1360" s="350"/>
      <c r="M1360" s="351"/>
      <c r="N1360" s="267">
        <f t="shared" si="216"/>
        <v>0</v>
      </c>
      <c r="O1360" s="268">
        <f t="shared" si="217"/>
        <v>0</v>
      </c>
      <c r="P1360" s="239"/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/>
      <c r="AC1360" s="196">
        <f t="shared" si="222"/>
        <v>0</v>
      </c>
      <c r="AD1360" s="196">
        <f t="shared" si="223"/>
        <v>0</v>
      </c>
      <c r="AE1360" s="196">
        <f t="shared" si="224"/>
        <v>0</v>
      </c>
      <c r="AF1360" s="2">
        <f t="shared" si="225"/>
        <v>0</v>
      </c>
      <c r="AG1360" s="2">
        <f t="shared" si="226"/>
        <v>0</v>
      </c>
    </row>
    <row r="1361" spans="1:33">
      <c r="A1361" s="20" t="s">
        <v>1822</v>
      </c>
      <c r="B1361" s="150"/>
      <c r="C1361" s="21" t="s">
        <v>760</v>
      </c>
      <c r="D1361" s="109" t="s">
        <v>13613</v>
      </c>
      <c r="E1361" s="109"/>
      <c r="F1361" s="391" t="s">
        <v>14865</v>
      </c>
      <c r="G1361" s="23" t="s">
        <v>13957</v>
      </c>
      <c r="H1361" s="23" t="s">
        <v>14866</v>
      </c>
      <c r="I1361" s="23" t="s">
        <v>14867</v>
      </c>
      <c r="J1361" s="23"/>
      <c r="K1361" s="23"/>
      <c r="L1361" s="367" t="s">
        <v>27642</v>
      </c>
      <c r="M1361" s="351" t="s">
        <v>7787</v>
      </c>
      <c r="N1361" s="267">
        <f t="shared" si="216"/>
        <v>0</v>
      </c>
      <c r="O1361" s="268">
        <f t="shared" si="217"/>
        <v>300</v>
      </c>
      <c r="P1361" s="239">
        <v>300</v>
      </c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 t="s">
        <v>27641</v>
      </c>
      <c r="AC1361" s="196">
        <f t="shared" si="222"/>
        <v>300</v>
      </c>
      <c r="AD1361" s="196">
        <f t="shared" si="223"/>
        <v>300</v>
      </c>
      <c r="AE1361" s="196">
        <f t="shared" si="224"/>
        <v>0</v>
      </c>
      <c r="AF1361" s="2">
        <f t="shared" si="225"/>
        <v>300</v>
      </c>
      <c r="AG1361" s="2">
        <f t="shared" si="226"/>
        <v>0</v>
      </c>
    </row>
    <row r="1362" spans="1:33">
      <c r="A1362" s="20" t="s">
        <v>1827</v>
      </c>
      <c r="B1362" s="150"/>
      <c r="C1362" s="21" t="s">
        <v>760</v>
      </c>
      <c r="D1362" s="109" t="s">
        <v>13955</v>
      </c>
      <c r="E1362" s="109"/>
      <c r="F1362" s="391" t="s">
        <v>14856</v>
      </c>
      <c r="G1362" s="23" t="s">
        <v>14573</v>
      </c>
      <c r="H1362" s="23" t="s">
        <v>14593</v>
      </c>
      <c r="I1362" s="23"/>
      <c r="J1362" s="23"/>
      <c r="K1362" s="23"/>
      <c r="L1362" s="362"/>
      <c r="M1362" s="351"/>
      <c r="N1362" s="267">
        <f t="shared" si="216"/>
        <v>0</v>
      </c>
      <c r="O1362" s="268">
        <f t="shared" si="217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2"/>
        <v>0</v>
      </c>
      <c r="AD1362" s="196">
        <f t="shared" si="223"/>
        <v>0</v>
      </c>
      <c r="AE1362" s="196">
        <f t="shared" si="224"/>
        <v>0</v>
      </c>
      <c r="AF1362" s="2">
        <f t="shared" si="225"/>
        <v>0</v>
      </c>
      <c r="AG1362" s="2">
        <f t="shared" si="226"/>
        <v>0</v>
      </c>
    </row>
    <row r="1363" spans="1:33">
      <c r="A1363" s="20" t="s">
        <v>7118</v>
      </c>
      <c r="B1363" s="150" t="s">
        <v>7259</v>
      </c>
      <c r="C1363" s="21" t="s">
        <v>760</v>
      </c>
      <c r="D1363" s="109" t="s">
        <v>14610</v>
      </c>
      <c r="E1363" s="109"/>
      <c r="F1363" s="391" t="s">
        <v>14856</v>
      </c>
      <c r="G1363" s="23"/>
      <c r="H1363" s="23"/>
      <c r="I1363" s="23"/>
      <c r="J1363" s="23"/>
      <c r="K1363" s="23"/>
      <c r="L1363" s="362"/>
      <c r="M1363" s="351"/>
      <c r="N1363" s="267">
        <f t="shared" si="216"/>
        <v>0</v>
      </c>
      <c r="O1363" s="268">
        <f t="shared" si="217"/>
        <v>0</v>
      </c>
      <c r="P1363" s="239"/>
      <c r="Q1363" s="239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2"/>
        <v>0</v>
      </c>
      <c r="AD1363" s="196">
        <f t="shared" si="223"/>
        <v>0</v>
      </c>
      <c r="AE1363" s="196">
        <f t="shared" si="224"/>
        <v>0</v>
      </c>
      <c r="AF1363" s="2">
        <f t="shared" si="225"/>
        <v>0</v>
      </c>
      <c r="AG1363" s="2">
        <f t="shared" si="226"/>
        <v>0</v>
      </c>
    </row>
    <row r="1364" spans="1:33">
      <c r="A1364" s="20" t="s">
        <v>9973</v>
      </c>
      <c r="B1364" s="150"/>
      <c r="C1364" s="21" t="s">
        <v>14868</v>
      </c>
      <c r="D1364" s="109" t="s">
        <v>9937</v>
      </c>
      <c r="E1364" s="109"/>
      <c r="F1364" s="391" t="s">
        <v>14869</v>
      </c>
      <c r="G1364" s="23" t="s">
        <v>14562</v>
      </c>
      <c r="H1364" s="23"/>
      <c r="I1364" s="23"/>
      <c r="J1364" s="23"/>
      <c r="K1364" s="23"/>
      <c r="L1364" s="375" t="s">
        <v>45</v>
      </c>
      <c r="M1364" s="351" t="s">
        <v>7787</v>
      </c>
      <c r="N1364" s="267">
        <f t="shared" si="216"/>
        <v>0</v>
      </c>
      <c r="O1364" s="268">
        <f t="shared" si="217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2"/>
        <v>0</v>
      </c>
      <c r="AD1364" s="196">
        <f t="shared" si="223"/>
        <v>0</v>
      </c>
      <c r="AE1364" s="196">
        <f t="shared" si="224"/>
        <v>0</v>
      </c>
      <c r="AF1364" s="2">
        <f t="shared" si="225"/>
        <v>0</v>
      </c>
      <c r="AG1364" s="2">
        <f t="shared" si="226"/>
        <v>0</v>
      </c>
    </row>
    <row r="1365" spans="1:33">
      <c r="A1365" s="20" t="s">
        <v>10390</v>
      </c>
      <c r="B1365" s="150"/>
      <c r="C1365" s="21" t="s">
        <v>10692</v>
      </c>
      <c r="D1365" s="109" t="s">
        <v>9937</v>
      </c>
      <c r="E1365" s="109"/>
      <c r="F1365" s="391" t="s">
        <v>10693</v>
      </c>
      <c r="G1365" s="23" t="s">
        <v>5511</v>
      </c>
      <c r="H1365" s="23"/>
      <c r="I1365" s="23"/>
      <c r="J1365" s="23"/>
      <c r="K1365" s="23"/>
      <c r="L1365" s="375" t="s">
        <v>7787</v>
      </c>
      <c r="M1365" s="351" t="s">
        <v>7787</v>
      </c>
      <c r="N1365" s="267">
        <f t="shared" si="216"/>
        <v>0</v>
      </c>
      <c r="O1365" s="268">
        <f t="shared" si="217"/>
        <v>0</v>
      </c>
      <c r="P1365" s="244"/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/>
      <c r="AC1365" s="196">
        <f t="shared" si="222"/>
        <v>0</v>
      </c>
      <c r="AD1365" s="196">
        <f t="shared" si="223"/>
        <v>0</v>
      </c>
      <c r="AE1365" s="196">
        <f t="shared" si="224"/>
        <v>0</v>
      </c>
      <c r="AF1365" s="2">
        <f t="shared" si="225"/>
        <v>0</v>
      </c>
      <c r="AG1365" s="2">
        <f t="shared" si="226"/>
        <v>0</v>
      </c>
    </row>
    <row r="1366" spans="1:33">
      <c r="A1366" s="20" t="s">
        <v>10391</v>
      </c>
      <c r="B1366" s="150"/>
      <c r="C1366" s="21" t="s">
        <v>10694</v>
      </c>
      <c r="D1366" s="109" t="s">
        <v>9937</v>
      </c>
      <c r="E1366" s="109"/>
      <c r="F1366" s="391" t="s">
        <v>10695</v>
      </c>
      <c r="G1366" s="23" t="s">
        <v>5511</v>
      </c>
      <c r="H1366" s="23"/>
      <c r="I1366" s="23"/>
      <c r="J1366" s="23"/>
      <c r="K1366" s="23"/>
      <c r="L1366" s="375" t="s">
        <v>45</v>
      </c>
      <c r="M1366" s="351" t="s">
        <v>7787</v>
      </c>
      <c r="N1366" s="267">
        <f t="shared" si="216"/>
        <v>0</v>
      </c>
      <c r="O1366" s="268">
        <f t="shared" si="217"/>
        <v>50</v>
      </c>
      <c r="P1366" s="244">
        <f>250-200</f>
        <v>50</v>
      </c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 t="s">
        <v>26801</v>
      </c>
      <c r="AC1366" s="196">
        <f t="shared" si="222"/>
        <v>50</v>
      </c>
      <c r="AD1366" s="196">
        <f t="shared" si="223"/>
        <v>50</v>
      </c>
      <c r="AE1366" s="196">
        <f t="shared" si="224"/>
        <v>0</v>
      </c>
      <c r="AF1366" s="2">
        <f t="shared" si="225"/>
        <v>50</v>
      </c>
      <c r="AG1366" s="2">
        <f t="shared" si="226"/>
        <v>0</v>
      </c>
    </row>
    <row r="1367" spans="1:33">
      <c r="A1367" s="20" t="s">
        <v>10203</v>
      </c>
      <c r="B1367" s="150"/>
      <c r="C1367" s="21" t="s">
        <v>10696</v>
      </c>
      <c r="D1367" s="109" t="s">
        <v>10697</v>
      </c>
      <c r="E1367" s="109"/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 t="s">
        <v>7787</v>
      </c>
      <c r="N1367" s="267">
        <f t="shared" si="216"/>
        <v>0</v>
      </c>
      <c r="O1367" s="268">
        <f t="shared" si="217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2"/>
        <v>0</v>
      </c>
      <c r="AD1367" s="196">
        <f t="shared" si="223"/>
        <v>0</v>
      </c>
      <c r="AE1367" s="196">
        <f t="shared" si="224"/>
        <v>0</v>
      </c>
      <c r="AF1367" s="2">
        <f t="shared" si="225"/>
        <v>0</v>
      </c>
      <c r="AG1367" s="2">
        <f t="shared" si="226"/>
        <v>0</v>
      </c>
    </row>
    <row r="1368" spans="1:33">
      <c r="A1368" s="20" t="s">
        <v>10206</v>
      </c>
      <c r="B1368" s="150"/>
      <c r="C1368" s="21" t="s">
        <v>10696</v>
      </c>
      <c r="D1368" s="109" t="s">
        <v>10641</v>
      </c>
      <c r="E1368" s="109" t="s">
        <v>10699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6"/>
        <v>0</v>
      </c>
      <c r="O1368" s="268">
        <f t="shared" si="217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2"/>
        <v>0</v>
      </c>
      <c r="AD1368" s="196">
        <f t="shared" si="223"/>
        <v>0</v>
      </c>
      <c r="AE1368" s="196">
        <f t="shared" si="224"/>
        <v>0</v>
      </c>
      <c r="AF1368" s="2">
        <f t="shared" si="225"/>
        <v>0</v>
      </c>
      <c r="AG1368" s="2">
        <f t="shared" si="226"/>
        <v>0</v>
      </c>
    </row>
    <row r="1369" spans="1:33">
      <c r="A1369" s="20" t="s">
        <v>10207</v>
      </c>
      <c r="B1369" s="150"/>
      <c r="C1369" s="21" t="s">
        <v>10696</v>
      </c>
      <c r="D1369" s="109" t="s">
        <v>10641</v>
      </c>
      <c r="E1369" s="109" t="s">
        <v>10700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6"/>
        <v>0</v>
      </c>
      <c r="O1369" s="268">
        <f t="shared" si="217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2"/>
        <v>0</v>
      </c>
      <c r="AD1369" s="196">
        <f t="shared" si="223"/>
        <v>0</v>
      </c>
      <c r="AE1369" s="196">
        <f t="shared" si="224"/>
        <v>0</v>
      </c>
      <c r="AF1369" s="2">
        <f t="shared" si="225"/>
        <v>0</v>
      </c>
      <c r="AG1369" s="2">
        <f t="shared" si="226"/>
        <v>0</v>
      </c>
    </row>
    <row r="1370" spans="1:33">
      <c r="A1370" s="20" t="s">
        <v>10208</v>
      </c>
      <c r="B1370" s="150"/>
      <c r="C1370" s="21" t="s">
        <v>10696</v>
      </c>
      <c r="D1370" s="109" t="s">
        <v>10641</v>
      </c>
      <c r="E1370" s="109" t="s">
        <v>10701</v>
      </c>
      <c r="F1370" s="391" t="s">
        <v>10698</v>
      </c>
      <c r="G1370" s="23" t="s">
        <v>6607</v>
      </c>
      <c r="H1370" s="23"/>
      <c r="I1370" s="23"/>
      <c r="J1370" s="23"/>
      <c r="K1370" s="23"/>
      <c r="L1370" s="375" t="s">
        <v>7787</v>
      </c>
      <c r="M1370" s="351"/>
      <c r="N1370" s="267">
        <f t="shared" si="216"/>
        <v>0</v>
      </c>
      <c r="O1370" s="268">
        <f t="shared" si="217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2"/>
        <v>0</v>
      </c>
      <c r="AD1370" s="196">
        <f t="shared" si="223"/>
        <v>0</v>
      </c>
      <c r="AE1370" s="196">
        <f t="shared" si="224"/>
        <v>0</v>
      </c>
      <c r="AF1370" s="2">
        <f t="shared" si="225"/>
        <v>0</v>
      </c>
      <c r="AG1370" s="2">
        <f t="shared" si="226"/>
        <v>0</v>
      </c>
    </row>
    <row r="1371" spans="1:33">
      <c r="A1371" s="20" t="s">
        <v>9515</v>
      </c>
      <c r="B1371" s="150"/>
      <c r="C1371" s="21" t="s">
        <v>10702</v>
      </c>
      <c r="D1371" s="109" t="s">
        <v>10703</v>
      </c>
      <c r="E1371" s="109" t="s">
        <v>10704</v>
      </c>
      <c r="F1371" s="391" t="s">
        <v>10705</v>
      </c>
      <c r="G1371" s="23" t="s">
        <v>7491</v>
      </c>
      <c r="H1371" s="23"/>
      <c r="I1371" s="23"/>
      <c r="J1371" s="23"/>
      <c r="K1371" s="23"/>
      <c r="L1371" s="375"/>
      <c r="M1371" s="351">
        <v>0</v>
      </c>
      <c r="N1371" s="267">
        <f t="shared" si="216"/>
        <v>0</v>
      </c>
      <c r="O1371" s="268">
        <f t="shared" si="217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2"/>
        <v>0</v>
      </c>
      <c r="AD1371" s="196">
        <f t="shared" si="223"/>
        <v>0</v>
      </c>
      <c r="AE1371" s="196">
        <f t="shared" si="224"/>
        <v>0</v>
      </c>
      <c r="AF1371" s="2">
        <f t="shared" si="225"/>
        <v>0</v>
      </c>
      <c r="AG1371" s="2">
        <f t="shared" si="226"/>
        <v>0</v>
      </c>
    </row>
    <row r="1372" spans="1:33">
      <c r="A1372" s="20" t="s">
        <v>21674</v>
      </c>
      <c r="B1372" s="150"/>
      <c r="C1372" s="21" t="s">
        <v>10436</v>
      </c>
      <c r="D1372" s="109" t="s">
        <v>5742</v>
      </c>
      <c r="E1372" s="109"/>
      <c r="F1372" s="391" t="s">
        <v>21727</v>
      </c>
      <c r="G1372" s="23" t="s">
        <v>21726</v>
      </c>
      <c r="H1372" s="23"/>
      <c r="I1372" s="23"/>
      <c r="J1372" s="23"/>
      <c r="K1372" s="23"/>
      <c r="L1372" s="375"/>
      <c r="M1372" s="351"/>
      <c r="N1372" s="267">
        <f t="shared" si="216"/>
        <v>0</v>
      </c>
      <c r="O1372" s="268">
        <f t="shared" si="217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2"/>
        <v>0</v>
      </c>
      <c r="AD1372" s="196">
        <f t="shared" si="223"/>
        <v>0</v>
      </c>
      <c r="AE1372" s="196">
        <f t="shared" si="224"/>
        <v>0</v>
      </c>
      <c r="AF1372" s="2">
        <f t="shared" si="225"/>
        <v>0</v>
      </c>
      <c r="AG1372" s="2">
        <f t="shared" si="226"/>
        <v>0</v>
      </c>
    </row>
    <row r="1373" spans="1:33">
      <c r="A1373" s="20" t="s">
        <v>9516</v>
      </c>
      <c r="B1373" s="150"/>
      <c r="C1373" s="21" t="s">
        <v>10706</v>
      </c>
      <c r="D1373" s="109" t="s">
        <v>4064</v>
      </c>
      <c r="E1373" s="109"/>
      <c r="F1373" s="391" t="s">
        <v>10707</v>
      </c>
      <c r="G1373" s="23" t="s">
        <v>10708</v>
      </c>
      <c r="H1373" s="23"/>
      <c r="I1373" s="23"/>
      <c r="J1373" s="23"/>
      <c r="K1373" s="23"/>
      <c r="L1373" s="375" t="s">
        <v>7787</v>
      </c>
      <c r="M1373" s="351"/>
      <c r="N1373" s="267">
        <f t="shared" si="216"/>
        <v>0</v>
      </c>
      <c r="O1373" s="268">
        <f t="shared" si="217"/>
        <v>0</v>
      </c>
      <c r="P1373" s="244"/>
      <c r="Q1373" s="244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2"/>
        <v>0</v>
      </c>
      <c r="AD1373" s="196">
        <f t="shared" si="223"/>
        <v>0</v>
      </c>
      <c r="AE1373" s="196">
        <f t="shared" si="224"/>
        <v>0</v>
      </c>
      <c r="AF1373" s="2">
        <f t="shared" si="225"/>
        <v>0</v>
      </c>
      <c r="AG1373" s="2">
        <f t="shared" si="226"/>
        <v>0</v>
      </c>
    </row>
    <row r="1374" spans="1:33">
      <c r="A1374" s="20" t="s">
        <v>1829</v>
      </c>
      <c r="B1374" s="150"/>
      <c r="C1374" s="21" t="s">
        <v>761</v>
      </c>
      <c r="D1374" s="109" t="s">
        <v>13612</v>
      </c>
      <c r="E1374" s="109" t="s">
        <v>13611</v>
      </c>
      <c r="F1374" s="391" t="s">
        <v>14870</v>
      </c>
      <c r="G1374" s="23"/>
      <c r="H1374" s="23"/>
      <c r="I1374" s="23"/>
      <c r="J1374" s="23"/>
      <c r="K1374" s="23"/>
      <c r="L1374" s="350"/>
      <c r="M1374" s="351"/>
      <c r="N1374" s="267">
        <f t="shared" si="216"/>
        <v>0</v>
      </c>
      <c r="O1374" s="268">
        <f t="shared" si="217"/>
        <v>0</v>
      </c>
      <c r="P1374" s="239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37"/>
      <c r="AA1374" s="279"/>
      <c r="AB1374" s="238"/>
      <c r="AC1374" s="196">
        <f t="shared" si="222"/>
        <v>0</v>
      </c>
      <c r="AD1374" s="196">
        <f t="shared" si="223"/>
        <v>0</v>
      </c>
      <c r="AE1374" s="196">
        <f t="shared" si="224"/>
        <v>0</v>
      </c>
      <c r="AF1374" s="2">
        <f t="shared" si="225"/>
        <v>0</v>
      </c>
      <c r="AG1374" s="2">
        <f t="shared" si="226"/>
        <v>0</v>
      </c>
    </row>
    <row r="1375" spans="1:33">
      <c r="A1375" s="20" t="s">
        <v>1830</v>
      </c>
      <c r="B1375" s="150"/>
      <c r="C1375" s="21" t="s">
        <v>761</v>
      </c>
      <c r="D1375" s="109" t="s">
        <v>13949</v>
      </c>
      <c r="E1375" s="109"/>
      <c r="F1375" s="391" t="s">
        <v>14870</v>
      </c>
      <c r="G1375" s="23" t="s">
        <v>13951</v>
      </c>
      <c r="H1375" s="23" t="s">
        <v>14431</v>
      </c>
      <c r="I1375" s="23"/>
      <c r="J1375" s="23"/>
      <c r="K1375" s="23"/>
      <c r="L1375" s="375"/>
      <c r="M1375" s="351" t="s">
        <v>7787</v>
      </c>
      <c r="N1375" s="267">
        <f t="shared" si="216"/>
        <v>0</v>
      </c>
      <c r="O1375" s="268">
        <f t="shared" si="217"/>
        <v>0</v>
      </c>
      <c r="P1375" s="240"/>
      <c r="Q1375" s="239"/>
      <c r="R1375" s="239"/>
      <c r="S1375" s="239"/>
      <c r="T1375" s="239"/>
      <c r="U1375" s="240"/>
      <c r="V1375" s="240"/>
      <c r="W1375" s="240"/>
      <c r="X1375" s="278"/>
      <c r="Y1375" s="237"/>
      <c r="Z1375" s="279"/>
      <c r="AA1375" s="279"/>
      <c r="AB1375" s="238"/>
      <c r="AC1375" s="196">
        <f t="shared" si="222"/>
        <v>0</v>
      </c>
      <c r="AD1375" s="196">
        <f t="shared" si="223"/>
        <v>0</v>
      </c>
      <c r="AE1375" s="196">
        <f t="shared" si="224"/>
        <v>0</v>
      </c>
      <c r="AF1375" s="2">
        <f t="shared" si="225"/>
        <v>0</v>
      </c>
      <c r="AG1375" s="2">
        <f t="shared" si="226"/>
        <v>0</v>
      </c>
    </row>
    <row r="1376" spans="1:33">
      <c r="A1376" s="20" t="s">
        <v>1831</v>
      </c>
      <c r="B1376" s="150"/>
      <c r="C1376" s="21" t="s">
        <v>761</v>
      </c>
      <c r="D1376" s="109" t="s">
        <v>13613</v>
      </c>
      <c r="E1376" s="109"/>
      <c r="F1376" s="391" t="s">
        <v>14870</v>
      </c>
      <c r="G1376" s="23" t="s">
        <v>14793</v>
      </c>
      <c r="H1376" s="23" t="s">
        <v>14871</v>
      </c>
      <c r="I1376" s="23" t="s">
        <v>16623</v>
      </c>
      <c r="J1376" s="23" t="s">
        <v>13301</v>
      </c>
      <c r="K1376" s="23"/>
      <c r="L1376" s="375"/>
      <c r="M1376" s="351" t="s">
        <v>7787</v>
      </c>
      <c r="N1376" s="267">
        <f t="shared" si="216"/>
        <v>0</v>
      </c>
      <c r="O1376" s="268">
        <f t="shared" si="217"/>
        <v>0</v>
      </c>
      <c r="P1376" s="239"/>
      <c r="Q1376" s="239"/>
      <c r="R1376" s="239"/>
      <c r="S1376" s="239"/>
      <c r="T1376" s="239"/>
      <c r="U1376" s="240"/>
      <c r="V1376" s="239"/>
      <c r="W1376" s="240"/>
      <c r="X1376" s="278"/>
      <c r="Y1376" s="237"/>
      <c r="Z1376" s="279"/>
      <c r="AA1376" s="279"/>
      <c r="AB1376" s="238"/>
      <c r="AC1376" s="196">
        <f t="shared" si="222"/>
        <v>0</v>
      </c>
      <c r="AD1376" s="196">
        <f t="shared" si="223"/>
        <v>0</v>
      </c>
      <c r="AE1376" s="196">
        <f t="shared" si="224"/>
        <v>0</v>
      </c>
      <c r="AF1376" s="2">
        <f t="shared" si="225"/>
        <v>0</v>
      </c>
      <c r="AG1376" s="2">
        <f t="shared" si="226"/>
        <v>0</v>
      </c>
    </row>
    <row r="1377" spans="1:33">
      <c r="A1377" s="20" t="s">
        <v>1832</v>
      </c>
      <c r="B1377" s="150"/>
      <c r="C1377" s="21" t="s">
        <v>761</v>
      </c>
      <c r="D1377" s="109" t="s">
        <v>13881</v>
      </c>
      <c r="E1377" s="109"/>
      <c r="F1377" s="391" t="s">
        <v>14872</v>
      </c>
      <c r="G1377" s="23"/>
      <c r="H1377" s="23"/>
      <c r="I1377" s="23"/>
      <c r="J1377" s="23"/>
      <c r="K1377" s="23"/>
      <c r="L1377" s="350"/>
      <c r="M1377" s="351"/>
      <c r="N1377" s="267">
        <f t="shared" si="216"/>
        <v>0</v>
      </c>
      <c r="O1377" s="268">
        <f t="shared" si="217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2"/>
        <v>0</v>
      </c>
      <c r="AD1377" s="196">
        <f t="shared" si="223"/>
        <v>0</v>
      </c>
      <c r="AE1377" s="196">
        <f t="shared" si="224"/>
        <v>0</v>
      </c>
      <c r="AF1377" s="2">
        <f t="shared" si="225"/>
        <v>0</v>
      </c>
      <c r="AG1377" s="2">
        <f t="shared" si="226"/>
        <v>0</v>
      </c>
    </row>
    <row r="1378" spans="1:33">
      <c r="A1378" s="20" t="s">
        <v>9979</v>
      </c>
      <c r="B1378" s="150"/>
      <c r="C1378" s="21" t="s">
        <v>14873</v>
      </c>
      <c r="D1378" s="109" t="s">
        <v>13487</v>
      </c>
      <c r="E1378" s="109" t="s">
        <v>13312</v>
      </c>
      <c r="F1378" s="391" t="s">
        <v>14874</v>
      </c>
      <c r="G1378" s="23" t="s">
        <v>14875</v>
      </c>
      <c r="H1378" s="23"/>
      <c r="I1378" s="23"/>
      <c r="J1378" s="23"/>
      <c r="K1378" s="23"/>
      <c r="L1378" s="375" t="s">
        <v>7787</v>
      </c>
      <c r="M1378" s="351" t="s">
        <v>7787</v>
      </c>
      <c r="N1378" s="267">
        <f t="shared" si="216"/>
        <v>0</v>
      </c>
      <c r="O1378" s="268">
        <f t="shared" si="217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37"/>
      <c r="Z1378" s="237"/>
      <c r="AA1378" s="279"/>
      <c r="AB1378" s="238"/>
      <c r="AC1378" s="196">
        <f t="shared" si="222"/>
        <v>0</v>
      </c>
      <c r="AD1378" s="196">
        <f t="shared" si="223"/>
        <v>0</v>
      </c>
      <c r="AE1378" s="196">
        <f t="shared" si="224"/>
        <v>0</v>
      </c>
      <c r="AF1378" s="2">
        <f t="shared" si="225"/>
        <v>0</v>
      </c>
      <c r="AG1378" s="2">
        <f t="shared" si="226"/>
        <v>0</v>
      </c>
    </row>
    <row r="1379" spans="1:33">
      <c r="A1379" s="20" t="s">
        <v>10030</v>
      </c>
      <c r="B1379" s="150"/>
      <c r="C1379" s="21" t="s">
        <v>14873</v>
      </c>
      <c r="D1379" s="109" t="s">
        <v>14876</v>
      </c>
      <c r="E1379" s="109"/>
      <c r="F1379" s="391" t="s">
        <v>14874</v>
      </c>
      <c r="G1379" s="23" t="s">
        <v>14875</v>
      </c>
      <c r="H1379" s="23" t="s">
        <v>13877</v>
      </c>
      <c r="I1379" s="23" t="s">
        <v>17836</v>
      </c>
      <c r="J1379" s="23"/>
      <c r="K1379" s="23"/>
      <c r="L1379" s="375"/>
      <c r="M1379" s="351" t="s">
        <v>7787</v>
      </c>
      <c r="N1379" s="267">
        <f t="shared" si="216"/>
        <v>0</v>
      </c>
      <c r="O1379" s="268">
        <f t="shared" si="217"/>
        <v>0</v>
      </c>
      <c r="P1379" s="239"/>
      <c r="Q1379" s="239"/>
      <c r="R1379" s="239"/>
      <c r="S1379" s="239"/>
      <c r="T1379" s="239"/>
      <c r="U1379" s="240"/>
      <c r="V1379" s="240"/>
      <c r="W1379" s="240"/>
      <c r="X1379" s="278"/>
      <c r="Y1379" s="240"/>
      <c r="Z1379" s="237"/>
      <c r="AA1379" s="237"/>
      <c r="AB1379" s="238"/>
      <c r="AC1379" s="196">
        <f t="shared" si="222"/>
        <v>0</v>
      </c>
      <c r="AD1379" s="196">
        <f t="shared" si="223"/>
        <v>0</v>
      </c>
      <c r="AE1379" s="196">
        <f t="shared" si="224"/>
        <v>0</v>
      </c>
      <c r="AF1379" s="2">
        <f t="shared" si="225"/>
        <v>0</v>
      </c>
      <c r="AG1379" s="2">
        <f t="shared" si="226"/>
        <v>0</v>
      </c>
    </row>
    <row r="1380" spans="1:33">
      <c r="A1380" s="20" t="s">
        <v>10039</v>
      </c>
      <c r="B1380" s="150"/>
      <c r="C1380" s="21" t="s">
        <v>14877</v>
      </c>
      <c r="D1380" s="109" t="s">
        <v>14876</v>
      </c>
      <c r="E1380" s="109"/>
      <c r="F1380" s="391" t="s">
        <v>14878</v>
      </c>
      <c r="G1380" s="23" t="s">
        <v>13809</v>
      </c>
      <c r="H1380" s="23" t="s">
        <v>14879</v>
      </c>
      <c r="I1380" s="23" t="s">
        <v>14880</v>
      </c>
      <c r="J1380" s="23"/>
      <c r="K1380" s="23"/>
      <c r="L1380" s="375"/>
      <c r="M1380" s="351"/>
      <c r="N1380" s="267">
        <f t="shared" si="216"/>
        <v>0</v>
      </c>
      <c r="O1380" s="268">
        <f t="shared" si="217"/>
        <v>2400</v>
      </c>
      <c r="P1380" s="240">
        <f>1550-1500+700+1450-300-1000+1950-2000+1550</f>
        <v>2400</v>
      </c>
      <c r="Q1380" s="239"/>
      <c r="R1380" s="239"/>
      <c r="S1380" s="239"/>
      <c r="T1380" s="239"/>
      <c r="U1380" s="240"/>
      <c r="V1380" s="240"/>
      <c r="W1380" s="240"/>
      <c r="X1380" s="278"/>
      <c r="Y1380" s="239"/>
      <c r="Z1380" s="237"/>
      <c r="AA1380" s="279"/>
      <c r="AB1380" s="238" t="s">
        <v>27867</v>
      </c>
      <c r="AC1380" s="196">
        <f t="shared" si="222"/>
        <v>2400</v>
      </c>
      <c r="AD1380" s="196">
        <f t="shared" si="223"/>
        <v>2400</v>
      </c>
      <c r="AE1380" s="196">
        <f t="shared" si="224"/>
        <v>0</v>
      </c>
      <c r="AF1380" s="2">
        <f t="shared" si="225"/>
        <v>2400</v>
      </c>
      <c r="AG1380" s="2">
        <f t="shared" si="226"/>
        <v>0</v>
      </c>
    </row>
    <row r="1381" spans="1:33">
      <c r="A1381" s="20" t="s">
        <v>9774</v>
      </c>
      <c r="B1381" s="150"/>
      <c r="C1381" s="21" t="s">
        <v>14881</v>
      </c>
      <c r="D1381" s="109" t="s">
        <v>14882</v>
      </c>
      <c r="E1381" s="109"/>
      <c r="F1381" s="391" t="s">
        <v>14883</v>
      </c>
      <c r="G1381" s="23" t="s">
        <v>14545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ref="N1381:N1447" si="227">SUM(L1381:M1381)</f>
        <v>0</v>
      </c>
      <c r="O1381" s="268">
        <f t="shared" ref="O1381:O1447" si="228">SUM(P1381:Z1381)</f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2"/>
        <v>0</v>
      </c>
      <c r="AD1381" s="196">
        <f t="shared" si="223"/>
        <v>0</v>
      </c>
      <c r="AE1381" s="196">
        <f t="shared" si="224"/>
        <v>0</v>
      </c>
      <c r="AF1381" s="2">
        <f t="shared" si="225"/>
        <v>0</v>
      </c>
      <c r="AG1381" s="2">
        <f t="shared" si="226"/>
        <v>0</v>
      </c>
    </row>
    <row r="1382" spans="1:33">
      <c r="A1382" s="20" t="s">
        <v>10833</v>
      </c>
      <c r="B1382" s="150"/>
      <c r="C1382" s="21" t="s">
        <v>14884</v>
      </c>
      <c r="D1382" s="109" t="s">
        <v>14876</v>
      </c>
      <c r="E1382" s="109"/>
      <c r="F1382" s="391" t="s">
        <v>14885</v>
      </c>
      <c r="G1382" s="23" t="s">
        <v>14886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7"/>
        <v>0</v>
      </c>
      <c r="O1382" s="268">
        <f t="shared" si="228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2"/>
        <v>0</v>
      </c>
      <c r="AD1382" s="196">
        <f t="shared" si="223"/>
        <v>0</v>
      </c>
      <c r="AE1382" s="196">
        <f t="shared" si="224"/>
        <v>0</v>
      </c>
      <c r="AF1382" s="2">
        <f t="shared" si="225"/>
        <v>0</v>
      </c>
      <c r="AG1382" s="2">
        <f t="shared" si="226"/>
        <v>0</v>
      </c>
    </row>
    <row r="1383" spans="1:33">
      <c r="A1383" s="20" t="s">
        <v>10834</v>
      </c>
      <c r="B1383" s="150"/>
      <c r="C1383" s="21" t="s">
        <v>14887</v>
      </c>
      <c r="D1383" s="109" t="s">
        <v>14591</v>
      </c>
      <c r="E1383" s="109"/>
      <c r="F1383" s="391" t="s">
        <v>14888</v>
      </c>
      <c r="G1383" s="23" t="s">
        <v>14654</v>
      </c>
      <c r="H1383" s="23"/>
      <c r="I1383" s="23"/>
      <c r="J1383" s="23"/>
      <c r="K1383" s="23"/>
      <c r="L1383" s="375" t="s">
        <v>7787</v>
      </c>
      <c r="M1383" s="351" t="s">
        <v>7787</v>
      </c>
      <c r="N1383" s="267">
        <f t="shared" si="227"/>
        <v>0</v>
      </c>
      <c r="O1383" s="268">
        <f t="shared" si="228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2"/>
        <v>0</v>
      </c>
      <c r="AD1383" s="196">
        <f t="shared" si="223"/>
        <v>0</v>
      </c>
      <c r="AE1383" s="196">
        <f t="shared" si="224"/>
        <v>0</v>
      </c>
      <c r="AF1383" s="2">
        <f t="shared" si="225"/>
        <v>0</v>
      </c>
      <c r="AG1383" s="2">
        <f t="shared" si="226"/>
        <v>0</v>
      </c>
    </row>
    <row r="1384" spans="1:33">
      <c r="A1384" s="20" t="s">
        <v>9978</v>
      </c>
      <c r="B1384" s="150"/>
      <c r="C1384" s="21" t="s">
        <v>14889</v>
      </c>
      <c r="D1384" s="109" t="s">
        <v>14591</v>
      </c>
      <c r="E1384" s="109"/>
      <c r="F1384" s="391" t="s">
        <v>14890</v>
      </c>
      <c r="G1384" s="23" t="s">
        <v>14891</v>
      </c>
      <c r="H1384" s="23" t="s">
        <v>17558</v>
      </c>
      <c r="I1384" s="23"/>
      <c r="J1384" s="23"/>
      <c r="K1384" s="23"/>
      <c r="L1384" s="375" t="s">
        <v>7787</v>
      </c>
      <c r="M1384" s="351"/>
      <c r="N1384" s="267">
        <f t="shared" si="227"/>
        <v>0</v>
      </c>
      <c r="O1384" s="268">
        <f t="shared" si="228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2"/>
        <v>0</v>
      </c>
      <c r="AD1384" s="196">
        <f t="shared" si="223"/>
        <v>0</v>
      </c>
      <c r="AE1384" s="196">
        <f t="shared" si="224"/>
        <v>0</v>
      </c>
      <c r="AF1384" s="2">
        <f t="shared" si="225"/>
        <v>0</v>
      </c>
      <c r="AG1384" s="2">
        <f t="shared" si="226"/>
        <v>0</v>
      </c>
    </row>
    <row r="1385" spans="1:33">
      <c r="A1385" s="20" t="s">
        <v>10031</v>
      </c>
      <c r="B1385" s="150"/>
      <c r="C1385" s="21" t="s">
        <v>14889</v>
      </c>
      <c r="D1385" s="109" t="s">
        <v>13613</v>
      </c>
      <c r="E1385" s="109"/>
      <c r="F1385" s="391" t="s">
        <v>14890</v>
      </c>
      <c r="G1385" s="23" t="s">
        <v>13951</v>
      </c>
      <c r="H1385" s="23" t="s">
        <v>14892</v>
      </c>
      <c r="I1385" s="23"/>
      <c r="J1385" s="23"/>
      <c r="K1385" s="23"/>
      <c r="L1385" s="375"/>
      <c r="M1385" s="351" t="s">
        <v>7787</v>
      </c>
      <c r="N1385" s="267">
        <f t="shared" si="227"/>
        <v>0</v>
      </c>
      <c r="O1385" s="268">
        <f t="shared" si="228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2"/>
        <v>0</v>
      </c>
      <c r="AD1385" s="196">
        <f t="shared" si="223"/>
        <v>0</v>
      </c>
      <c r="AE1385" s="196">
        <f t="shared" si="224"/>
        <v>0</v>
      </c>
      <c r="AF1385" s="2">
        <f t="shared" si="225"/>
        <v>0</v>
      </c>
      <c r="AG1385" s="2">
        <f t="shared" si="226"/>
        <v>0</v>
      </c>
    </row>
    <row r="1386" spans="1:33">
      <c r="A1386" s="20" t="s">
        <v>9860</v>
      </c>
      <c r="B1386" s="150"/>
      <c r="C1386" s="21" t="s">
        <v>14893</v>
      </c>
      <c r="D1386" s="109" t="s">
        <v>13954</v>
      </c>
      <c r="E1386" s="109"/>
      <c r="F1386" s="391" t="s">
        <v>14894</v>
      </c>
      <c r="G1386" s="23" t="s">
        <v>14895</v>
      </c>
      <c r="H1386" s="23"/>
      <c r="I1386" s="23"/>
      <c r="J1386" s="23"/>
      <c r="K1386" s="23"/>
      <c r="L1386" s="375" t="s">
        <v>7787</v>
      </c>
      <c r="M1386" s="351"/>
      <c r="N1386" s="267">
        <f t="shared" si="227"/>
        <v>0</v>
      </c>
      <c r="O1386" s="268">
        <f t="shared" si="228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7"/>
      <c r="Z1386" s="237"/>
      <c r="AA1386" s="279"/>
      <c r="AB1386" s="238"/>
      <c r="AC1386" s="196">
        <f t="shared" si="222"/>
        <v>0</v>
      </c>
      <c r="AD1386" s="196">
        <f t="shared" si="223"/>
        <v>0</v>
      </c>
      <c r="AE1386" s="196">
        <f t="shared" si="224"/>
        <v>0</v>
      </c>
      <c r="AF1386" s="2">
        <f t="shared" si="225"/>
        <v>0</v>
      </c>
      <c r="AG1386" s="2">
        <f t="shared" si="226"/>
        <v>0</v>
      </c>
    </row>
    <row r="1387" spans="1:33">
      <c r="A1387" s="20" t="s">
        <v>10032</v>
      </c>
      <c r="B1387" s="150"/>
      <c r="C1387" s="21" t="s">
        <v>14896</v>
      </c>
      <c r="D1387" s="109" t="s">
        <v>13613</v>
      </c>
      <c r="E1387" s="109"/>
      <c r="F1387" s="391" t="s">
        <v>14897</v>
      </c>
      <c r="G1387" s="23" t="s">
        <v>14898</v>
      </c>
      <c r="H1387" s="23" t="s">
        <v>14637</v>
      </c>
      <c r="I1387" s="23"/>
      <c r="J1387" s="23"/>
      <c r="K1387" s="23"/>
      <c r="L1387" s="375"/>
      <c r="M1387" s="351" t="s">
        <v>7787</v>
      </c>
      <c r="N1387" s="267">
        <f t="shared" si="227"/>
        <v>0</v>
      </c>
      <c r="O1387" s="268">
        <f t="shared" si="228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9"/>
      <c r="Z1387" s="237"/>
      <c r="AA1387" s="279"/>
      <c r="AB1387" s="238"/>
      <c r="AC1387" s="196">
        <f t="shared" si="222"/>
        <v>0</v>
      </c>
      <c r="AD1387" s="196">
        <f t="shared" si="223"/>
        <v>0</v>
      </c>
      <c r="AE1387" s="196">
        <f t="shared" si="224"/>
        <v>0</v>
      </c>
      <c r="AF1387" s="2">
        <f t="shared" si="225"/>
        <v>0</v>
      </c>
      <c r="AG1387" s="2">
        <f t="shared" si="226"/>
        <v>0</v>
      </c>
    </row>
    <row r="1388" spans="1:33">
      <c r="A1388" s="20" t="s">
        <v>11302</v>
      </c>
      <c r="B1388" s="150"/>
      <c r="C1388" s="21" t="s">
        <v>14899</v>
      </c>
      <c r="D1388" s="109" t="s">
        <v>10641</v>
      </c>
      <c r="E1388" s="109" t="s">
        <v>10699</v>
      </c>
      <c r="F1388" s="391" t="s">
        <v>14900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7"/>
        <v>0</v>
      </c>
      <c r="O1388" s="268">
        <f t="shared" si="228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2"/>
        <v>0</v>
      </c>
      <c r="AD1388" s="196">
        <f t="shared" si="223"/>
        <v>0</v>
      </c>
      <c r="AE1388" s="196">
        <f t="shared" si="224"/>
        <v>0</v>
      </c>
      <c r="AF1388" s="2">
        <f t="shared" si="225"/>
        <v>0</v>
      </c>
      <c r="AG1388" s="2">
        <f t="shared" si="226"/>
        <v>0</v>
      </c>
    </row>
    <row r="1389" spans="1:33">
      <c r="A1389" s="20" t="s">
        <v>11303</v>
      </c>
      <c r="B1389" s="150"/>
      <c r="C1389" s="21" t="s">
        <v>14902</v>
      </c>
      <c r="D1389" s="109" t="s">
        <v>10641</v>
      </c>
      <c r="E1389" s="109" t="s">
        <v>10700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7"/>
        <v>0</v>
      </c>
      <c r="O1389" s="268">
        <f t="shared" si="228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2"/>
        <v>0</v>
      </c>
      <c r="AD1389" s="196">
        <f t="shared" si="223"/>
        <v>0</v>
      </c>
      <c r="AE1389" s="196">
        <f t="shared" si="224"/>
        <v>0</v>
      </c>
      <c r="AF1389" s="2">
        <f t="shared" si="225"/>
        <v>0</v>
      </c>
      <c r="AG1389" s="2">
        <f t="shared" si="226"/>
        <v>0</v>
      </c>
    </row>
    <row r="1390" spans="1:33">
      <c r="A1390" s="20" t="s">
        <v>11304</v>
      </c>
      <c r="B1390" s="150"/>
      <c r="C1390" s="21" t="s">
        <v>14902</v>
      </c>
      <c r="D1390" s="109" t="s">
        <v>10641</v>
      </c>
      <c r="E1390" s="109" t="s">
        <v>10701</v>
      </c>
      <c r="F1390" s="391" t="s">
        <v>14903</v>
      </c>
      <c r="G1390" s="23" t="s">
        <v>14901</v>
      </c>
      <c r="H1390" s="23"/>
      <c r="I1390" s="23"/>
      <c r="J1390" s="23"/>
      <c r="K1390" s="23"/>
      <c r="L1390" s="375" t="s">
        <v>7787</v>
      </c>
      <c r="M1390" s="351"/>
      <c r="N1390" s="267">
        <f t="shared" si="227"/>
        <v>0</v>
      </c>
      <c r="O1390" s="268">
        <f t="shared" si="228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2"/>
        <v>0</v>
      </c>
      <c r="AD1390" s="196">
        <f t="shared" si="223"/>
        <v>0</v>
      </c>
      <c r="AE1390" s="196">
        <f t="shared" si="224"/>
        <v>0</v>
      </c>
      <c r="AF1390" s="2">
        <f t="shared" si="225"/>
        <v>0</v>
      </c>
      <c r="AG1390" s="2">
        <f t="shared" si="226"/>
        <v>0</v>
      </c>
    </row>
    <row r="1391" spans="1:33">
      <c r="A1391" s="20" t="s">
        <v>10759</v>
      </c>
      <c r="B1391" s="150"/>
      <c r="C1391" s="21" t="s">
        <v>14902</v>
      </c>
      <c r="D1391" s="109" t="s">
        <v>10697</v>
      </c>
      <c r="E1391" s="109"/>
      <c r="F1391" s="391" t="s">
        <v>14903</v>
      </c>
      <c r="G1391" s="23" t="s">
        <v>14904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7"/>
        <v>0</v>
      </c>
      <c r="O1391" s="268">
        <f t="shared" si="228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2"/>
        <v>0</v>
      </c>
      <c r="AD1391" s="196">
        <f t="shared" si="223"/>
        <v>0</v>
      </c>
      <c r="AE1391" s="196">
        <f t="shared" si="224"/>
        <v>0</v>
      </c>
      <c r="AF1391" s="2">
        <f t="shared" si="225"/>
        <v>0</v>
      </c>
      <c r="AG1391" s="2">
        <f t="shared" si="226"/>
        <v>0</v>
      </c>
    </row>
    <row r="1392" spans="1:33">
      <c r="A1392" s="20" t="s">
        <v>10204</v>
      </c>
      <c r="B1392" s="150"/>
      <c r="C1392" s="21" t="s">
        <v>14905</v>
      </c>
      <c r="D1392" s="109" t="s">
        <v>14591</v>
      </c>
      <c r="E1392" s="109"/>
      <c r="F1392" s="391" t="s">
        <v>14906</v>
      </c>
      <c r="G1392" s="23" t="s">
        <v>14907</v>
      </c>
      <c r="H1392" s="23"/>
      <c r="I1392" s="23"/>
      <c r="J1392" s="23"/>
      <c r="K1392" s="23"/>
      <c r="L1392" s="375" t="s">
        <v>7787</v>
      </c>
      <c r="M1392" s="351" t="s">
        <v>7787</v>
      </c>
      <c r="N1392" s="267">
        <f t="shared" si="227"/>
        <v>0</v>
      </c>
      <c r="O1392" s="268">
        <f t="shared" si="228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2"/>
        <v>0</v>
      </c>
      <c r="AD1392" s="196">
        <f t="shared" si="223"/>
        <v>0</v>
      </c>
      <c r="AE1392" s="196">
        <f t="shared" si="224"/>
        <v>0</v>
      </c>
      <c r="AF1392" s="2">
        <f t="shared" si="225"/>
        <v>0</v>
      </c>
      <c r="AG1392" s="2">
        <f t="shared" si="226"/>
        <v>0</v>
      </c>
    </row>
    <row r="1393" spans="1:33">
      <c r="A1393" s="20" t="s">
        <v>11994</v>
      </c>
      <c r="B1393" s="150"/>
      <c r="C1393" s="21" t="s">
        <v>14908</v>
      </c>
      <c r="D1393" s="109" t="s">
        <v>14661</v>
      </c>
      <c r="E1393" s="109" t="s">
        <v>14685</v>
      </c>
      <c r="F1393" s="391" t="s">
        <v>14909</v>
      </c>
      <c r="G1393" s="23" t="s">
        <v>14910</v>
      </c>
      <c r="H1393" s="23"/>
      <c r="I1393" s="23"/>
      <c r="J1393" s="23"/>
      <c r="K1393" s="23"/>
      <c r="L1393" s="375" t="s">
        <v>7787</v>
      </c>
      <c r="M1393" s="351"/>
      <c r="N1393" s="267">
        <f t="shared" si="227"/>
        <v>0</v>
      </c>
      <c r="O1393" s="268">
        <f t="shared" si="228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2"/>
        <v>0</v>
      </c>
      <c r="AD1393" s="196">
        <f t="shared" si="223"/>
        <v>0</v>
      </c>
      <c r="AE1393" s="196">
        <f t="shared" si="224"/>
        <v>0</v>
      </c>
      <c r="AF1393" s="2">
        <f t="shared" si="225"/>
        <v>0</v>
      </c>
      <c r="AG1393" s="2">
        <f t="shared" si="226"/>
        <v>0</v>
      </c>
    </row>
    <row r="1394" spans="1:33">
      <c r="A1394" s="20" t="s">
        <v>11406</v>
      </c>
      <c r="B1394" s="150"/>
      <c r="C1394" s="21" t="s">
        <v>14908</v>
      </c>
      <c r="D1394" s="109" t="s">
        <v>14591</v>
      </c>
      <c r="E1394" s="109" t="s">
        <v>26900</v>
      </c>
      <c r="F1394" s="391" t="s">
        <v>14909</v>
      </c>
      <c r="G1394" s="23" t="s">
        <v>14910</v>
      </c>
      <c r="H1394" s="23" t="s">
        <v>26901</v>
      </c>
      <c r="I1394" s="23"/>
      <c r="J1394" s="23"/>
      <c r="K1394" s="23"/>
      <c r="L1394" s="375" t="s">
        <v>7787</v>
      </c>
      <c r="M1394" s="351" t="s">
        <v>7787</v>
      </c>
      <c r="N1394" s="267">
        <f t="shared" si="227"/>
        <v>0</v>
      </c>
      <c r="O1394" s="268">
        <f t="shared" si="228"/>
        <v>0</v>
      </c>
      <c r="P1394" s="239"/>
      <c r="Q1394" s="239"/>
      <c r="R1394" s="239"/>
      <c r="S1394" s="239"/>
      <c r="T1394" s="239"/>
      <c r="U1394" s="240"/>
      <c r="V1394" s="240"/>
      <c r="W1394" s="240"/>
      <c r="X1394" s="278"/>
      <c r="Y1394" s="237"/>
      <c r="Z1394" s="237"/>
      <c r="AA1394" s="279"/>
      <c r="AB1394" s="238"/>
      <c r="AC1394" s="196">
        <f t="shared" si="222"/>
        <v>0</v>
      </c>
      <c r="AD1394" s="196">
        <f t="shared" si="223"/>
        <v>0</v>
      </c>
      <c r="AE1394" s="196">
        <f t="shared" si="224"/>
        <v>0</v>
      </c>
      <c r="AF1394" s="2">
        <f t="shared" si="225"/>
        <v>0</v>
      </c>
      <c r="AG1394" s="2">
        <f t="shared" si="226"/>
        <v>0</v>
      </c>
    </row>
    <row r="1395" spans="1:33">
      <c r="A1395" s="20" t="s">
        <v>22574</v>
      </c>
      <c r="B1395" s="150"/>
      <c r="C1395" s="21" t="s">
        <v>22647</v>
      </c>
      <c r="D1395" s="109" t="s">
        <v>4070</v>
      </c>
      <c r="E1395" s="109" t="s">
        <v>3117</v>
      </c>
      <c r="F1395" s="391" t="s">
        <v>22648</v>
      </c>
      <c r="G1395" s="23" t="s">
        <v>12088</v>
      </c>
      <c r="H1395" s="23"/>
      <c r="I1395" s="23"/>
      <c r="J1395" s="23"/>
      <c r="K1395" s="23"/>
      <c r="L1395" s="375" t="s">
        <v>7787</v>
      </c>
      <c r="M1395" s="351" t="s">
        <v>7787</v>
      </c>
      <c r="N1395" s="267">
        <f t="shared" si="227"/>
        <v>0</v>
      </c>
      <c r="O1395" s="268">
        <f t="shared" si="228"/>
        <v>0</v>
      </c>
      <c r="P1395" s="239"/>
      <c r="Q1395" s="239"/>
      <c r="R1395" s="239"/>
      <c r="S1395" s="239"/>
      <c r="T1395" s="239"/>
      <c r="U1395" s="240"/>
      <c r="V1395" s="244"/>
      <c r="W1395" s="240"/>
      <c r="X1395" s="278"/>
      <c r="Y1395" s="237"/>
      <c r="Z1395" s="237"/>
      <c r="AA1395" s="279"/>
      <c r="AB1395" s="238"/>
      <c r="AC1395" s="196">
        <f t="shared" si="222"/>
        <v>0</v>
      </c>
      <c r="AD1395" s="196">
        <f t="shared" si="223"/>
        <v>0</v>
      </c>
      <c r="AE1395" s="196">
        <f t="shared" si="224"/>
        <v>0</v>
      </c>
      <c r="AF1395" s="2">
        <f t="shared" si="225"/>
        <v>0</v>
      </c>
      <c r="AG1395" s="2">
        <f t="shared" si="226"/>
        <v>0</v>
      </c>
    </row>
    <row r="1396" spans="1:33">
      <c r="A1396" s="20" t="s">
        <v>11105</v>
      </c>
      <c r="B1396" s="150"/>
      <c r="C1396" s="21" t="s">
        <v>14911</v>
      </c>
      <c r="D1396" s="109" t="s">
        <v>14591</v>
      </c>
      <c r="E1396" s="109"/>
      <c r="F1396" s="391" t="s">
        <v>18370</v>
      </c>
      <c r="G1396" s="23" t="s">
        <v>13951</v>
      </c>
      <c r="H1396" s="23" t="s">
        <v>14913</v>
      </c>
      <c r="I1396" s="23" t="s">
        <v>18964</v>
      </c>
      <c r="J1396" s="23"/>
      <c r="K1396" s="23"/>
      <c r="L1396" s="375" t="s">
        <v>27925</v>
      </c>
      <c r="M1396" s="351" t="s">
        <v>7787</v>
      </c>
      <c r="N1396" s="267">
        <f t="shared" si="227"/>
        <v>0</v>
      </c>
      <c r="O1396" s="268">
        <f t="shared" si="228"/>
        <v>200</v>
      </c>
      <c r="P1396" s="239"/>
      <c r="Q1396" s="239"/>
      <c r="R1396" s="239"/>
      <c r="S1396" s="239"/>
      <c r="T1396" s="239"/>
      <c r="U1396" s="239">
        <f>500-300</f>
        <v>200</v>
      </c>
      <c r="V1396" s="239"/>
      <c r="W1396" s="240"/>
      <c r="X1396" s="278"/>
      <c r="Y1396" s="237"/>
      <c r="Z1396" s="237"/>
      <c r="AA1396" s="279"/>
      <c r="AB1396" s="238" t="s">
        <v>27917</v>
      </c>
      <c r="AC1396" s="196">
        <f t="shared" si="222"/>
        <v>200</v>
      </c>
      <c r="AD1396" s="196">
        <f t="shared" si="223"/>
        <v>200</v>
      </c>
      <c r="AE1396" s="196">
        <f t="shared" si="224"/>
        <v>0</v>
      </c>
      <c r="AF1396" s="2">
        <f t="shared" si="225"/>
        <v>200</v>
      </c>
      <c r="AG1396" s="2">
        <f t="shared" si="226"/>
        <v>0</v>
      </c>
    </row>
    <row r="1397" spans="1:33">
      <c r="A1397" s="20" t="s">
        <v>18327</v>
      </c>
      <c r="B1397" s="150"/>
      <c r="C1397" s="21" t="s">
        <v>11180</v>
      </c>
      <c r="D1397" s="109" t="s">
        <v>18363</v>
      </c>
      <c r="E1397" s="219" t="s">
        <v>20166</v>
      </c>
      <c r="F1397" s="391" t="s">
        <v>18370</v>
      </c>
      <c r="G1397" s="23" t="s">
        <v>13301</v>
      </c>
      <c r="H1397" s="23"/>
      <c r="I1397" s="23"/>
      <c r="J1397" s="23"/>
      <c r="K1397" s="23"/>
      <c r="L1397" s="375"/>
      <c r="M1397" s="351" t="s">
        <v>45</v>
      </c>
      <c r="N1397" s="267">
        <f t="shared" si="227"/>
        <v>0</v>
      </c>
      <c r="O1397" s="268">
        <f t="shared" si="228"/>
        <v>1100</v>
      </c>
      <c r="P1397" s="239"/>
      <c r="Q1397" s="239"/>
      <c r="R1397" s="239"/>
      <c r="S1397" s="239"/>
      <c r="T1397" s="239"/>
      <c r="U1397" s="240">
        <f>2750-2050+400</f>
        <v>1100</v>
      </c>
      <c r="V1397" s="240"/>
      <c r="W1397" s="240"/>
      <c r="X1397" s="278"/>
      <c r="Y1397" s="237"/>
      <c r="Z1397" s="237"/>
      <c r="AA1397" s="239"/>
      <c r="AB1397" s="238" t="s">
        <v>27225</v>
      </c>
      <c r="AC1397" s="196">
        <f t="shared" si="222"/>
        <v>1100</v>
      </c>
      <c r="AD1397" s="196">
        <f t="shared" si="223"/>
        <v>1100</v>
      </c>
      <c r="AE1397" s="196">
        <f t="shared" si="224"/>
        <v>0</v>
      </c>
      <c r="AF1397" s="2">
        <f t="shared" si="225"/>
        <v>1100</v>
      </c>
      <c r="AG1397" s="2">
        <f t="shared" si="226"/>
        <v>0</v>
      </c>
    </row>
    <row r="1398" spans="1:33">
      <c r="A1398" s="20" t="s">
        <v>12657</v>
      </c>
      <c r="B1398" s="150"/>
      <c r="C1398" s="21" t="s">
        <v>14911</v>
      </c>
      <c r="D1398" s="109" t="s">
        <v>14596</v>
      </c>
      <c r="E1398" s="109" t="s">
        <v>13611</v>
      </c>
      <c r="F1398" s="391" t="s">
        <v>14912</v>
      </c>
      <c r="G1398" s="23" t="s">
        <v>14914</v>
      </c>
      <c r="H1398" s="23" t="s">
        <v>14913</v>
      </c>
      <c r="I1398" s="23"/>
      <c r="J1398" s="23"/>
      <c r="K1398" s="23"/>
      <c r="L1398" s="375" t="s">
        <v>7787</v>
      </c>
      <c r="M1398" s="351" t="s">
        <v>7787</v>
      </c>
      <c r="N1398" s="267">
        <f t="shared" si="227"/>
        <v>0</v>
      </c>
      <c r="O1398" s="268">
        <f t="shared" si="228"/>
        <v>0</v>
      </c>
      <c r="P1398" s="239"/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/>
      <c r="AC1398" s="196">
        <f t="shared" si="222"/>
        <v>0</v>
      </c>
      <c r="AD1398" s="196">
        <f t="shared" si="223"/>
        <v>0</v>
      </c>
      <c r="AE1398" s="196">
        <f t="shared" si="224"/>
        <v>0</v>
      </c>
      <c r="AF1398" s="2">
        <f t="shared" si="225"/>
        <v>0</v>
      </c>
      <c r="AG1398" s="2">
        <f t="shared" si="226"/>
        <v>0</v>
      </c>
    </row>
    <row r="1399" spans="1:33">
      <c r="A1399" s="20" t="s">
        <v>26125</v>
      </c>
      <c r="B1399" s="150"/>
      <c r="C1399" s="21" t="s">
        <v>26237</v>
      </c>
      <c r="D1399" s="109" t="s">
        <v>3096</v>
      </c>
      <c r="E1399" s="109"/>
      <c r="F1399" s="391" t="s">
        <v>26250</v>
      </c>
      <c r="G1399" s="23" t="s">
        <v>26238</v>
      </c>
      <c r="H1399" s="23"/>
      <c r="I1399" s="23"/>
      <c r="J1399" s="23"/>
      <c r="K1399" s="23"/>
      <c r="L1399" s="375" t="s">
        <v>45</v>
      </c>
      <c r="M1399" s="351"/>
      <c r="N1399" s="267">
        <f t="shared" ref="N1399" si="229">SUM(L1399:M1399)</f>
        <v>0</v>
      </c>
      <c r="O1399" s="268">
        <f t="shared" ref="O1399" si="230">SUM(P1399:Z1399)</f>
        <v>100</v>
      </c>
      <c r="P1399" s="239">
        <f>600-500</f>
        <v>100</v>
      </c>
      <c r="Q1399" s="239"/>
      <c r="R1399" s="239"/>
      <c r="S1399" s="239"/>
      <c r="T1399" s="239"/>
      <c r="U1399" s="240"/>
      <c r="V1399" s="240"/>
      <c r="W1399" s="240"/>
      <c r="X1399" s="278"/>
      <c r="Y1399" s="237"/>
      <c r="Z1399" s="237"/>
      <c r="AA1399" s="279"/>
      <c r="AB1399" s="238" t="s">
        <v>26251</v>
      </c>
      <c r="AC1399" s="196">
        <f t="shared" si="222"/>
        <v>100</v>
      </c>
      <c r="AD1399" s="196">
        <f t="shared" si="223"/>
        <v>100</v>
      </c>
      <c r="AE1399" s="196">
        <f t="shared" si="224"/>
        <v>0</v>
      </c>
      <c r="AF1399" s="2">
        <f t="shared" si="225"/>
        <v>100</v>
      </c>
      <c r="AG1399" s="2">
        <f t="shared" si="226"/>
        <v>0</v>
      </c>
    </row>
    <row r="1400" spans="1:33">
      <c r="A1400" s="20" t="s">
        <v>11103</v>
      </c>
      <c r="B1400" s="150"/>
      <c r="C1400" s="21" t="s">
        <v>11178</v>
      </c>
      <c r="D1400" s="109" t="s">
        <v>14591</v>
      </c>
      <c r="E1400" s="109" t="s">
        <v>14748</v>
      </c>
      <c r="F1400" s="391" t="s">
        <v>14915</v>
      </c>
      <c r="G1400" s="23" t="s">
        <v>13951</v>
      </c>
      <c r="H1400" s="23"/>
      <c r="I1400" s="23"/>
      <c r="J1400" s="23"/>
      <c r="K1400" s="23"/>
      <c r="L1400" s="375" t="s">
        <v>45</v>
      </c>
      <c r="M1400" s="351" t="s">
        <v>45</v>
      </c>
      <c r="N1400" s="267">
        <f t="shared" si="227"/>
        <v>0</v>
      </c>
      <c r="O1400" s="268">
        <f t="shared" si="228"/>
        <v>50</v>
      </c>
      <c r="P1400" s="240"/>
      <c r="Q1400" s="239"/>
      <c r="R1400" s="239"/>
      <c r="S1400" s="239"/>
      <c r="T1400" s="239"/>
      <c r="U1400" s="240">
        <f>1700+850-2500</f>
        <v>50</v>
      </c>
      <c r="V1400" s="240"/>
      <c r="W1400" s="240"/>
      <c r="X1400" s="278"/>
      <c r="Y1400" s="240"/>
      <c r="Z1400" s="237"/>
      <c r="AA1400" s="240"/>
      <c r="AB1400" s="238" t="s">
        <v>27164</v>
      </c>
      <c r="AC1400" s="196">
        <f t="shared" si="222"/>
        <v>50</v>
      </c>
      <c r="AD1400" s="196">
        <f t="shared" si="223"/>
        <v>50</v>
      </c>
      <c r="AE1400" s="196">
        <f t="shared" si="224"/>
        <v>0</v>
      </c>
      <c r="AF1400" s="2">
        <f t="shared" si="225"/>
        <v>50</v>
      </c>
      <c r="AG1400" s="2">
        <f t="shared" si="226"/>
        <v>0</v>
      </c>
    </row>
    <row r="1401" spans="1:33">
      <c r="A1401" s="20" t="s">
        <v>20066</v>
      </c>
      <c r="B1401" s="150"/>
      <c r="C1401" s="21" t="s">
        <v>11178</v>
      </c>
      <c r="D1401" s="109" t="s">
        <v>10697</v>
      </c>
      <c r="E1401" s="158" t="s">
        <v>20167</v>
      </c>
      <c r="F1401" s="391" t="s">
        <v>11181</v>
      </c>
      <c r="G1401" s="23" t="s">
        <v>13899</v>
      </c>
      <c r="H1401" s="23"/>
      <c r="I1401" s="23"/>
      <c r="J1401" s="23"/>
      <c r="K1401" s="23"/>
      <c r="L1401" s="375" t="s">
        <v>7787</v>
      </c>
      <c r="M1401" s="351"/>
      <c r="N1401" s="267">
        <f t="shared" si="227"/>
        <v>0</v>
      </c>
      <c r="O1401" s="268">
        <f t="shared" si="228"/>
        <v>0</v>
      </c>
      <c r="P1401" s="239"/>
      <c r="Q1401" s="239"/>
      <c r="R1401" s="239"/>
      <c r="S1401" s="239"/>
      <c r="T1401" s="239"/>
      <c r="U1401" s="240"/>
      <c r="V1401" s="239"/>
      <c r="W1401" s="240"/>
      <c r="X1401" s="278"/>
      <c r="Y1401" s="239"/>
      <c r="Z1401" s="237"/>
      <c r="AA1401" s="279"/>
      <c r="AB1401" s="238"/>
      <c r="AC1401" s="196">
        <f t="shared" si="222"/>
        <v>0</v>
      </c>
      <c r="AD1401" s="196">
        <f t="shared" si="223"/>
        <v>0</v>
      </c>
      <c r="AE1401" s="196">
        <f t="shared" si="224"/>
        <v>0</v>
      </c>
      <c r="AF1401" s="2">
        <f t="shared" si="225"/>
        <v>0</v>
      </c>
      <c r="AG1401" s="2">
        <f t="shared" si="226"/>
        <v>0</v>
      </c>
    </row>
    <row r="1402" spans="1:33">
      <c r="A1402" s="20" t="s">
        <v>12241</v>
      </c>
      <c r="B1402" s="150"/>
      <c r="C1402" s="21" t="s">
        <v>11178</v>
      </c>
      <c r="D1402" s="109" t="s">
        <v>10697</v>
      </c>
      <c r="E1402" s="202" t="s">
        <v>20168</v>
      </c>
      <c r="F1402" s="391" t="s">
        <v>14915</v>
      </c>
      <c r="G1402" s="23" t="s">
        <v>13951</v>
      </c>
      <c r="H1402" s="23"/>
      <c r="I1402" s="23"/>
      <c r="J1402" s="23"/>
      <c r="K1402" s="23"/>
      <c r="L1402" s="375" t="s">
        <v>45</v>
      </c>
      <c r="M1402" s="351"/>
      <c r="N1402" s="267">
        <f t="shared" si="227"/>
        <v>0</v>
      </c>
      <c r="O1402" s="268">
        <f t="shared" si="228"/>
        <v>700</v>
      </c>
      <c r="P1402" s="239"/>
      <c r="Q1402" s="239"/>
      <c r="R1402" s="239"/>
      <c r="S1402" s="239"/>
      <c r="T1402" s="239"/>
      <c r="U1402" s="240">
        <f>2750-2050</f>
        <v>700</v>
      </c>
      <c r="V1402" s="240"/>
      <c r="W1402" s="240"/>
      <c r="X1402" s="278"/>
      <c r="Y1402" s="239"/>
      <c r="Z1402" s="237"/>
      <c r="AA1402" s="279"/>
      <c r="AB1402" s="238" t="s">
        <v>26153</v>
      </c>
      <c r="AC1402" s="196">
        <f t="shared" si="222"/>
        <v>700</v>
      </c>
      <c r="AD1402" s="196">
        <f t="shared" si="223"/>
        <v>700</v>
      </c>
      <c r="AE1402" s="196">
        <f t="shared" si="224"/>
        <v>0</v>
      </c>
      <c r="AF1402" s="2">
        <f t="shared" si="225"/>
        <v>700</v>
      </c>
      <c r="AG1402" s="2">
        <f t="shared" si="226"/>
        <v>0</v>
      </c>
    </row>
    <row r="1403" spans="1:33">
      <c r="A1403" s="20" t="s">
        <v>10396</v>
      </c>
      <c r="B1403" s="150"/>
      <c r="C1403" s="21" t="s">
        <v>14917</v>
      </c>
      <c r="D1403" s="109" t="s">
        <v>14591</v>
      </c>
      <c r="E1403" s="109"/>
      <c r="F1403" s="391" t="s">
        <v>14918</v>
      </c>
      <c r="G1403" s="23" t="s">
        <v>14898</v>
      </c>
      <c r="H1403" s="23" t="s">
        <v>14811</v>
      </c>
      <c r="I1403" s="23" t="s">
        <v>13951</v>
      </c>
      <c r="J1403" s="23" t="s">
        <v>17836</v>
      </c>
      <c r="K1403" s="23" t="s">
        <v>13970</v>
      </c>
      <c r="L1403" s="375" t="s">
        <v>7787</v>
      </c>
      <c r="M1403" s="351" t="s">
        <v>7787</v>
      </c>
      <c r="N1403" s="267">
        <f t="shared" si="227"/>
        <v>0</v>
      </c>
      <c r="O1403" s="268">
        <f t="shared" si="228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9"/>
      <c r="Z1403" s="237"/>
      <c r="AA1403" s="279"/>
      <c r="AB1403" s="238"/>
      <c r="AC1403" s="196">
        <f t="shared" si="222"/>
        <v>0</v>
      </c>
      <c r="AD1403" s="196">
        <f t="shared" si="223"/>
        <v>0</v>
      </c>
      <c r="AE1403" s="196">
        <f t="shared" si="224"/>
        <v>0</v>
      </c>
      <c r="AF1403" s="2">
        <f t="shared" si="225"/>
        <v>0</v>
      </c>
      <c r="AG1403" s="2">
        <f t="shared" si="226"/>
        <v>0</v>
      </c>
    </row>
    <row r="1404" spans="1:33">
      <c r="A1404" s="20" t="s">
        <v>10755</v>
      </c>
      <c r="B1404" s="150"/>
      <c r="C1404" s="21" t="s">
        <v>14919</v>
      </c>
      <c r="D1404" s="109" t="s">
        <v>14618</v>
      </c>
      <c r="E1404" s="109"/>
      <c r="F1404" s="391" t="s">
        <v>14920</v>
      </c>
      <c r="G1404" s="23" t="s">
        <v>14562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7"/>
        <v>0</v>
      </c>
      <c r="O1404" s="268">
        <f t="shared" si="228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2"/>
        <v>0</v>
      </c>
      <c r="AD1404" s="196">
        <f t="shared" si="223"/>
        <v>0</v>
      </c>
      <c r="AE1404" s="196">
        <f t="shared" si="224"/>
        <v>0</v>
      </c>
      <c r="AF1404" s="2">
        <f t="shared" si="225"/>
        <v>0</v>
      </c>
      <c r="AG1404" s="2">
        <f t="shared" si="226"/>
        <v>0</v>
      </c>
    </row>
    <row r="1405" spans="1:33">
      <c r="A1405" s="20" t="s">
        <v>19893</v>
      </c>
      <c r="B1405" s="150"/>
      <c r="C1405" s="21" t="s">
        <v>10714</v>
      </c>
      <c r="D1405" s="109" t="s">
        <v>19465</v>
      </c>
      <c r="E1405" s="109"/>
      <c r="F1405" s="391" t="s">
        <v>10782</v>
      </c>
      <c r="G1405" s="23" t="s">
        <v>13826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7"/>
        <v>0</v>
      </c>
      <c r="O1405" s="268">
        <f t="shared" si="228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7"/>
      <c r="Z1405" s="237"/>
      <c r="AA1405" s="279"/>
      <c r="AB1405" s="238"/>
      <c r="AC1405" s="196">
        <f t="shared" si="222"/>
        <v>0</v>
      </c>
      <c r="AD1405" s="196">
        <f t="shared" si="223"/>
        <v>0</v>
      </c>
      <c r="AE1405" s="196">
        <f t="shared" si="224"/>
        <v>0</v>
      </c>
      <c r="AF1405" s="2">
        <f t="shared" si="225"/>
        <v>0</v>
      </c>
      <c r="AG1405" s="2">
        <f t="shared" si="226"/>
        <v>0</v>
      </c>
    </row>
    <row r="1406" spans="1:33">
      <c r="A1406" s="20" t="s">
        <v>11305</v>
      </c>
      <c r="B1406" s="150"/>
      <c r="C1406" s="21" t="s">
        <v>11396</v>
      </c>
      <c r="D1406" s="109" t="s">
        <v>14618</v>
      </c>
      <c r="E1406" s="109"/>
      <c r="F1406" s="391" t="s">
        <v>14921</v>
      </c>
      <c r="G1406" s="23" t="s">
        <v>14562</v>
      </c>
      <c r="H1406" s="23"/>
      <c r="I1406" s="23"/>
      <c r="J1406" s="23"/>
      <c r="K1406" s="23"/>
      <c r="L1406" s="375" t="s">
        <v>7787</v>
      </c>
      <c r="M1406" s="351" t="s">
        <v>7787</v>
      </c>
      <c r="N1406" s="267">
        <f t="shared" si="227"/>
        <v>0</v>
      </c>
      <c r="O1406" s="268">
        <f t="shared" si="228"/>
        <v>0</v>
      </c>
      <c r="P1406" s="239"/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/>
      <c r="AC1406" s="196">
        <f t="shared" si="222"/>
        <v>0</v>
      </c>
      <c r="AD1406" s="196">
        <f t="shared" si="223"/>
        <v>0</v>
      </c>
      <c r="AE1406" s="196">
        <f t="shared" si="224"/>
        <v>0</v>
      </c>
      <c r="AF1406" s="2">
        <f t="shared" si="225"/>
        <v>0</v>
      </c>
      <c r="AG1406" s="2">
        <f t="shared" si="226"/>
        <v>0</v>
      </c>
    </row>
    <row r="1407" spans="1:33">
      <c r="A1407" s="20" t="s">
        <v>26108</v>
      </c>
      <c r="B1407" s="150"/>
      <c r="C1407" s="21" t="s">
        <v>26161</v>
      </c>
      <c r="D1407" s="109" t="s">
        <v>7182</v>
      </c>
      <c r="E1407" s="109" t="s">
        <v>26162</v>
      </c>
      <c r="F1407" s="391" t="s">
        <v>11412</v>
      </c>
      <c r="G1407" s="23" t="s">
        <v>13826</v>
      </c>
      <c r="H1407" s="23"/>
      <c r="I1407" s="23"/>
      <c r="J1407" s="23"/>
      <c r="K1407" s="23"/>
      <c r="L1407" s="375" t="s">
        <v>27931</v>
      </c>
      <c r="M1407" s="351"/>
      <c r="N1407" s="267">
        <f t="shared" ref="N1407" si="231">SUM(L1407:M1407)</f>
        <v>0</v>
      </c>
      <c r="O1407" s="268">
        <f t="shared" ref="O1407" si="232">SUM(P1407:Z1407)</f>
        <v>200</v>
      </c>
      <c r="P1407" s="239">
        <f>300-100</f>
        <v>200</v>
      </c>
      <c r="Q1407" s="239"/>
      <c r="R1407" s="239"/>
      <c r="S1407" s="239"/>
      <c r="T1407" s="239"/>
      <c r="U1407" s="240"/>
      <c r="V1407" s="240"/>
      <c r="W1407" s="240"/>
      <c r="X1407" s="278"/>
      <c r="Y1407" s="239"/>
      <c r="Z1407" s="237"/>
      <c r="AA1407" s="239"/>
      <c r="AB1407" s="238" t="s">
        <v>27937</v>
      </c>
      <c r="AC1407" s="196">
        <f t="shared" si="222"/>
        <v>200</v>
      </c>
      <c r="AD1407" s="196">
        <f t="shared" si="223"/>
        <v>200</v>
      </c>
      <c r="AE1407" s="196">
        <f t="shared" si="224"/>
        <v>0</v>
      </c>
      <c r="AF1407" s="2">
        <f t="shared" si="225"/>
        <v>200</v>
      </c>
      <c r="AG1407" s="2">
        <f t="shared" si="226"/>
        <v>0</v>
      </c>
    </row>
    <row r="1408" spans="1:33">
      <c r="A1408" s="20" t="s">
        <v>10397</v>
      </c>
      <c r="B1408" s="150"/>
      <c r="C1408" s="21" t="s">
        <v>11397</v>
      </c>
      <c r="D1408" s="109" t="s">
        <v>14618</v>
      </c>
      <c r="E1408" s="109"/>
      <c r="F1408" s="391" t="s">
        <v>14922</v>
      </c>
      <c r="G1408" s="23" t="s">
        <v>14562</v>
      </c>
      <c r="H1408" s="23"/>
      <c r="I1408" s="23"/>
      <c r="J1408" s="23"/>
      <c r="K1408" s="23"/>
      <c r="L1408" s="375" t="s">
        <v>7787</v>
      </c>
      <c r="M1408" s="351" t="s">
        <v>7787</v>
      </c>
      <c r="N1408" s="267">
        <f t="shared" si="227"/>
        <v>0</v>
      </c>
      <c r="O1408" s="268">
        <f t="shared" si="228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37"/>
      <c r="AB1408" s="238"/>
      <c r="AC1408" s="196">
        <f t="shared" si="222"/>
        <v>0</v>
      </c>
      <c r="AD1408" s="196">
        <f t="shared" si="223"/>
        <v>0</v>
      </c>
      <c r="AE1408" s="196">
        <f t="shared" si="224"/>
        <v>0</v>
      </c>
      <c r="AF1408" s="2">
        <f t="shared" si="225"/>
        <v>0</v>
      </c>
      <c r="AG1408" s="2">
        <f t="shared" si="226"/>
        <v>0</v>
      </c>
    </row>
    <row r="1409" spans="1:33">
      <c r="A1409" s="20" t="s">
        <v>11291</v>
      </c>
      <c r="B1409" s="150"/>
      <c r="C1409" s="21" t="s">
        <v>10587</v>
      </c>
      <c r="D1409" s="109" t="s">
        <v>14591</v>
      </c>
      <c r="E1409" s="109"/>
      <c r="F1409" s="391" t="s">
        <v>14923</v>
      </c>
      <c r="G1409" s="23" t="s">
        <v>14638</v>
      </c>
      <c r="H1409" s="23" t="s">
        <v>13951</v>
      </c>
      <c r="I1409" s="23"/>
      <c r="J1409" s="23"/>
      <c r="K1409" s="23"/>
      <c r="L1409" s="375" t="s">
        <v>7787</v>
      </c>
      <c r="M1409" s="351"/>
      <c r="N1409" s="267">
        <f t="shared" si="227"/>
        <v>0</v>
      </c>
      <c r="O1409" s="268">
        <f t="shared" si="228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79"/>
      <c r="AB1409" s="238"/>
      <c r="AC1409" s="196">
        <f t="shared" si="222"/>
        <v>0</v>
      </c>
      <c r="AD1409" s="196">
        <f t="shared" si="223"/>
        <v>0</v>
      </c>
      <c r="AE1409" s="196">
        <f t="shared" si="224"/>
        <v>0</v>
      </c>
      <c r="AF1409" s="2">
        <f t="shared" si="225"/>
        <v>0</v>
      </c>
      <c r="AG1409" s="2">
        <f t="shared" si="226"/>
        <v>0</v>
      </c>
    </row>
    <row r="1410" spans="1:33">
      <c r="A1410" s="20" t="s">
        <v>11104</v>
      </c>
      <c r="B1410" s="150"/>
      <c r="C1410" s="21" t="s">
        <v>10587</v>
      </c>
      <c r="D1410" s="109" t="s">
        <v>14645</v>
      </c>
      <c r="E1410" s="109" t="s">
        <v>14924</v>
      </c>
      <c r="F1410" s="391" t="s">
        <v>14923</v>
      </c>
      <c r="G1410" s="23" t="s">
        <v>14638</v>
      </c>
      <c r="H1410" s="23"/>
      <c r="I1410" s="23"/>
      <c r="J1410" s="23"/>
      <c r="K1410" s="23"/>
      <c r="L1410" s="375" t="s">
        <v>7787</v>
      </c>
      <c r="M1410" s="351" t="s">
        <v>7787</v>
      </c>
      <c r="N1410" s="267">
        <f t="shared" si="227"/>
        <v>0</v>
      </c>
      <c r="O1410" s="268">
        <f t="shared" si="228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39"/>
      <c r="AB1410" s="238"/>
      <c r="AC1410" s="196">
        <f t="shared" si="222"/>
        <v>0</v>
      </c>
      <c r="AD1410" s="196">
        <f t="shared" si="223"/>
        <v>0</v>
      </c>
      <c r="AE1410" s="196">
        <f t="shared" si="224"/>
        <v>0</v>
      </c>
      <c r="AF1410" s="2">
        <f t="shared" si="225"/>
        <v>0</v>
      </c>
      <c r="AG1410" s="2">
        <f t="shared" si="226"/>
        <v>0</v>
      </c>
    </row>
    <row r="1411" spans="1:33">
      <c r="A1411" s="20" t="s">
        <v>11019</v>
      </c>
      <c r="B1411" s="150"/>
      <c r="C1411" s="21" t="s">
        <v>14925</v>
      </c>
      <c r="D1411" s="109" t="s">
        <v>14673</v>
      </c>
      <c r="E1411" s="109"/>
      <c r="F1411" s="391" t="s">
        <v>14923</v>
      </c>
      <c r="G1411" s="23" t="s">
        <v>14637</v>
      </c>
      <c r="H1411" s="23"/>
      <c r="I1411" s="23"/>
      <c r="J1411" s="23"/>
      <c r="K1411" s="23"/>
      <c r="L1411" s="375" t="s">
        <v>7787</v>
      </c>
      <c r="M1411" s="351"/>
      <c r="N1411" s="267">
        <f t="shared" si="227"/>
        <v>0</v>
      </c>
      <c r="O1411" s="268">
        <f t="shared" si="228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2"/>
        <v>0</v>
      </c>
      <c r="AD1411" s="196">
        <f t="shared" si="223"/>
        <v>0</v>
      </c>
      <c r="AE1411" s="196">
        <f t="shared" si="224"/>
        <v>0</v>
      </c>
      <c r="AF1411" s="2">
        <f t="shared" si="225"/>
        <v>0</v>
      </c>
      <c r="AG1411" s="2">
        <f t="shared" si="226"/>
        <v>0</v>
      </c>
    </row>
    <row r="1412" spans="1:33">
      <c r="A1412" s="20" t="s">
        <v>11025</v>
      </c>
      <c r="B1412" s="150"/>
      <c r="C1412" s="21" t="s">
        <v>14926</v>
      </c>
      <c r="D1412" s="109" t="s">
        <v>14618</v>
      </c>
      <c r="E1412" s="109"/>
      <c r="F1412" s="391" t="s">
        <v>14927</v>
      </c>
      <c r="G1412" s="23" t="s">
        <v>14562</v>
      </c>
      <c r="H1412" s="23" t="s">
        <v>17522</v>
      </c>
      <c r="I1412" s="23"/>
      <c r="J1412" s="23"/>
      <c r="K1412" s="23"/>
      <c r="L1412" s="375" t="s">
        <v>7787</v>
      </c>
      <c r="M1412" s="351"/>
      <c r="N1412" s="267">
        <f t="shared" si="227"/>
        <v>0</v>
      </c>
      <c r="O1412" s="268">
        <f t="shared" si="228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2"/>
        <v>0</v>
      </c>
      <c r="AD1412" s="196">
        <f t="shared" si="223"/>
        <v>0</v>
      </c>
      <c r="AE1412" s="196">
        <f t="shared" si="224"/>
        <v>0</v>
      </c>
      <c r="AF1412" s="2">
        <f t="shared" si="225"/>
        <v>0</v>
      </c>
      <c r="AG1412" s="2">
        <f t="shared" si="226"/>
        <v>0</v>
      </c>
    </row>
    <row r="1413" spans="1:33">
      <c r="A1413" s="20" t="s">
        <v>11020</v>
      </c>
      <c r="B1413" s="150"/>
      <c r="C1413" s="21" t="s">
        <v>14928</v>
      </c>
      <c r="D1413" s="109" t="s">
        <v>14618</v>
      </c>
      <c r="E1413" s="109"/>
      <c r="F1413" s="391" t="s">
        <v>14929</v>
      </c>
      <c r="G1413" s="23" t="s">
        <v>14562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7"/>
        <v>0</v>
      </c>
      <c r="O1413" s="268">
        <f t="shared" si="228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2"/>
        <v>0</v>
      </c>
      <c r="AD1413" s="196">
        <f t="shared" si="223"/>
        <v>0</v>
      </c>
      <c r="AE1413" s="196">
        <f t="shared" si="224"/>
        <v>0</v>
      </c>
      <c r="AF1413" s="2">
        <f t="shared" si="225"/>
        <v>0</v>
      </c>
      <c r="AG1413" s="2">
        <f t="shared" si="226"/>
        <v>0</v>
      </c>
    </row>
    <row r="1414" spans="1:33">
      <c r="A1414" s="20" t="s">
        <v>10392</v>
      </c>
      <c r="B1414" s="150"/>
      <c r="C1414" s="21" t="s">
        <v>14930</v>
      </c>
      <c r="D1414" s="109" t="s">
        <v>14627</v>
      </c>
      <c r="E1414" s="109" t="s">
        <v>14931</v>
      </c>
      <c r="F1414" s="391" t="s">
        <v>14932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7"/>
        <v>0</v>
      </c>
      <c r="O1414" s="268">
        <f t="shared" si="228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2"/>
        <v>0</v>
      </c>
      <c r="AD1414" s="196">
        <f t="shared" si="223"/>
        <v>0</v>
      </c>
      <c r="AE1414" s="196">
        <f t="shared" si="224"/>
        <v>0</v>
      </c>
      <c r="AF1414" s="2">
        <f t="shared" si="225"/>
        <v>0</v>
      </c>
      <c r="AG1414" s="2">
        <f t="shared" si="226"/>
        <v>0</v>
      </c>
    </row>
    <row r="1415" spans="1:33">
      <c r="A1415" s="20" t="s">
        <v>10393</v>
      </c>
      <c r="B1415" s="150"/>
      <c r="C1415" s="21" t="s">
        <v>14933</v>
      </c>
      <c r="D1415" s="109" t="s">
        <v>14627</v>
      </c>
      <c r="E1415" s="109" t="s">
        <v>14931</v>
      </c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 t="s">
        <v>7787</v>
      </c>
      <c r="N1415" s="267">
        <f t="shared" si="227"/>
        <v>0</v>
      </c>
      <c r="O1415" s="268">
        <f t="shared" si="228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2"/>
        <v>0</v>
      </c>
      <c r="AD1415" s="196">
        <f t="shared" si="223"/>
        <v>0</v>
      </c>
      <c r="AE1415" s="196">
        <f t="shared" si="224"/>
        <v>0</v>
      </c>
      <c r="AF1415" s="2">
        <f t="shared" si="225"/>
        <v>0</v>
      </c>
      <c r="AG1415" s="2">
        <f t="shared" si="226"/>
        <v>0</v>
      </c>
    </row>
    <row r="1416" spans="1:33">
      <c r="A1416" s="20" t="s">
        <v>10394</v>
      </c>
      <c r="B1416" s="150"/>
      <c r="C1416" s="21" t="s">
        <v>14933</v>
      </c>
      <c r="D1416" s="109" t="s">
        <v>14673</v>
      </c>
      <c r="E1416" s="109"/>
      <c r="F1416" s="391" t="s">
        <v>14934</v>
      </c>
      <c r="G1416" s="23" t="s">
        <v>14642</v>
      </c>
      <c r="H1416" s="23"/>
      <c r="I1416" s="23"/>
      <c r="J1416" s="23"/>
      <c r="K1416" s="23"/>
      <c r="L1416" s="375" t="s">
        <v>7787</v>
      </c>
      <c r="M1416" s="351"/>
      <c r="N1416" s="267">
        <f t="shared" si="227"/>
        <v>0</v>
      </c>
      <c r="O1416" s="268">
        <f t="shared" si="228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2"/>
        <v>0</v>
      </c>
      <c r="AD1416" s="196">
        <f t="shared" si="223"/>
        <v>0</v>
      </c>
      <c r="AE1416" s="196">
        <f t="shared" si="224"/>
        <v>0</v>
      </c>
      <c r="AF1416" s="2">
        <f t="shared" si="225"/>
        <v>0</v>
      </c>
      <c r="AG1416" s="2">
        <f t="shared" si="226"/>
        <v>0</v>
      </c>
    </row>
    <row r="1417" spans="1:33">
      <c r="A1417" s="20" t="s">
        <v>11306</v>
      </c>
      <c r="B1417" s="150"/>
      <c r="C1417" s="21" t="s">
        <v>14935</v>
      </c>
      <c r="D1417" s="109" t="s">
        <v>14618</v>
      </c>
      <c r="E1417" s="109"/>
      <c r="F1417" s="391" t="s">
        <v>14936</v>
      </c>
      <c r="G1417" s="23" t="s">
        <v>14562</v>
      </c>
      <c r="H1417" s="23"/>
      <c r="I1417" s="23"/>
      <c r="J1417" s="23"/>
      <c r="K1417" s="23"/>
      <c r="L1417" s="375" t="s">
        <v>7787</v>
      </c>
      <c r="M1417" s="351" t="s">
        <v>7787</v>
      </c>
      <c r="N1417" s="267">
        <f t="shared" si="227"/>
        <v>0</v>
      </c>
      <c r="O1417" s="268">
        <f t="shared" si="228"/>
        <v>0</v>
      </c>
      <c r="P1417" s="239"/>
      <c r="Q1417" s="239"/>
      <c r="R1417" s="239"/>
      <c r="S1417" s="239"/>
      <c r="T1417" s="239"/>
      <c r="U1417" s="240"/>
      <c r="V1417" s="240"/>
      <c r="W1417" s="240"/>
      <c r="X1417" s="278"/>
      <c r="Y1417" s="237"/>
      <c r="Z1417" s="237"/>
      <c r="AA1417" s="279"/>
      <c r="AB1417" s="238"/>
      <c r="AC1417" s="196">
        <f t="shared" si="222"/>
        <v>0</v>
      </c>
      <c r="AD1417" s="196">
        <f t="shared" si="223"/>
        <v>0</v>
      </c>
      <c r="AE1417" s="196">
        <f t="shared" si="224"/>
        <v>0</v>
      </c>
      <c r="AF1417" s="2">
        <f t="shared" si="225"/>
        <v>0</v>
      </c>
      <c r="AG1417" s="2">
        <f t="shared" si="226"/>
        <v>0</v>
      </c>
    </row>
    <row r="1418" spans="1:33">
      <c r="A1418" s="20" t="s">
        <v>11408</v>
      </c>
      <c r="B1418" s="150"/>
      <c r="C1418" s="21" t="s">
        <v>14937</v>
      </c>
      <c r="D1418" s="109" t="s">
        <v>14591</v>
      </c>
      <c r="E1418" s="109"/>
      <c r="F1418" s="391" t="s">
        <v>14938</v>
      </c>
      <c r="G1418" s="23" t="s">
        <v>13951</v>
      </c>
      <c r="H1418" s="23" t="s">
        <v>14914</v>
      </c>
      <c r="I1418" s="23" t="s">
        <v>14649</v>
      </c>
      <c r="J1418" s="23" t="s">
        <v>6133</v>
      </c>
      <c r="K1418" s="23"/>
      <c r="L1418" s="375" t="s">
        <v>27870</v>
      </c>
      <c r="M1418" s="351" t="s">
        <v>7787</v>
      </c>
      <c r="N1418" s="267">
        <f t="shared" si="227"/>
        <v>0</v>
      </c>
      <c r="O1418" s="268">
        <f t="shared" si="228"/>
        <v>900</v>
      </c>
      <c r="P1418" s="239"/>
      <c r="Q1418" s="240">
        <f>1600-400-300</f>
        <v>900</v>
      </c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 t="s">
        <v>27864</v>
      </c>
      <c r="AC1418" s="196">
        <f t="shared" ref="AC1418:AC1481" si="233">SUM(P1418:AA1418)</f>
        <v>900</v>
      </c>
      <c r="AD1418" s="196">
        <f t="shared" ref="AD1418:AD1481" si="234">SUM(P1418:AB1418)</f>
        <v>900</v>
      </c>
      <c r="AE1418" s="196">
        <f t="shared" ref="AE1418:AE1481" si="235">SUM(AC1418-AD1418)</f>
        <v>0</v>
      </c>
      <c r="AF1418" s="2">
        <f t="shared" ref="AF1418:AF1481" si="236">+AC1418</f>
        <v>900</v>
      </c>
      <c r="AG1418" s="2">
        <f t="shared" ref="AG1418:AG1481" si="237">+AC1418-AF1418</f>
        <v>0</v>
      </c>
    </row>
    <row r="1419" spans="1:33">
      <c r="A1419" s="20" t="s">
        <v>20508</v>
      </c>
      <c r="B1419" s="150"/>
      <c r="C1419" s="21" t="s">
        <v>11491</v>
      </c>
      <c r="D1419" s="109" t="s">
        <v>3137</v>
      </c>
      <c r="E1419" s="109" t="s">
        <v>21169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7"/>
        <v>0</v>
      </c>
      <c r="O1419" s="268">
        <f t="shared" si="228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3"/>
        <v>0</v>
      </c>
      <c r="AD1419" s="196">
        <f t="shared" si="234"/>
        <v>0</v>
      </c>
      <c r="AE1419" s="196">
        <f t="shared" si="235"/>
        <v>0</v>
      </c>
      <c r="AF1419" s="2">
        <f t="shared" si="236"/>
        <v>0</v>
      </c>
      <c r="AG1419" s="2">
        <f t="shared" si="237"/>
        <v>0</v>
      </c>
    </row>
    <row r="1420" spans="1:33">
      <c r="A1420" s="20" t="s">
        <v>22896</v>
      </c>
      <c r="B1420" s="150"/>
      <c r="C1420" s="21" t="s">
        <v>11491</v>
      </c>
      <c r="D1420" s="109" t="s">
        <v>3137</v>
      </c>
      <c r="E1420" s="109" t="s">
        <v>22742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 t="s">
        <v>7787</v>
      </c>
      <c r="M1420" s="351">
        <v>0</v>
      </c>
      <c r="N1420" s="267">
        <f t="shared" si="227"/>
        <v>0</v>
      </c>
      <c r="O1420" s="268">
        <f t="shared" si="228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3"/>
        <v>0</v>
      </c>
      <c r="AD1420" s="196">
        <f t="shared" si="234"/>
        <v>0</v>
      </c>
      <c r="AE1420" s="196">
        <f t="shared" si="235"/>
        <v>0</v>
      </c>
      <c r="AF1420" s="2">
        <f t="shared" si="236"/>
        <v>0</v>
      </c>
      <c r="AG1420" s="2">
        <f t="shared" si="237"/>
        <v>0</v>
      </c>
    </row>
    <row r="1421" spans="1:33">
      <c r="A1421" s="20" t="s">
        <v>20509</v>
      </c>
      <c r="B1421" s="150"/>
      <c r="C1421" s="21" t="s">
        <v>11491</v>
      </c>
      <c r="D1421" s="109" t="s">
        <v>21129</v>
      </c>
      <c r="E1421" s="109" t="s">
        <v>21130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/>
      <c r="M1421" s="351"/>
      <c r="N1421" s="267">
        <f t="shared" si="227"/>
        <v>0</v>
      </c>
      <c r="O1421" s="268">
        <f t="shared" si="228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3"/>
        <v>0</v>
      </c>
      <c r="AD1421" s="196">
        <f t="shared" si="234"/>
        <v>0</v>
      </c>
      <c r="AE1421" s="196">
        <f t="shared" si="235"/>
        <v>0</v>
      </c>
      <c r="AF1421" s="2">
        <f t="shared" si="236"/>
        <v>0</v>
      </c>
      <c r="AG1421" s="2">
        <f t="shared" si="237"/>
        <v>0</v>
      </c>
    </row>
    <row r="1422" spans="1:33">
      <c r="A1422" s="20" t="s">
        <v>20510</v>
      </c>
      <c r="B1422" s="150"/>
      <c r="C1422" s="21" t="s">
        <v>11491</v>
      </c>
      <c r="D1422" s="109" t="s">
        <v>7878</v>
      </c>
      <c r="E1422" s="109" t="s">
        <v>21152</v>
      </c>
      <c r="F1422" s="391" t="s">
        <v>11527</v>
      </c>
      <c r="G1422" s="23" t="s">
        <v>21174</v>
      </c>
      <c r="H1422" s="23"/>
      <c r="I1422" s="23"/>
      <c r="J1422" s="23"/>
      <c r="K1422" s="23"/>
      <c r="L1422" s="375" t="s">
        <v>7787</v>
      </c>
      <c r="M1422" s="351"/>
      <c r="N1422" s="267">
        <f t="shared" si="227"/>
        <v>0</v>
      </c>
      <c r="O1422" s="268">
        <f t="shared" si="228"/>
        <v>0</v>
      </c>
      <c r="P1422" s="239"/>
      <c r="Q1422" s="239"/>
      <c r="R1422" s="239"/>
      <c r="S1422" s="239"/>
      <c r="T1422" s="239"/>
      <c r="U1422" s="240"/>
      <c r="V1422" s="239"/>
      <c r="W1422" s="240"/>
      <c r="X1422" s="278"/>
      <c r="Y1422" s="237"/>
      <c r="Z1422" s="237"/>
      <c r="AA1422" s="279"/>
      <c r="AB1422" s="238"/>
      <c r="AC1422" s="196">
        <f t="shared" si="233"/>
        <v>0</v>
      </c>
      <c r="AD1422" s="196">
        <f t="shared" si="234"/>
        <v>0</v>
      </c>
      <c r="AE1422" s="196">
        <f t="shared" si="235"/>
        <v>0</v>
      </c>
      <c r="AF1422" s="2">
        <f t="shared" si="236"/>
        <v>0</v>
      </c>
      <c r="AG1422" s="2">
        <f t="shared" si="237"/>
        <v>0</v>
      </c>
    </row>
    <row r="1423" spans="1:33">
      <c r="A1423" s="20" t="s">
        <v>11407</v>
      </c>
      <c r="B1423" s="150"/>
      <c r="C1423" s="21" t="s">
        <v>14939</v>
      </c>
      <c r="D1423" s="109" t="s">
        <v>14876</v>
      </c>
      <c r="E1423" s="109" t="s">
        <v>27629</v>
      </c>
      <c r="F1423" s="391" t="s">
        <v>14940</v>
      </c>
      <c r="G1423" s="23" t="s">
        <v>13877</v>
      </c>
      <c r="H1423" s="23" t="s">
        <v>14762</v>
      </c>
      <c r="I1423" s="23"/>
      <c r="J1423" s="23"/>
      <c r="K1423" s="23"/>
      <c r="L1423" s="375" t="s">
        <v>7787</v>
      </c>
      <c r="M1423" s="351" t="s">
        <v>7787</v>
      </c>
      <c r="N1423" s="267">
        <f t="shared" si="227"/>
        <v>0</v>
      </c>
      <c r="O1423" s="268">
        <f t="shared" si="228"/>
        <v>1700</v>
      </c>
      <c r="P1423" s="241"/>
      <c r="Q1423" s="239"/>
      <c r="R1423" s="239"/>
      <c r="S1423" s="239"/>
      <c r="T1423" s="239"/>
      <c r="U1423" s="241">
        <f>2000-300</f>
        <v>1700</v>
      </c>
      <c r="V1423" s="239"/>
      <c r="W1423" s="240"/>
      <c r="X1423" s="278"/>
      <c r="Y1423" s="237"/>
      <c r="Z1423" s="237"/>
      <c r="AA1423" s="279"/>
      <c r="AB1423" s="238"/>
      <c r="AC1423" s="196">
        <f t="shared" si="233"/>
        <v>1700</v>
      </c>
      <c r="AD1423" s="196">
        <f t="shared" si="234"/>
        <v>1700</v>
      </c>
      <c r="AE1423" s="196">
        <f t="shared" si="235"/>
        <v>0</v>
      </c>
      <c r="AF1423" s="2">
        <f t="shared" si="236"/>
        <v>1700</v>
      </c>
      <c r="AG1423" s="2">
        <f t="shared" si="237"/>
        <v>0</v>
      </c>
    </row>
    <row r="1424" spans="1:33">
      <c r="A1424" s="20" t="s">
        <v>20511</v>
      </c>
      <c r="B1424" s="150"/>
      <c r="C1424" s="21" t="s">
        <v>11475</v>
      </c>
      <c r="D1424" s="109" t="s">
        <v>3137</v>
      </c>
      <c r="E1424" s="109" t="s">
        <v>21169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>
        <v>0</v>
      </c>
      <c r="N1424" s="267">
        <f t="shared" si="227"/>
        <v>0</v>
      </c>
      <c r="O1424" s="268">
        <f t="shared" si="228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3"/>
        <v>0</v>
      </c>
      <c r="AD1424" s="196">
        <f t="shared" si="234"/>
        <v>0</v>
      </c>
      <c r="AE1424" s="196">
        <f t="shared" si="235"/>
        <v>0</v>
      </c>
      <c r="AF1424" s="2">
        <f t="shared" si="236"/>
        <v>0</v>
      </c>
      <c r="AG1424" s="2">
        <f t="shared" si="237"/>
        <v>0</v>
      </c>
    </row>
    <row r="1425" spans="1:33">
      <c r="A1425" s="20" t="s">
        <v>20512</v>
      </c>
      <c r="B1425" s="150"/>
      <c r="C1425" s="21" t="s">
        <v>11475</v>
      </c>
      <c r="D1425" s="109" t="s">
        <v>21129</v>
      </c>
      <c r="E1425" s="109" t="s">
        <v>21130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/>
      <c r="M1425" s="351"/>
      <c r="N1425" s="267">
        <f t="shared" si="227"/>
        <v>0</v>
      </c>
      <c r="O1425" s="268">
        <f t="shared" si="228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3"/>
        <v>0</v>
      </c>
      <c r="AD1425" s="196">
        <f t="shared" si="234"/>
        <v>0</v>
      </c>
      <c r="AE1425" s="196">
        <f t="shared" si="235"/>
        <v>0</v>
      </c>
      <c r="AF1425" s="2">
        <f t="shared" si="236"/>
        <v>0</v>
      </c>
      <c r="AG1425" s="2">
        <f t="shared" si="237"/>
        <v>0</v>
      </c>
    </row>
    <row r="1426" spans="1:33">
      <c r="A1426" s="20" t="s">
        <v>20513</v>
      </c>
      <c r="B1426" s="150"/>
      <c r="C1426" s="21" t="s">
        <v>11475</v>
      </c>
      <c r="D1426" s="109" t="s">
        <v>7878</v>
      </c>
      <c r="E1426" s="109" t="s">
        <v>21152</v>
      </c>
      <c r="F1426" s="391" t="s">
        <v>11488</v>
      </c>
      <c r="G1426" s="23" t="s">
        <v>21174</v>
      </c>
      <c r="H1426" s="23"/>
      <c r="I1426" s="23"/>
      <c r="J1426" s="23"/>
      <c r="K1426" s="23"/>
      <c r="L1426" s="375" t="s">
        <v>7787</v>
      </c>
      <c r="M1426" s="351"/>
      <c r="N1426" s="267">
        <f t="shared" si="227"/>
        <v>0</v>
      </c>
      <c r="O1426" s="268">
        <f t="shared" si="228"/>
        <v>0</v>
      </c>
      <c r="P1426" s="239"/>
      <c r="Q1426" s="239"/>
      <c r="R1426" s="239"/>
      <c r="S1426" s="239"/>
      <c r="T1426" s="239"/>
      <c r="U1426" s="240"/>
      <c r="V1426" s="239"/>
      <c r="W1426" s="240"/>
      <c r="X1426" s="278"/>
      <c r="Y1426" s="237"/>
      <c r="Z1426" s="237"/>
      <c r="AA1426" s="279"/>
      <c r="AB1426" s="238"/>
      <c r="AC1426" s="196">
        <f t="shared" si="233"/>
        <v>0</v>
      </c>
      <c r="AD1426" s="196">
        <f t="shared" si="234"/>
        <v>0</v>
      </c>
      <c r="AE1426" s="196">
        <f t="shared" si="235"/>
        <v>0</v>
      </c>
      <c r="AF1426" s="2">
        <f t="shared" si="236"/>
        <v>0</v>
      </c>
      <c r="AG1426" s="2">
        <f t="shared" si="237"/>
        <v>0</v>
      </c>
    </row>
    <row r="1427" spans="1:33">
      <c r="A1427" s="20" t="s">
        <v>11026</v>
      </c>
      <c r="B1427" s="150"/>
      <c r="C1427" s="21" t="s">
        <v>14941</v>
      </c>
      <c r="D1427" s="109" t="s">
        <v>14734</v>
      </c>
      <c r="E1427" s="109"/>
      <c r="F1427" s="391" t="s">
        <v>14942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 t="s">
        <v>7787</v>
      </c>
      <c r="N1427" s="267">
        <f t="shared" si="227"/>
        <v>0</v>
      </c>
      <c r="O1427" s="268">
        <f t="shared" si="228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3"/>
        <v>0</v>
      </c>
      <c r="AD1427" s="196">
        <f t="shared" si="234"/>
        <v>0</v>
      </c>
      <c r="AE1427" s="196">
        <f t="shared" si="235"/>
        <v>0</v>
      </c>
      <c r="AF1427" s="2">
        <f t="shared" si="236"/>
        <v>0</v>
      </c>
      <c r="AG1427" s="2">
        <f t="shared" si="237"/>
        <v>0</v>
      </c>
    </row>
    <row r="1428" spans="1:33">
      <c r="A1428" s="20" t="s">
        <v>11541</v>
      </c>
      <c r="B1428" s="150"/>
      <c r="C1428" s="21" t="s">
        <v>14943</v>
      </c>
      <c r="D1428" s="109" t="s">
        <v>14661</v>
      </c>
      <c r="E1428" s="109" t="s">
        <v>14685</v>
      </c>
      <c r="F1428" s="391" t="s">
        <v>14944</v>
      </c>
      <c r="G1428" s="23" t="s">
        <v>14684</v>
      </c>
      <c r="H1428" s="23"/>
      <c r="I1428" s="23"/>
      <c r="J1428" s="23"/>
      <c r="K1428" s="23"/>
      <c r="L1428" s="375" t="s">
        <v>7787</v>
      </c>
      <c r="M1428" s="351"/>
      <c r="N1428" s="267">
        <f t="shared" si="227"/>
        <v>0</v>
      </c>
      <c r="O1428" s="268">
        <f t="shared" si="228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3"/>
        <v>0</v>
      </c>
      <c r="AD1428" s="196">
        <f t="shared" si="234"/>
        <v>0</v>
      </c>
      <c r="AE1428" s="196">
        <f t="shared" si="235"/>
        <v>0</v>
      </c>
      <c r="AF1428" s="2">
        <f t="shared" si="236"/>
        <v>0</v>
      </c>
      <c r="AG1428" s="2">
        <f t="shared" si="237"/>
        <v>0</v>
      </c>
    </row>
    <row r="1429" spans="1:33">
      <c r="A1429" s="20" t="s">
        <v>11542</v>
      </c>
      <c r="B1429" s="150"/>
      <c r="C1429" s="21" t="s">
        <v>14945</v>
      </c>
      <c r="D1429" s="109" t="s">
        <v>14665</v>
      </c>
      <c r="E1429" s="109"/>
      <c r="F1429" s="391" t="s">
        <v>14946</v>
      </c>
      <c r="G1429" s="23" t="s">
        <v>14947</v>
      </c>
      <c r="H1429" s="23"/>
      <c r="I1429" s="23"/>
      <c r="J1429" s="23"/>
      <c r="K1429" s="23"/>
      <c r="L1429" s="375" t="s">
        <v>7787</v>
      </c>
      <c r="M1429" s="351" t="s">
        <v>7787</v>
      </c>
      <c r="N1429" s="267">
        <f t="shared" si="227"/>
        <v>0</v>
      </c>
      <c r="O1429" s="268">
        <f t="shared" si="228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3"/>
        <v>0</v>
      </c>
      <c r="AD1429" s="196">
        <f t="shared" si="234"/>
        <v>0</v>
      </c>
      <c r="AE1429" s="196">
        <f t="shared" si="235"/>
        <v>0</v>
      </c>
      <c r="AF1429" s="2">
        <f t="shared" si="236"/>
        <v>0</v>
      </c>
      <c r="AG1429" s="2">
        <f t="shared" si="237"/>
        <v>0</v>
      </c>
    </row>
    <row r="1430" spans="1:33">
      <c r="A1430" s="20" t="s">
        <v>11543</v>
      </c>
      <c r="B1430" s="150"/>
      <c r="C1430" s="21" t="s">
        <v>14948</v>
      </c>
      <c r="D1430" s="109" t="s">
        <v>13613</v>
      </c>
      <c r="E1430" s="109"/>
      <c r="F1430" s="391" t="s">
        <v>14949</v>
      </c>
      <c r="G1430" s="23" t="s">
        <v>14950</v>
      </c>
      <c r="H1430" s="23" t="s">
        <v>17523</v>
      </c>
      <c r="I1430" s="23"/>
      <c r="J1430" s="23"/>
      <c r="K1430" s="23"/>
      <c r="L1430" s="375" t="s">
        <v>45</v>
      </c>
      <c r="M1430" s="351" t="s">
        <v>7787</v>
      </c>
      <c r="N1430" s="267">
        <f t="shared" si="227"/>
        <v>0</v>
      </c>
      <c r="O1430" s="268">
        <f t="shared" si="228"/>
        <v>0</v>
      </c>
      <c r="P1430" s="239"/>
      <c r="Q1430" s="239"/>
      <c r="R1430" s="239"/>
      <c r="S1430" s="239"/>
      <c r="T1430" s="239"/>
      <c r="U1430" s="240"/>
      <c r="V1430" s="240"/>
      <c r="W1430" s="240"/>
      <c r="X1430" s="278"/>
      <c r="Y1430" s="237"/>
      <c r="Z1430" s="237"/>
      <c r="AA1430" s="279"/>
      <c r="AB1430" s="238"/>
      <c r="AC1430" s="196">
        <f t="shared" si="233"/>
        <v>0</v>
      </c>
      <c r="AD1430" s="196">
        <f t="shared" si="234"/>
        <v>0</v>
      </c>
      <c r="AE1430" s="196">
        <f t="shared" si="235"/>
        <v>0</v>
      </c>
      <c r="AF1430" s="2">
        <f t="shared" si="236"/>
        <v>0</v>
      </c>
      <c r="AG1430" s="2">
        <f t="shared" si="237"/>
        <v>0</v>
      </c>
    </row>
    <row r="1431" spans="1:33">
      <c r="A1431" s="20" t="s">
        <v>27049</v>
      </c>
      <c r="B1431" s="150"/>
      <c r="C1431" s="21" t="s">
        <v>25338</v>
      </c>
      <c r="D1431" s="109" t="s">
        <v>4059</v>
      </c>
      <c r="E1431" s="109" t="s">
        <v>25341</v>
      </c>
      <c r="F1431" s="391" t="s">
        <v>25339</v>
      </c>
      <c r="G1431" s="23" t="s">
        <v>25340</v>
      </c>
      <c r="H1431" s="23" t="s">
        <v>25690</v>
      </c>
      <c r="I1431" s="23"/>
      <c r="J1431" s="23"/>
      <c r="K1431" s="23"/>
      <c r="L1431" s="375" t="s">
        <v>45</v>
      </c>
      <c r="M1431" s="351" t="s">
        <v>7787</v>
      </c>
      <c r="N1431" s="267">
        <f t="shared" ref="N1431" si="238">SUM(L1431:M1431)</f>
        <v>0</v>
      </c>
      <c r="O1431" s="268">
        <f t="shared" ref="O1431" si="239">SUM(P1431:Z1431)</f>
        <v>50</v>
      </c>
      <c r="P1431" s="239"/>
      <c r="Q1431" s="239"/>
      <c r="R1431" s="239"/>
      <c r="S1431" s="239"/>
      <c r="T1431" s="239"/>
      <c r="U1431" s="239">
        <f>450-400</f>
        <v>50</v>
      </c>
      <c r="V1431" s="240"/>
      <c r="W1431" s="240"/>
      <c r="X1431" s="278"/>
      <c r="Y1431" s="237"/>
      <c r="Z1431" s="237"/>
      <c r="AA1431" s="279"/>
      <c r="AB1431" s="238" t="s">
        <v>26938</v>
      </c>
      <c r="AC1431" s="196">
        <f t="shared" si="233"/>
        <v>50</v>
      </c>
      <c r="AD1431" s="196">
        <f t="shared" si="234"/>
        <v>50</v>
      </c>
      <c r="AE1431" s="196">
        <f t="shared" si="235"/>
        <v>0</v>
      </c>
      <c r="AF1431" s="2">
        <f t="shared" si="236"/>
        <v>50</v>
      </c>
      <c r="AG1431" s="2">
        <f t="shared" si="237"/>
        <v>0</v>
      </c>
    </row>
    <row r="1432" spans="1:33">
      <c r="A1432" s="20" t="s">
        <v>11995</v>
      </c>
      <c r="B1432" s="150"/>
      <c r="C1432" s="21" t="s">
        <v>14948</v>
      </c>
      <c r="D1432" s="109" t="s">
        <v>14661</v>
      </c>
      <c r="E1432" s="109"/>
      <c r="F1432" s="391" t="s">
        <v>12087</v>
      </c>
      <c r="G1432" s="23"/>
      <c r="H1432" s="23"/>
      <c r="I1432" s="23"/>
      <c r="J1432" s="23"/>
      <c r="K1432" s="23"/>
      <c r="L1432" s="375" t="s">
        <v>7787</v>
      </c>
      <c r="M1432" s="351"/>
      <c r="N1432" s="267">
        <f t="shared" si="227"/>
        <v>0</v>
      </c>
      <c r="O1432" s="268">
        <f t="shared" si="228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3"/>
        <v>0</v>
      </c>
      <c r="AD1432" s="196">
        <f t="shared" si="234"/>
        <v>0</v>
      </c>
      <c r="AE1432" s="196">
        <f t="shared" si="235"/>
        <v>0</v>
      </c>
      <c r="AF1432" s="2">
        <f t="shared" si="236"/>
        <v>0</v>
      </c>
      <c r="AG1432" s="2">
        <f t="shared" si="237"/>
        <v>0</v>
      </c>
    </row>
    <row r="1433" spans="1:33">
      <c r="A1433" s="20" t="s">
        <v>10756</v>
      </c>
      <c r="B1433" s="150"/>
      <c r="C1433" s="21" t="s">
        <v>14951</v>
      </c>
      <c r="D1433" s="109" t="s">
        <v>14627</v>
      </c>
      <c r="E1433" s="109" t="s">
        <v>14640</v>
      </c>
      <c r="F1433" s="391" t="s">
        <v>14934</v>
      </c>
      <c r="G1433" s="23" t="s">
        <v>14642</v>
      </c>
      <c r="H1433" s="23"/>
      <c r="I1433" s="23"/>
      <c r="J1433" s="23"/>
      <c r="K1433" s="23"/>
      <c r="L1433" s="375" t="s">
        <v>7787</v>
      </c>
      <c r="M1433" s="351"/>
      <c r="N1433" s="267">
        <f t="shared" si="227"/>
        <v>0</v>
      </c>
      <c r="O1433" s="268">
        <f t="shared" si="228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3"/>
        <v>0</v>
      </c>
      <c r="AD1433" s="196">
        <f t="shared" si="234"/>
        <v>0</v>
      </c>
      <c r="AE1433" s="196">
        <f t="shared" si="235"/>
        <v>0</v>
      </c>
      <c r="AF1433" s="2">
        <f t="shared" si="236"/>
        <v>0</v>
      </c>
      <c r="AG1433" s="2">
        <f t="shared" si="237"/>
        <v>0</v>
      </c>
    </row>
    <row r="1434" spans="1:33">
      <c r="A1434" s="20" t="s">
        <v>10757</v>
      </c>
      <c r="B1434" s="150"/>
      <c r="C1434" s="21" t="s">
        <v>14952</v>
      </c>
      <c r="D1434" s="109" t="s">
        <v>14591</v>
      </c>
      <c r="E1434" s="109"/>
      <c r="F1434" s="391" t="s">
        <v>14953</v>
      </c>
      <c r="G1434" s="23" t="s">
        <v>13617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7"/>
        <v>0</v>
      </c>
      <c r="O1434" s="268">
        <f t="shared" si="228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79"/>
      <c r="AB1434" s="238"/>
      <c r="AC1434" s="196">
        <f t="shared" si="233"/>
        <v>0</v>
      </c>
      <c r="AD1434" s="196">
        <f t="shared" si="234"/>
        <v>0</v>
      </c>
      <c r="AE1434" s="196">
        <f t="shared" si="235"/>
        <v>0</v>
      </c>
      <c r="AF1434" s="2">
        <f t="shared" si="236"/>
        <v>0</v>
      </c>
      <c r="AG1434" s="2">
        <f t="shared" si="237"/>
        <v>0</v>
      </c>
    </row>
    <row r="1435" spans="1:33">
      <c r="A1435" s="20" t="s">
        <v>10826</v>
      </c>
      <c r="B1435" s="150"/>
      <c r="C1435" s="21" t="s">
        <v>14954</v>
      </c>
      <c r="D1435" s="109" t="s">
        <v>14591</v>
      </c>
      <c r="E1435" s="109"/>
      <c r="F1435" s="391" t="s">
        <v>14955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7"/>
        <v>0</v>
      </c>
      <c r="O1435" s="268">
        <f t="shared" si="228"/>
        <v>0</v>
      </c>
      <c r="P1435" s="239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39"/>
      <c r="AB1435" s="238"/>
      <c r="AC1435" s="196">
        <f t="shared" si="233"/>
        <v>0</v>
      </c>
      <c r="AD1435" s="196">
        <f t="shared" si="234"/>
        <v>0</v>
      </c>
      <c r="AE1435" s="196">
        <f t="shared" si="235"/>
        <v>0</v>
      </c>
      <c r="AF1435" s="2">
        <f t="shared" si="236"/>
        <v>0</v>
      </c>
      <c r="AG1435" s="2">
        <f t="shared" si="237"/>
        <v>0</v>
      </c>
    </row>
    <row r="1436" spans="1:33">
      <c r="A1436" s="20" t="s">
        <v>10827</v>
      </c>
      <c r="B1436" s="150"/>
      <c r="C1436" s="21" t="s">
        <v>14957</v>
      </c>
      <c r="D1436" s="109" t="s">
        <v>14591</v>
      </c>
      <c r="E1436" s="109"/>
      <c r="F1436" s="391" t="s">
        <v>14958</v>
      </c>
      <c r="G1436" s="23" t="s">
        <v>14956</v>
      </c>
      <c r="H1436" s="23"/>
      <c r="I1436" s="23"/>
      <c r="J1436" s="23"/>
      <c r="K1436" s="23"/>
      <c r="L1436" s="375" t="s">
        <v>7787</v>
      </c>
      <c r="M1436" s="351" t="s">
        <v>7787</v>
      </c>
      <c r="N1436" s="267">
        <f t="shared" si="227"/>
        <v>0</v>
      </c>
      <c r="O1436" s="268">
        <f t="shared" si="228"/>
        <v>0</v>
      </c>
      <c r="P1436" s="241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41"/>
      <c r="AB1436" s="238"/>
      <c r="AC1436" s="196">
        <f t="shared" si="233"/>
        <v>0</v>
      </c>
      <c r="AD1436" s="196">
        <f t="shared" si="234"/>
        <v>0</v>
      </c>
      <c r="AE1436" s="196">
        <f t="shared" si="235"/>
        <v>0</v>
      </c>
      <c r="AF1436" s="2">
        <f t="shared" si="236"/>
        <v>0</v>
      </c>
      <c r="AG1436" s="2">
        <f t="shared" si="237"/>
        <v>0</v>
      </c>
    </row>
    <row r="1437" spans="1:33">
      <c r="A1437" s="20" t="s">
        <v>1833</v>
      </c>
      <c r="B1437" s="150"/>
      <c r="C1437" s="21" t="s">
        <v>762</v>
      </c>
      <c r="D1437" s="109" t="s">
        <v>13949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7"/>
        <v>0</v>
      </c>
      <c r="O1437" s="268">
        <f t="shared" si="228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3"/>
        <v>0</v>
      </c>
      <c r="AD1437" s="196">
        <f t="shared" si="234"/>
        <v>0</v>
      </c>
      <c r="AE1437" s="196">
        <f t="shared" si="235"/>
        <v>0</v>
      </c>
      <c r="AF1437" s="2">
        <f t="shared" si="236"/>
        <v>0</v>
      </c>
      <c r="AG1437" s="2">
        <f t="shared" si="237"/>
        <v>0</v>
      </c>
    </row>
    <row r="1438" spans="1:33">
      <c r="A1438" s="20" t="s">
        <v>1834</v>
      </c>
      <c r="B1438" s="150"/>
      <c r="C1438" s="21" t="s">
        <v>762</v>
      </c>
      <c r="D1438" s="109" t="s">
        <v>13613</v>
      </c>
      <c r="E1438" s="109"/>
      <c r="F1438" s="391" t="s">
        <v>14959</v>
      </c>
      <c r="G1438" s="23"/>
      <c r="H1438" s="23"/>
      <c r="I1438" s="23"/>
      <c r="J1438" s="23"/>
      <c r="K1438" s="23"/>
      <c r="L1438" s="350"/>
      <c r="M1438" s="351"/>
      <c r="N1438" s="267">
        <f t="shared" si="227"/>
        <v>0</v>
      </c>
      <c r="O1438" s="268">
        <f t="shared" si="228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7"/>
      <c r="Z1438" s="237"/>
      <c r="AA1438" s="279"/>
      <c r="AB1438" s="238"/>
      <c r="AC1438" s="196">
        <f t="shared" si="233"/>
        <v>0</v>
      </c>
      <c r="AD1438" s="196">
        <f t="shared" si="234"/>
        <v>0</v>
      </c>
      <c r="AE1438" s="196">
        <f t="shared" si="235"/>
        <v>0</v>
      </c>
      <c r="AF1438" s="2">
        <f t="shared" si="236"/>
        <v>0</v>
      </c>
      <c r="AG1438" s="2">
        <f t="shared" si="237"/>
        <v>0</v>
      </c>
    </row>
    <row r="1439" spans="1:33">
      <c r="A1439" s="20" t="s">
        <v>11112</v>
      </c>
      <c r="B1439" s="150"/>
      <c r="C1439" s="21" t="s">
        <v>14960</v>
      </c>
      <c r="D1439" s="109" t="s">
        <v>14591</v>
      </c>
      <c r="E1439" s="109"/>
      <c r="F1439" s="391" t="s">
        <v>14961</v>
      </c>
      <c r="G1439" s="23" t="s">
        <v>14891</v>
      </c>
      <c r="H1439" s="23" t="s">
        <v>14962</v>
      </c>
      <c r="I1439" s="23" t="s">
        <v>14811</v>
      </c>
      <c r="J1439" s="23" t="s">
        <v>14637</v>
      </c>
      <c r="K1439" s="23" t="s">
        <v>14709</v>
      </c>
      <c r="L1439" s="375" t="s">
        <v>7787</v>
      </c>
      <c r="M1439" s="351" t="s">
        <v>7787</v>
      </c>
      <c r="N1439" s="267">
        <f t="shared" si="227"/>
        <v>0</v>
      </c>
      <c r="O1439" s="268">
        <f t="shared" si="228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9"/>
      <c r="Z1439" s="237"/>
      <c r="AA1439" s="279"/>
      <c r="AB1439" s="238"/>
      <c r="AC1439" s="196">
        <f t="shared" si="233"/>
        <v>0</v>
      </c>
      <c r="AD1439" s="196">
        <f t="shared" si="234"/>
        <v>0</v>
      </c>
      <c r="AE1439" s="196">
        <f t="shared" si="235"/>
        <v>0</v>
      </c>
      <c r="AF1439" s="2">
        <f t="shared" si="236"/>
        <v>0</v>
      </c>
      <c r="AG1439" s="2">
        <f t="shared" si="237"/>
        <v>0</v>
      </c>
    </row>
    <row r="1440" spans="1:33">
      <c r="A1440" s="20" t="s">
        <v>10835</v>
      </c>
      <c r="B1440" s="150"/>
      <c r="C1440" s="21" t="s">
        <v>14963</v>
      </c>
      <c r="D1440" s="109" t="s">
        <v>14591</v>
      </c>
      <c r="E1440" s="109"/>
      <c r="F1440" s="391" t="s">
        <v>14964</v>
      </c>
      <c r="G1440" s="23" t="s">
        <v>14891</v>
      </c>
      <c r="H1440" s="23" t="s">
        <v>17522</v>
      </c>
      <c r="I1440" s="23" t="s">
        <v>17682</v>
      </c>
      <c r="J1440" s="23"/>
      <c r="K1440" s="23"/>
      <c r="L1440" s="375" t="s">
        <v>7787</v>
      </c>
      <c r="M1440" s="351" t="s">
        <v>45</v>
      </c>
      <c r="N1440" s="267">
        <f t="shared" si="227"/>
        <v>0</v>
      </c>
      <c r="O1440" s="268">
        <f t="shared" si="228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3"/>
        <v>0</v>
      </c>
      <c r="AD1440" s="196">
        <f t="shared" si="234"/>
        <v>0</v>
      </c>
      <c r="AE1440" s="196">
        <f t="shared" si="235"/>
        <v>0</v>
      </c>
      <c r="AF1440" s="2">
        <f t="shared" si="236"/>
        <v>0</v>
      </c>
      <c r="AG1440" s="2">
        <f t="shared" si="237"/>
        <v>0</v>
      </c>
    </row>
    <row r="1441" spans="1:33">
      <c r="A1441" s="20" t="s">
        <v>12101</v>
      </c>
      <c r="B1441" s="150"/>
      <c r="C1441" s="21" t="s">
        <v>14965</v>
      </c>
      <c r="D1441" s="109" t="s">
        <v>14618</v>
      </c>
      <c r="E1441" s="109"/>
      <c r="F1441" s="391" t="s">
        <v>14966</v>
      </c>
      <c r="G1441" s="23" t="s">
        <v>14967</v>
      </c>
      <c r="H1441" s="23"/>
      <c r="I1441" s="23"/>
      <c r="J1441" s="23"/>
      <c r="K1441" s="23"/>
      <c r="L1441" s="375" t="s">
        <v>7787</v>
      </c>
      <c r="M1441" s="351" t="s">
        <v>7787</v>
      </c>
      <c r="N1441" s="267">
        <f t="shared" si="227"/>
        <v>0</v>
      </c>
      <c r="O1441" s="268">
        <f t="shared" si="228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3"/>
        <v>0</v>
      </c>
      <c r="AD1441" s="196">
        <f t="shared" si="234"/>
        <v>0</v>
      </c>
      <c r="AE1441" s="196">
        <f t="shared" si="235"/>
        <v>0</v>
      </c>
      <c r="AF1441" s="2">
        <f t="shared" si="236"/>
        <v>0</v>
      </c>
      <c r="AG1441" s="2">
        <f t="shared" si="237"/>
        <v>0</v>
      </c>
    </row>
    <row r="1442" spans="1:33">
      <c r="A1442" s="20" t="s">
        <v>19894</v>
      </c>
      <c r="B1442" s="150"/>
      <c r="C1442" s="21" t="s">
        <v>12146</v>
      </c>
      <c r="D1442" s="109" t="s">
        <v>8376</v>
      </c>
      <c r="E1442" s="109"/>
      <c r="F1442" s="391" t="s">
        <v>12160</v>
      </c>
      <c r="G1442" s="23" t="s">
        <v>13826</v>
      </c>
      <c r="H1442" s="23"/>
      <c r="I1442" s="23"/>
      <c r="J1442" s="23"/>
      <c r="K1442" s="23"/>
      <c r="L1442" s="375" t="s">
        <v>7787</v>
      </c>
      <c r="M1442" s="351"/>
      <c r="N1442" s="267">
        <f t="shared" si="227"/>
        <v>0</v>
      </c>
      <c r="O1442" s="268">
        <f t="shared" si="228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3"/>
        <v>0</v>
      </c>
      <c r="AD1442" s="196">
        <f t="shared" si="234"/>
        <v>0</v>
      </c>
      <c r="AE1442" s="196">
        <f t="shared" si="235"/>
        <v>0</v>
      </c>
      <c r="AF1442" s="2">
        <f t="shared" si="236"/>
        <v>0</v>
      </c>
      <c r="AG1442" s="2">
        <f t="shared" si="237"/>
        <v>0</v>
      </c>
    </row>
    <row r="1443" spans="1:33">
      <c r="A1443" s="20" t="s">
        <v>12411</v>
      </c>
      <c r="B1443" s="150"/>
      <c r="C1443" s="21" t="s">
        <v>14968</v>
      </c>
      <c r="D1443" s="109" t="s">
        <v>14757</v>
      </c>
      <c r="E1443" s="109"/>
      <c r="F1443" s="391" t="s">
        <v>14969</v>
      </c>
      <c r="G1443" s="23" t="s">
        <v>14545</v>
      </c>
      <c r="H1443" s="23"/>
      <c r="I1443" s="23"/>
      <c r="J1443" s="23"/>
      <c r="K1443" s="23"/>
      <c r="L1443" s="375" t="s">
        <v>7787</v>
      </c>
      <c r="M1443" s="351" t="s">
        <v>7787</v>
      </c>
      <c r="N1443" s="267">
        <f t="shared" si="227"/>
        <v>0</v>
      </c>
      <c r="O1443" s="268">
        <f t="shared" si="228"/>
        <v>0</v>
      </c>
      <c r="P1443" s="239"/>
      <c r="Q1443" s="239"/>
      <c r="R1443" s="239"/>
      <c r="S1443" s="239"/>
      <c r="T1443" s="239"/>
      <c r="U1443" s="240"/>
      <c r="V1443" s="240"/>
      <c r="W1443" s="240"/>
      <c r="X1443" s="278"/>
      <c r="Y1443" s="237"/>
      <c r="Z1443" s="237"/>
      <c r="AA1443" s="279"/>
      <c r="AB1443" s="238"/>
      <c r="AC1443" s="196">
        <f t="shared" si="233"/>
        <v>0</v>
      </c>
      <c r="AD1443" s="196">
        <f t="shared" si="234"/>
        <v>0</v>
      </c>
      <c r="AE1443" s="196">
        <f t="shared" si="235"/>
        <v>0</v>
      </c>
      <c r="AF1443" s="2">
        <f t="shared" si="236"/>
        <v>0</v>
      </c>
      <c r="AG1443" s="2">
        <f t="shared" si="237"/>
        <v>0</v>
      </c>
    </row>
    <row r="1444" spans="1:33">
      <c r="A1444" s="20" t="s">
        <v>11398</v>
      </c>
      <c r="B1444" s="150"/>
      <c r="C1444" s="21" t="s">
        <v>11830</v>
      </c>
      <c r="D1444" s="109" t="s">
        <v>4070</v>
      </c>
      <c r="E1444" s="109"/>
      <c r="F1444" s="391" t="s">
        <v>11831</v>
      </c>
      <c r="G1444" s="23" t="s">
        <v>11832</v>
      </c>
      <c r="H1444" s="23" t="s">
        <v>19973</v>
      </c>
      <c r="I1444" s="23"/>
      <c r="J1444" s="23"/>
      <c r="K1444" s="23"/>
      <c r="L1444" s="375" t="s">
        <v>45</v>
      </c>
      <c r="M1444" s="351" t="s">
        <v>7787</v>
      </c>
      <c r="N1444" s="267">
        <f t="shared" si="227"/>
        <v>0</v>
      </c>
      <c r="O1444" s="268">
        <f t="shared" si="228"/>
        <v>500</v>
      </c>
      <c r="P1444" s="239"/>
      <c r="Q1444" s="239"/>
      <c r="R1444" s="239"/>
      <c r="S1444" s="239"/>
      <c r="T1444" s="239"/>
      <c r="U1444" s="239">
        <f>1050+1050-2000+1200+1000-1900+1750-2000+2350-2000</f>
        <v>500</v>
      </c>
      <c r="V1444" s="240"/>
      <c r="W1444" s="240"/>
      <c r="X1444" s="278"/>
      <c r="Y1444" s="237"/>
      <c r="Z1444" s="237"/>
      <c r="AA1444" s="279"/>
      <c r="AB1444" s="238" t="s">
        <v>26516</v>
      </c>
      <c r="AC1444" s="196">
        <f t="shared" si="233"/>
        <v>500</v>
      </c>
      <c r="AD1444" s="196">
        <f t="shared" si="234"/>
        <v>500</v>
      </c>
      <c r="AE1444" s="196">
        <f t="shared" si="235"/>
        <v>0</v>
      </c>
      <c r="AF1444" s="2">
        <f t="shared" si="236"/>
        <v>500</v>
      </c>
      <c r="AG1444" s="2">
        <f t="shared" si="237"/>
        <v>0</v>
      </c>
    </row>
    <row r="1445" spans="1:33">
      <c r="A1445" s="20" t="s">
        <v>12236</v>
      </c>
      <c r="B1445" s="150"/>
      <c r="C1445" s="21" t="s">
        <v>12223</v>
      </c>
      <c r="D1445" s="109" t="s">
        <v>14757</v>
      </c>
      <c r="E1445" s="109"/>
      <c r="F1445" s="391" t="s">
        <v>14970</v>
      </c>
      <c r="G1445" s="23" t="s">
        <v>14971</v>
      </c>
      <c r="H1445" s="23"/>
      <c r="I1445" s="23"/>
      <c r="J1445" s="23"/>
      <c r="K1445" s="23"/>
      <c r="L1445" s="375" t="s">
        <v>7787</v>
      </c>
      <c r="M1445" s="351" t="s">
        <v>7787</v>
      </c>
      <c r="N1445" s="267">
        <f t="shared" si="227"/>
        <v>0</v>
      </c>
      <c r="O1445" s="268">
        <f t="shared" si="228"/>
        <v>0</v>
      </c>
      <c r="P1445" s="239"/>
      <c r="Q1445" s="239"/>
      <c r="R1445" s="239"/>
      <c r="S1445" s="239"/>
      <c r="T1445" s="239"/>
      <c r="U1445" s="240"/>
      <c r="V1445" s="240"/>
      <c r="W1445" s="240"/>
      <c r="X1445" s="278"/>
      <c r="Y1445" s="237"/>
      <c r="Z1445" s="237"/>
      <c r="AA1445" s="279"/>
      <c r="AB1445" s="238"/>
      <c r="AC1445" s="196">
        <f t="shared" si="233"/>
        <v>0</v>
      </c>
      <c r="AD1445" s="196">
        <f t="shared" si="234"/>
        <v>0</v>
      </c>
      <c r="AE1445" s="196">
        <f t="shared" si="235"/>
        <v>0</v>
      </c>
      <c r="AF1445" s="2">
        <f t="shared" si="236"/>
        <v>0</v>
      </c>
      <c r="AG1445" s="2">
        <f t="shared" si="237"/>
        <v>0</v>
      </c>
    </row>
    <row r="1446" spans="1:33">
      <c r="A1446" s="20" t="s">
        <v>11405</v>
      </c>
      <c r="B1446" s="150"/>
      <c r="C1446" s="21" t="s">
        <v>14972</v>
      </c>
      <c r="D1446" s="109" t="s">
        <v>14876</v>
      </c>
      <c r="E1446" s="109"/>
      <c r="F1446" s="391" t="s">
        <v>14973</v>
      </c>
      <c r="G1446" s="23" t="s">
        <v>25032</v>
      </c>
      <c r="H1446" s="23" t="s">
        <v>14974</v>
      </c>
      <c r="I1446" s="23" t="s">
        <v>13880</v>
      </c>
      <c r="J1446" s="23" t="s">
        <v>13349</v>
      </c>
      <c r="K1446" s="23" t="s">
        <v>19974</v>
      </c>
      <c r="L1446" s="375" t="s">
        <v>27991</v>
      </c>
      <c r="M1446" s="351" t="s">
        <v>27493</v>
      </c>
      <c r="N1446" s="267">
        <f t="shared" si="227"/>
        <v>0</v>
      </c>
      <c r="O1446" s="268">
        <f t="shared" si="228"/>
        <v>4050</v>
      </c>
      <c r="P1446" s="240"/>
      <c r="Q1446" s="240">
        <f>4000-2300-500+2900-650-200+1100-300</f>
        <v>4050</v>
      </c>
      <c r="R1446" s="239"/>
      <c r="S1446" s="239"/>
      <c r="T1446" s="239"/>
      <c r="U1446" s="240"/>
      <c r="V1446" s="240"/>
      <c r="W1446" s="240"/>
      <c r="X1446" s="278"/>
      <c r="Y1446" s="240"/>
      <c r="Z1446" s="237"/>
      <c r="AA1446" s="279"/>
      <c r="AB1446" s="238" t="s">
        <v>27880</v>
      </c>
      <c r="AC1446" s="196">
        <f t="shared" si="233"/>
        <v>4050</v>
      </c>
      <c r="AD1446" s="196">
        <f t="shared" si="234"/>
        <v>4050</v>
      </c>
      <c r="AE1446" s="196">
        <f t="shared" si="235"/>
        <v>0</v>
      </c>
      <c r="AF1446" s="2">
        <f t="shared" si="236"/>
        <v>4050</v>
      </c>
      <c r="AG1446" s="2">
        <f t="shared" si="237"/>
        <v>0</v>
      </c>
    </row>
    <row r="1447" spans="1:33">
      <c r="A1447" s="20" t="s">
        <v>17734</v>
      </c>
      <c r="B1447" s="150"/>
      <c r="C1447" s="21" t="s">
        <v>17872</v>
      </c>
      <c r="D1447" s="109" t="s">
        <v>7182</v>
      </c>
      <c r="E1447" s="109"/>
      <c r="F1447" s="391" t="s">
        <v>17906</v>
      </c>
      <c r="G1447" s="23" t="s">
        <v>13977</v>
      </c>
      <c r="H1447" s="23"/>
      <c r="I1447" s="23"/>
      <c r="J1447" s="23"/>
      <c r="K1447" s="23"/>
      <c r="L1447" s="375" t="s">
        <v>7787</v>
      </c>
      <c r="M1447" s="351"/>
      <c r="N1447" s="267">
        <f t="shared" si="227"/>
        <v>0</v>
      </c>
      <c r="O1447" s="268">
        <f t="shared" si="228"/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9"/>
      <c r="Z1447" s="237"/>
      <c r="AA1447" s="279"/>
      <c r="AB1447" s="238"/>
      <c r="AC1447" s="196">
        <f t="shared" si="233"/>
        <v>0</v>
      </c>
      <c r="AD1447" s="196">
        <f t="shared" si="234"/>
        <v>0</v>
      </c>
      <c r="AE1447" s="196">
        <f t="shared" si="235"/>
        <v>0</v>
      </c>
      <c r="AF1447" s="2">
        <f t="shared" si="236"/>
        <v>0</v>
      </c>
      <c r="AG1447" s="2">
        <f t="shared" si="237"/>
        <v>0</v>
      </c>
    </row>
    <row r="1448" spans="1:33">
      <c r="A1448" s="20" t="s">
        <v>12242</v>
      </c>
      <c r="B1448" s="150"/>
      <c r="C1448" s="21" t="s">
        <v>14975</v>
      </c>
      <c r="D1448" s="109" t="s">
        <v>14757</v>
      </c>
      <c r="E1448" s="109" t="s">
        <v>22331</v>
      </c>
      <c r="F1448" s="391" t="s">
        <v>14976</v>
      </c>
      <c r="G1448" s="23" t="s">
        <v>14971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ref="N1448:N1511" si="240">SUM(L1448:M1448)</f>
        <v>0</v>
      </c>
      <c r="O1448" s="268">
        <f t="shared" ref="O1448:O1511" si="241">SUM(P1448:Z1448)</f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3"/>
        <v>0</v>
      </c>
      <c r="AD1448" s="196">
        <f t="shared" si="234"/>
        <v>0</v>
      </c>
      <c r="AE1448" s="196">
        <f t="shared" si="235"/>
        <v>0</v>
      </c>
      <c r="AF1448" s="2">
        <f t="shared" si="236"/>
        <v>0</v>
      </c>
      <c r="AG1448" s="2">
        <f t="shared" si="237"/>
        <v>0</v>
      </c>
    </row>
    <row r="1449" spans="1:33">
      <c r="A1449" s="20" t="s">
        <v>11108</v>
      </c>
      <c r="B1449" s="150"/>
      <c r="C1449" s="21" t="s">
        <v>14977</v>
      </c>
      <c r="D1449" s="109" t="s">
        <v>14757</v>
      </c>
      <c r="E1449" s="109"/>
      <c r="F1449" s="391" t="s">
        <v>14978</v>
      </c>
      <c r="G1449" s="23" t="s">
        <v>14545</v>
      </c>
      <c r="H1449" s="23"/>
      <c r="I1449" s="23"/>
      <c r="J1449" s="23"/>
      <c r="K1449" s="23"/>
      <c r="L1449" s="375" t="s">
        <v>7787</v>
      </c>
      <c r="M1449" s="351" t="s">
        <v>7787</v>
      </c>
      <c r="N1449" s="267">
        <f t="shared" si="240"/>
        <v>0</v>
      </c>
      <c r="O1449" s="268">
        <f t="shared" si="241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3"/>
        <v>0</v>
      </c>
      <c r="AD1449" s="196">
        <f t="shared" si="234"/>
        <v>0</v>
      </c>
      <c r="AE1449" s="196">
        <f t="shared" si="235"/>
        <v>0</v>
      </c>
      <c r="AF1449" s="2">
        <f t="shared" si="236"/>
        <v>0</v>
      </c>
      <c r="AG1449" s="2">
        <f t="shared" si="237"/>
        <v>0</v>
      </c>
    </row>
    <row r="1450" spans="1:33">
      <c r="A1450" s="20" t="s">
        <v>11410</v>
      </c>
      <c r="B1450" s="150"/>
      <c r="C1450" s="21" t="s">
        <v>14979</v>
      </c>
      <c r="D1450" s="109" t="s">
        <v>14591</v>
      </c>
      <c r="E1450" s="109"/>
      <c r="F1450" s="391" t="s">
        <v>14980</v>
      </c>
      <c r="G1450" s="23" t="s">
        <v>13951</v>
      </c>
      <c r="H1450" s="23" t="s">
        <v>14981</v>
      </c>
      <c r="I1450" s="23" t="s">
        <v>24698</v>
      </c>
      <c r="J1450" s="23"/>
      <c r="K1450" s="23"/>
      <c r="L1450" s="375"/>
      <c r="M1450" s="351" t="s">
        <v>7787</v>
      </c>
      <c r="N1450" s="267">
        <f t="shared" si="240"/>
        <v>0</v>
      </c>
      <c r="O1450" s="268">
        <f t="shared" si="241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3"/>
        <v>0</v>
      </c>
      <c r="AD1450" s="196">
        <f t="shared" si="234"/>
        <v>0</v>
      </c>
      <c r="AE1450" s="196">
        <f t="shared" si="235"/>
        <v>0</v>
      </c>
      <c r="AF1450" s="2">
        <f t="shared" si="236"/>
        <v>0</v>
      </c>
      <c r="AG1450" s="2">
        <f t="shared" si="237"/>
        <v>0</v>
      </c>
    </row>
    <row r="1451" spans="1:33">
      <c r="A1451" s="20" t="s">
        <v>18903</v>
      </c>
      <c r="B1451" s="150"/>
      <c r="C1451" s="21" t="s">
        <v>19029</v>
      </c>
      <c r="D1451" s="109" t="s">
        <v>7182</v>
      </c>
      <c r="E1451" s="109"/>
      <c r="F1451" s="391" t="s">
        <v>19113</v>
      </c>
      <c r="G1451" s="23" t="s">
        <v>19114</v>
      </c>
      <c r="H1451" s="23"/>
      <c r="I1451" s="23"/>
      <c r="J1451" s="23"/>
      <c r="K1451" s="23"/>
      <c r="L1451" s="375"/>
      <c r="M1451" s="351" t="s">
        <v>7787</v>
      </c>
      <c r="N1451" s="267">
        <f t="shared" si="240"/>
        <v>0</v>
      </c>
      <c r="O1451" s="268">
        <f t="shared" si="241"/>
        <v>0</v>
      </c>
      <c r="P1451" s="239"/>
      <c r="Q1451" s="239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3"/>
        <v>0</v>
      </c>
      <c r="AD1451" s="196">
        <f t="shared" si="234"/>
        <v>0</v>
      </c>
      <c r="AE1451" s="196">
        <f t="shared" si="235"/>
        <v>0</v>
      </c>
      <c r="AF1451" s="2">
        <f t="shared" si="236"/>
        <v>0</v>
      </c>
      <c r="AG1451" s="2">
        <f t="shared" si="237"/>
        <v>0</v>
      </c>
    </row>
    <row r="1452" spans="1:33">
      <c r="A1452" s="20" t="s">
        <v>12097</v>
      </c>
      <c r="B1452" s="150"/>
      <c r="C1452" s="21" t="s">
        <v>14982</v>
      </c>
      <c r="D1452" s="109" t="s">
        <v>14591</v>
      </c>
      <c r="E1452" s="109" t="s">
        <v>14983</v>
      </c>
      <c r="F1452" s="391" t="s">
        <v>14984</v>
      </c>
      <c r="G1452" s="23" t="s">
        <v>14836</v>
      </c>
      <c r="H1452" s="23" t="s">
        <v>18066</v>
      </c>
      <c r="I1452" s="23"/>
      <c r="J1452" s="23"/>
      <c r="K1452" s="23"/>
      <c r="L1452" s="375" t="s">
        <v>7787</v>
      </c>
      <c r="M1452" s="351"/>
      <c r="N1452" s="267">
        <f t="shared" si="240"/>
        <v>0</v>
      </c>
      <c r="O1452" s="268">
        <f t="shared" si="241"/>
        <v>0</v>
      </c>
      <c r="P1452" s="239"/>
      <c r="Q1452" s="240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3"/>
        <v>0</v>
      </c>
      <c r="AD1452" s="196">
        <f t="shared" si="234"/>
        <v>0</v>
      </c>
      <c r="AE1452" s="196">
        <f t="shared" si="235"/>
        <v>0</v>
      </c>
      <c r="AF1452" s="2">
        <f t="shared" si="236"/>
        <v>0</v>
      </c>
      <c r="AG1452" s="2">
        <f t="shared" si="237"/>
        <v>0</v>
      </c>
    </row>
    <row r="1453" spans="1:33">
      <c r="A1453" s="20" t="s">
        <v>12913</v>
      </c>
      <c r="B1453" s="150"/>
      <c r="C1453" s="21" t="s">
        <v>14985</v>
      </c>
      <c r="D1453" s="109" t="s">
        <v>13441</v>
      </c>
      <c r="E1453" s="109"/>
      <c r="F1453" s="391" t="s">
        <v>14986</v>
      </c>
      <c r="G1453" s="23" t="s">
        <v>14836</v>
      </c>
      <c r="H1453" s="23"/>
      <c r="I1453" s="23"/>
      <c r="J1453" s="23"/>
      <c r="K1453" s="23"/>
      <c r="L1453" s="375" t="s">
        <v>7787</v>
      </c>
      <c r="M1453" s="351" t="s">
        <v>7787</v>
      </c>
      <c r="N1453" s="267">
        <f t="shared" si="240"/>
        <v>0</v>
      </c>
      <c r="O1453" s="268">
        <f t="shared" si="241"/>
        <v>0</v>
      </c>
      <c r="P1453" s="244"/>
      <c r="Q1453" s="244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3"/>
        <v>0</v>
      </c>
      <c r="AD1453" s="196">
        <f t="shared" si="234"/>
        <v>0</v>
      </c>
      <c r="AE1453" s="196">
        <f t="shared" si="235"/>
        <v>0</v>
      </c>
      <c r="AF1453" s="2">
        <f t="shared" si="236"/>
        <v>0</v>
      </c>
      <c r="AG1453" s="2">
        <f t="shared" si="237"/>
        <v>0</v>
      </c>
    </row>
    <row r="1454" spans="1:33">
      <c r="A1454" s="20" t="s">
        <v>11536</v>
      </c>
      <c r="B1454" s="150"/>
      <c r="C1454" s="21" t="s">
        <v>14987</v>
      </c>
      <c r="D1454" s="109" t="s">
        <v>14591</v>
      </c>
      <c r="E1454" s="109"/>
      <c r="F1454" s="391" t="s">
        <v>14988</v>
      </c>
      <c r="G1454" s="23" t="s">
        <v>13951</v>
      </c>
      <c r="H1454" s="23"/>
      <c r="I1454" s="23"/>
      <c r="J1454" s="23"/>
      <c r="K1454" s="23"/>
      <c r="L1454" s="375" t="s">
        <v>7787</v>
      </c>
      <c r="M1454" s="351"/>
      <c r="N1454" s="267">
        <f t="shared" si="240"/>
        <v>0</v>
      </c>
      <c r="O1454" s="268">
        <f t="shared" si="241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3"/>
        <v>0</v>
      </c>
      <c r="AD1454" s="196">
        <f t="shared" si="234"/>
        <v>0</v>
      </c>
      <c r="AE1454" s="196">
        <f t="shared" si="235"/>
        <v>0</v>
      </c>
      <c r="AF1454" s="2">
        <f t="shared" si="236"/>
        <v>0</v>
      </c>
      <c r="AG1454" s="2">
        <f t="shared" si="237"/>
        <v>0</v>
      </c>
    </row>
    <row r="1455" spans="1:33">
      <c r="A1455" s="20" t="s">
        <v>11544</v>
      </c>
      <c r="B1455" s="150"/>
      <c r="C1455" s="21" t="s">
        <v>14989</v>
      </c>
      <c r="D1455" s="109" t="s">
        <v>14591</v>
      </c>
      <c r="E1455" s="109"/>
      <c r="F1455" s="391" t="s">
        <v>14990</v>
      </c>
      <c r="G1455" s="23" t="s">
        <v>14637</v>
      </c>
      <c r="H1455" s="23" t="s">
        <v>13932</v>
      </c>
      <c r="I1455" s="23"/>
      <c r="J1455" s="23"/>
      <c r="K1455" s="23"/>
      <c r="L1455" s="375"/>
      <c r="M1455" s="351" t="s">
        <v>7787</v>
      </c>
      <c r="N1455" s="267">
        <f t="shared" si="240"/>
        <v>0</v>
      </c>
      <c r="O1455" s="268">
        <f t="shared" si="241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3"/>
        <v>0</v>
      </c>
      <c r="AD1455" s="196">
        <f t="shared" si="234"/>
        <v>0</v>
      </c>
      <c r="AE1455" s="196">
        <f t="shared" si="235"/>
        <v>0</v>
      </c>
      <c r="AF1455" s="2">
        <f t="shared" si="236"/>
        <v>0</v>
      </c>
      <c r="AG1455" s="2">
        <f t="shared" si="237"/>
        <v>0</v>
      </c>
    </row>
    <row r="1456" spans="1:33">
      <c r="A1456" s="20" t="s">
        <v>11545</v>
      </c>
      <c r="B1456" s="150"/>
      <c r="C1456" s="21" t="s">
        <v>11802</v>
      </c>
      <c r="D1456" s="109" t="s">
        <v>10644</v>
      </c>
      <c r="E1456" s="109"/>
      <c r="F1456" s="391" t="s">
        <v>11803</v>
      </c>
      <c r="G1456" s="23" t="s">
        <v>10645</v>
      </c>
      <c r="H1456" s="23"/>
      <c r="I1456" s="23"/>
      <c r="J1456" s="23"/>
      <c r="K1456" s="23"/>
      <c r="L1456" s="375" t="s">
        <v>7787</v>
      </c>
      <c r="M1456" s="351"/>
      <c r="N1456" s="267">
        <f t="shared" si="240"/>
        <v>0</v>
      </c>
      <c r="O1456" s="268">
        <f t="shared" si="241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3"/>
        <v>0</v>
      </c>
      <c r="AD1456" s="196">
        <f t="shared" si="234"/>
        <v>0</v>
      </c>
      <c r="AE1456" s="196">
        <f t="shared" si="235"/>
        <v>0</v>
      </c>
      <c r="AF1456" s="2">
        <f t="shared" si="236"/>
        <v>0</v>
      </c>
      <c r="AG1456" s="2">
        <f t="shared" si="237"/>
        <v>0</v>
      </c>
    </row>
    <row r="1457" spans="1:33">
      <c r="A1457" s="20" t="s">
        <v>11996</v>
      </c>
      <c r="B1457" s="150"/>
      <c r="C1457" s="21" t="s">
        <v>14991</v>
      </c>
      <c r="D1457" s="109" t="s">
        <v>14661</v>
      </c>
      <c r="E1457" s="109" t="s">
        <v>14685</v>
      </c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 t="s">
        <v>7787</v>
      </c>
      <c r="N1457" s="267">
        <f t="shared" si="240"/>
        <v>0</v>
      </c>
      <c r="O1457" s="268">
        <f t="shared" si="241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3"/>
        <v>0</v>
      </c>
      <c r="AD1457" s="196">
        <f t="shared" si="234"/>
        <v>0</v>
      </c>
      <c r="AE1457" s="196">
        <f t="shared" si="235"/>
        <v>0</v>
      </c>
      <c r="AF1457" s="2">
        <f t="shared" si="236"/>
        <v>0</v>
      </c>
      <c r="AG1457" s="2">
        <f t="shared" si="237"/>
        <v>0</v>
      </c>
    </row>
    <row r="1458" spans="1:33">
      <c r="A1458" s="20" t="s">
        <v>11997</v>
      </c>
      <c r="B1458" s="150"/>
      <c r="C1458" s="21" t="s">
        <v>14991</v>
      </c>
      <c r="D1458" s="109" t="s">
        <v>14591</v>
      </c>
      <c r="E1458" s="109"/>
      <c r="F1458" s="391" t="s">
        <v>14992</v>
      </c>
      <c r="G1458" s="23" t="s">
        <v>12088</v>
      </c>
      <c r="H1458" s="23"/>
      <c r="I1458" s="23"/>
      <c r="J1458" s="23"/>
      <c r="K1458" s="23"/>
      <c r="L1458" s="375" t="s">
        <v>7787</v>
      </c>
      <c r="M1458" s="351"/>
      <c r="N1458" s="267">
        <f t="shared" si="240"/>
        <v>0</v>
      </c>
      <c r="O1458" s="268">
        <f t="shared" si="241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79"/>
      <c r="AB1458" s="238"/>
      <c r="AC1458" s="196">
        <f t="shared" si="233"/>
        <v>0</v>
      </c>
      <c r="AD1458" s="196">
        <f t="shared" si="234"/>
        <v>0</v>
      </c>
      <c r="AE1458" s="196">
        <f t="shared" si="235"/>
        <v>0</v>
      </c>
      <c r="AF1458" s="2">
        <f t="shared" si="236"/>
        <v>0</v>
      </c>
      <c r="AG1458" s="2">
        <f t="shared" si="237"/>
        <v>0</v>
      </c>
    </row>
    <row r="1459" spans="1:33">
      <c r="A1459" s="20" t="s">
        <v>12835</v>
      </c>
      <c r="B1459" s="150"/>
      <c r="C1459" s="21" t="s">
        <v>12741</v>
      </c>
      <c r="D1459" s="109" t="s">
        <v>4070</v>
      </c>
      <c r="E1459" s="109"/>
      <c r="F1459" s="391" t="s">
        <v>14993</v>
      </c>
      <c r="G1459" s="23" t="s">
        <v>11432</v>
      </c>
      <c r="H1459" s="23" t="s">
        <v>13322</v>
      </c>
      <c r="I1459" s="23"/>
      <c r="J1459" s="23"/>
      <c r="K1459" s="23"/>
      <c r="L1459" s="375" t="s">
        <v>7787</v>
      </c>
      <c r="M1459" s="351" t="s">
        <v>7787</v>
      </c>
      <c r="N1459" s="267">
        <f t="shared" si="240"/>
        <v>0</v>
      </c>
      <c r="O1459" s="268">
        <f t="shared" si="241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37"/>
      <c r="AB1459" s="238"/>
      <c r="AC1459" s="196">
        <f t="shared" si="233"/>
        <v>0</v>
      </c>
      <c r="AD1459" s="196">
        <f t="shared" si="234"/>
        <v>0</v>
      </c>
      <c r="AE1459" s="196">
        <f t="shared" si="235"/>
        <v>0</v>
      </c>
      <c r="AF1459" s="2">
        <f t="shared" si="236"/>
        <v>0</v>
      </c>
      <c r="AG1459" s="2">
        <f t="shared" si="237"/>
        <v>0</v>
      </c>
    </row>
    <row r="1460" spans="1:33">
      <c r="A1460" s="20" t="s">
        <v>18520</v>
      </c>
      <c r="B1460" s="150"/>
      <c r="C1460" s="21" t="s">
        <v>12741</v>
      </c>
      <c r="D1460" s="109" t="s">
        <v>18538</v>
      </c>
      <c r="E1460" s="109" t="s">
        <v>18539</v>
      </c>
      <c r="F1460" s="391" t="s">
        <v>12848</v>
      </c>
      <c r="G1460" s="23" t="s">
        <v>18540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40"/>
        <v>0</v>
      </c>
      <c r="O1460" s="268">
        <f t="shared" si="241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3"/>
        <v>0</v>
      </c>
      <c r="AD1460" s="196">
        <f t="shared" si="234"/>
        <v>0</v>
      </c>
      <c r="AE1460" s="196">
        <f t="shared" si="235"/>
        <v>0</v>
      </c>
      <c r="AF1460" s="2">
        <f t="shared" si="236"/>
        <v>0</v>
      </c>
      <c r="AG1460" s="2">
        <f t="shared" si="237"/>
        <v>0</v>
      </c>
    </row>
    <row r="1461" spans="1:33">
      <c r="A1461" s="20" t="s">
        <v>11546</v>
      </c>
      <c r="B1461" s="150"/>
      <c r="C1461" s="323" t="s">
        <v>14994</v>
      </c>
      <c r="D1461" s="109" t="s">
        <v>14591</v>
      </c>
      <c r="E1461" s="109"/>
      <c r="F1461" s="391" t="s">
        <v>14995</v>
      </c>
      <c r="G1461" s="23" t="s">
        <v>10645</v>
      </c>
      <c r="H1461" s="23"/>
      <c r="I1461" s="23"/>
      <c r="J1461" s="23"/>
      <c r="K1461" s="23"/>
      <c r="L1461" s="375" t="s">
        <v>7787</v>
      </c>
      <c r="M1461" s="351" t="s">
        <v>7787</v>
      </c>
      <c r="N1461" s="267">
        <f t="shared" si="240"/>
        <v>0</v>
      </c>
      <c r="O1461" s="268">
        <f t="shared" si="241"/>
        <v>0</v>
      </c>
      <c r="P1461" s="239"/>
      <c r="Q1461" s="239"/>
      <c r="R1461" s="239"/>
      <c r="S1461" s="239"/>
      <c r="T1461" s="239"/>
      <c r="U1461" s="240"/>
      <c r="V1461" s="240"/>
      <c r="W1461" s="240"/>
      <c r="X1461" s="278"/>
      <c r="Y1461" s="237"/>
      <c r="Z1461" s="237"/>
      <c r="AA1461" s="279"/>
      <c r="AB1461" s="238"/>
      <c r="AC1461" s="196">
        <f t="shared" si="233"/>
        <v>0</v>
      </c>
      <c r="AD1461" s="196">
        <f t="shared" si="234"/>
        <v>0</v>
      </c>
      <c r="AE1461" s="196">
        <f t="shared" si="235"/>
        <v>0</v>
      </c>
      <c r="AF1461" s="2">
        <f t="shared" si="236"/>
        <v>0</v>
      </c>
      <c r="AG1461" s="2">
        <f t="shared" si="237"/>
        <v>0</v>
      </c>
    </row>
    <row r="1462" spans="1:33">
      <c r="A1462" s="377" t="s">
        <v>11404</v>
      </c>
      <c r="B1462" s="150"/>
      <c r="C1462" s="213" t="s">
        <v>14996</v>
      </c>
      <c r="D1462" s="109" t="s">
        <v>13954</v>
      </c>
      <c r="E1462" s="109" t="s">
        <v>14924</v>
      </c>
      <c r="F1462" s="393" t="s">
        <v>18575</v>
      </c>
      <c r="G1462" s="380" t="s">
        <v>14637</v>
      </c>
      <c r="H1462" s="380" t="s">
        <v>14997</v>
      </c>
      <c r="I1462" s="380"/>
      <c r="J1462" s="380"/>
      <c r="K1462" s="380"/>
      <c r="L1462" s="375"/>
      <c r="M1462" s="351" t="s">
        <v>7787</v>
      </c>
      <c r="N1462" s="267">
        <f t="shared" si="240"/>
        <v>0</v>
      </c>
      <c r="O1462" s="268">
        <f t="shared" si="241"/>
        <v>0</v>
      </c>
      <c r="P1462" s="248"/>
      <c r="Q1462" s="248"/>
      <c r="R1462" s="248"/>
      <c r="S1462" s="248"/>
      <c r="T1462" s="248"/>
      <c r="U1462" s="240"/>
      <c r="V1462" s="240"/>
      <c r="W1462" s="240"/>
      <c r="X1462" s="278"/>
      <c r="Y1462" s="240"/>
      <c r="Z1462" s="240"/>
      <c r="AA1462" s="292"/>
      <c r="AB1462" s="389"/>
      <c r="AC1462" s="196">
        <f t="shared" si="233"/>
        <v>0</v>
      </c>
      <c r="AD1462" s="196">
        <f t="shared" si="234"/>
        <v>0</v>
      </c>
      <c r="AE1462" s="196">
        <f t="shared" si="235"/>
        <v>0</v>
      </c>
      <c r="AF1462" s="2">
        <f t="shared" si="236"/>
        <v>0</v>
      </c>
      <c r="AG1462" s="2">
        <f t="shared" si="237"/>
        <v>0</v>
      </c>
    </row>
    <row r="1463" spans="1:33">
      <c r="A1463" s="20" t="s">
        <v>11984</v>
      </c>
      <c r="B1463" s="150"/>
      <c r="C1463" s="21" t="s">
        <v>18335</v>
      </c>
      <c r="D1463" s="109" t="s">
        <v>14591</v>
      </c>
      <c r="E1463" s="109" t="s">
        <v>17900</v>
      </c>
      <c r="F1463" s="391" t="s">
        <v>14923</v>
      </c>
      <c r="G1463" s="23" t="s">
        <v>14637</v>
      </c>
      <c r="H1463" s="23"/>
      <c r="I1463" s="23"/>
      <c r="J1463" s="23"/>
      <c r="K1463" s="23"/>
      <c r="L1463" s="375"/>
      <c r="M1463" s="351"/>
      <c r="N1463" s="267">
        <f t="shared" si="240"/>
        <v>0</v>
      </c>
      <c r="O1463" s="268">
        <f t="shared" si="241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3"/>
        <v>0</v>
      </c>
      <c r="AD1463" s="196">
        <f t="shared" si="234"/>
        <v>0</v>
      </c>
      <c r="AE1463" s="196">
        <f t="shared" si="235"/>
        <v>0</v>
      </c>
      <c r="AF1463" s="2">
        <f t="shared" si="236"/>
        <v>0</v>
      </c>
      <c r="AG1463" s="2">
        <f t="shared" si="237"/>
        <v>0</v>
      </c>
    </row>
    <row r="1464" spans="1:33">
      <c r="A1464" s="20" t="s">
        <v>17956</v>
      </c>
      <c r="B1464" s="150"/>
      <c r="C1464" s="21" t="s">
        <v>18099</v>
      </c>
      <c r="D1464" s="109" t="s">
        <v>3137</v>
      </c>
      <c r="E1464" s="109" t="s">
        <v>17900</v>
      </c>
      <c r="F1464" s="391" t="s">
        <v>10600</v>
      </c>
      <c r="G1464" s="23" t="s">
        <v>6133</v>
      </c>
      <c r="H1464" s="23"/>
      <c r="I1464" s="23"/>
      <c r="J1464" s="23"/>
      <c r="K1464" s="23"/>
      <c r="L1464" s="375" t="s">
        <v>7787</v>
      </c>
      <c r="M1464" s="351" t="s">
        <v>7787</v>
      </c>
      <c r="N1464" s="267">
        <f t="shared" si="240"/>
        <v>0</v>
      </c>
      <c r="O1464" s="268">
        <f t="shared" si="241"/>
        <v>0</v>
      </c>
      <c r="P1464" s="239"/>
      <c r="Q1464" s="239"/>
      <c r="R1464" s="239"/>
      <c r="S1464" s="239"/>
      <c r="T1464" s="239"/>
      <c r="U1464" s="240"/>
      <c r="V1464" s="240"/>
      <c r="W1464" s="239"/>
      <c r="X1464" s="278"/>
      <c r="Y1464" s="237"/>
      <c r="Z1464" s="237"/>
      <c r="AA1464" s="279"/>
      <c r="AB1464" s="238"/>
      <c r="AC1464" s="196">
        <f t="shared" si="233"/>
        <v>0</v>
      </c>
      <c r="AD1464" s="196">
        <f t="shared" si="234"/>
        <v>0</v>
      </c>
      <c r="AE1464" s="196">
        <f t="shared" si="235"/>
        <v>0</v>
      </c>
      <c r="AF1464" s="2">
        <f t="shared" si="236"/>
        <v>0</v>
      </c>
      <c r="AG1464" s="2">
        <f t="shared" si="237"/>
        <v>0</v>
      </c>
    </row>
    <row r="1465" spans="1:33">
      <c r="A1465" s="20" t="s">
        <v>11537</v>
      </c>
      <c r="B1465" s="150"/>
      <c r="C1465" s="21" t="s">
        <v>11583</v>
      </c>
      <c r="D1465" s="109" t="s">
        <v>14591</v>
      </c>
      <c r="E1465" s="109"/>
      <c r="F1465" s="391" t="s">
        <v>14998</v>
      </c>
      <c r="G1465" s="23" t="s">
        <v>14997</v>
      </c>
      <c r="H1465" s="23" t="s">
        <v>6133</v>
      </c>
      <c r="I1465" s="23"/>
      <c r="J1465" s="23"/>
      <c r="K1465" s="23"/>
      <c r="L1465" s="375" t="s">
        <v>7787</v>
      </c>
      <c r="M1465" s="351"/>
      <c r="N1465" s="267">
        <f t="shared" si="240"/>
        <v>0</v>
      </c>
      <c r="O1465" s="268">
        <f t="shared" si="241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39"/>
      <c r="AB1465" s="238"/>
      <c r="AC1465" s="196">
        <f t="shared" si="233"/>
        <v>0</v>
      </c>
      <c r="AD1465" s="196">
        <f t="shared" si="234"/>
        <v>0</v>
      </c>
      <c r="AE1465" s="196">
        <f t="shared" si="235"/>
        <v>0</v>
      </c>
      <c r="AF1465" s="2">
        <f t="shared" si="236"/>
        <v>0</v>
      </c>
      <c r="AG1465" s="2">
        <f t="shared" si="237"/>
        <v>0</v>
      </c>
    </row>
    <row r="1466" spans="1:33">
      <c r="A1466" s="20" t="s">
        <v>12845</v>
      </c>
      <c r="B1466" s="150"/>
      <c r="C1466" s="21" t="s">
        <v>14999</v>
      </c>
      <c r="D1466" s="109" t="s">
        <v>14618</v>
      </c>
      <c r="E1466" s="109" t="s">
        <v>23506</v>
      </c>
      <c r="F1466" s="391" t="s">
        <v>15000</v>
      </c>
      <c r="G1466" s="23"/>
      <c r="H1466" s="23"/>
      <c r="I1466" s="23"/>
      <c r="J1466" s="23"/>
      <c r="K1466" s="23"/>
      <c r="L1466" s="375" t="s">
        <v>7787</v>
      </c>
      <c r="M1466" s="351" t="s">
        <v>7787</v>
      </c>
      <c r="N1466" s="267">
        <f t="shared" si="240"/>
        <v>0</v>
      </c>
      <c r="O1466" s="268">
        <f t="shared" si="241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7"/>
      <c r="Z1466" s="237"/>
      <c r="AA1466" s="279"/>
      <c r="AB1466" s="238"/>
      <c r="AC1466" s="196">
        <f t="shared" si="233"/>
        <v>0</v>
      </c>
      <c r="AD1466" s="196">
        <f t="shared" si="234"/>
        <v>0</v>
      </c>
      <c r="AE1466" s="196">
        <f t="shared" si="235"/>
        <v>0</v>
      </c>
      <c r="AF1466" s="2">
        <f t="shared" si="236"/>
        <v>0</v>
      </c>
      <c r="AG1466" s="2">
        <f t="shared" si="237"/>
        <v>0</v>
      </c>
    </row>
    <row r="1467" spans="1:33">
      <c r="A1467" s="20" t="s">
        <v>12412</v>
      </c>
      <c r="B1467" s="150"/>
      <c r="C1467" s="21" t="s">
        <v>15001</v>
      </c>
      <c r="D1467" s="109" t="s">
        <v>14815</v>
      </c>
      <c r="E1467" s="109"/>
      <c r="F1467" s="391" t="s">
        <v>15002</v>
      </c>
      <c r="G1467" s="23" t="s">
        <v>14843</v>
      </c>
      <c r="H1467" s="23" t="s">
        <v>21583</v>
      </c>
      <c r="I1467" s="23"/>
      <c r="J1467" s="23"/>
      <c r="K1467" s="23"/>
      <c r="L1467" s="375"/>
      <c r="M1467" s="351" t="s">
        <v>7787</v>
      </c>
      <c r="N1467" s="267">
        <f t="shared" si="240"/>
        <v>0</v>
      </c>
      <c r="O1467" s="268">
        <f t="shared" si="241"/>
        <v>0</v>
      </c>
      <c r="P1467" s="239"/>
      <c r="Q1467" s="239"/>
      <c r="R1467" s="239"/>
      <c r="S1467" s="239"/>
      <c r="T1467" s="239"/>
      <c r="U1467" s="240"/>
      <c r="V1467" s="240"/>
      <c r="W1467" s="240"/>
      <c r="X1467" s="278"/>
      <c r="Y1467" s="239"/>
      <c r="Z1467" s="237"/>
      <c r="AA1467" s="279"/>
      <c r="AB1467" s="238"/>
      <c r="AC1467" s="196">
        <f t="shared" si="233"/>
        <v>0</v>
      </c>
      <c r="AD1467" s="196">
        <f t="shared" si="234"/>
        <v>0</v>
      </c>
      <c r="AE1467" s="196">
        <f t="shared" si="235"/>
        <v>0</v>
      </c>
      <c r="AF1467" s="2">
        <f t="shared" si="236"/>
        <v>0</v>
      </c>
      <c r="AG1467" s="2">
        <f t="shared" si="237"/>
        <v>0</v>
      </c>
    </row>
    <row r="1468" spans="1:33">
      <c r="A1468" s="20" t="s">
        <v>13095</v>
      </c>
      <c r="B1468" s="150"/>
      <c r="C1468" s="21" t="s">
        <v>15003</v>
      </c>
      <c r="D1468" s="109" t="s">
        <v>15004</v>
      </c>
      <c r="E1468" s="109" t="s">
        <v>15005</v>
      </c>
      <c r="F1468" s="391" t="s">
        <v>15006</v>
      </c>
      <c r="G1468" s="23" t="s">
        <v>13877</v>
      </c>
      <c r="H1468" s="23"/>
      <c r="I1468" s="23"/>
      <c r="J1468" s="23"/>
      <c r="K1468" s="23"/>
      <c r="L1468" s="375" t="s">
        <v>45</v>
      </c>
      <c r="M1468" s="351" t="s">
        <v>7787</v>
      </c>
      <c r="N1468" s="267">
        <f t="shared" si="240"/>
        <v>0</v>
      </c>
      <c r="O1468" s="268">
        <f t="shared" si="241"/>
        <v>700</v>
      </c>
      <c r="P1468" s="239"/>
      <c r="Q1468" s="239"/>
      <c r="R1468" s="239"/>
      <c r="S1468" s="239"/>
      <c r="T1468" s="239"/>
      <c r="U1468" s="240">
        <f>5750-5500+450</f>
        <v>700</v>
      </c>
      <c r="V1468" s="240"/>
      <c r="W1468" s="240"/>
      <c r="X1468" s="278"/>
      <c r="Y1468" s="239"/>
      <c r="Z1468" s="237"/>
      <c r="AA1468" s="279"/>
      <c r="AB1468" s="238" t="s">
        <v>25447</v>
      </c>
      <c r="AC1468" s="196">
        <f t="shared" si="233"/>
        <v>700</v>
      </c>
      <c r="AD1468" s="196">
        <f t="shared" si="234"/>
        <v>700</v>
      </c>
      <c r="AE1468" s="196">
        <f t="shared" si="235"/>
        <v>0</v>
      </c>
      <c r="AF1468" s="2">
        <f t="shared" si="236"/>
        <v>700</v>
      </c>
      <c r="AG1468" s="2">
        <f t="shared" si="237"/>
        <v>0</v>
      </c>
    </row>
    <row r="1469" spans="1:33">
      <c r="A1469" s="20" t="s">
        <v>13100</v>
      </c>
      <c r="B1469" s="150"/>
      <c r="C1469" s="21" t="s">
        <v>15007</v>
      </c>
      <c r="D1469" s="109" t="s">
        <v>14876</v>
      </c>
      <c r="E1469" s="109" t="s">
        <v>23504</v>
      </c>
      <c r="F1469" s="391" t="s">
        <v>15008</v>
      </c>
      <c r="G1469" s="23" t="s">
        <v>15009</v>
      </c>
      <c r="H1469" s="23" t="s">
        <v>6133</v>
      </c>
      <c r="I1469" s="23" t="s">
        <v>21203</v>
      </c>
      <c r="J1469" s="23"/>
      <c r="K1469" s="23"/>
      <c r="L1469" s="375" t="s">
        <v>27557</v>
      </c>
      <c r="M1469" s="351" t="s">
        <v>7787</v>
      </c>
      <c r="N1469" s="267">
        <f t="shared" si="240"/>
        <v>0</v>
      </c>
      <c r="O1469" s="268">
        <f t="shared" si="241"/>
        <v>300</v>
      </c>
      <c r="P1469" s="239"/>
      <c r="Q1469" s="239"/>
      <c r="R1469" s="239"/>
      <c r="S1469" s="239"/>
      <c r="T1469" s="239"/>
      <c r="U1469" s="240">
        <f>1800-800-700</f>
        <v>300</v>
      </c>
      <c r="V1469" s="240"/>
      <c r="W1469" s="240"/>
      <c r="X1469" s="278"/>
      <c r="Y1469" s="237"/>
      <c r="Z1469" s="237"/>
      <c r="AA1469" s="279"/>
      <c r="AB1469" s="238" t="s">
        <v>27554</v>
      </c>
      <c r="AC1469" s="196">
        <f t="shared" si="233"/>
        <v>300</v>
      </c>
      <c r="AD1469" s="196">
        <f t="shared" si="234"/>
        <v>300</v>
      </c>
      <c r="AE1469" s="196">
        <f t="shared" si="235"/>
        <v>0</v>
      </c>
      <c r="AF1469" s="2">
        <f t="shared" si="236"/>
        <v>300</v>
      </c>
      <c r="AG1469" s="2">
        <f t="shared" si="237"/>
        <v>0</v>
      </c>
    </row>
    <row r="1470" spans="1:33">
      <c r="A1470" s="20" t="s">
        <v>11547</v>
      </c>
      <c r="B1470" s="150"/>
      <c r="C1470" s="21" t="s">
        <v>11707</v>
      </c>
      <c r="D1470" s="109" t="s">
        <v>15010</v>
      </c>
      <c r="E1470" s="109" t="s">
        <v>15011</v>
      </c>
      <c r="F1470" s="391" t="s">
        <v>17173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 t="s">
        <v>7787</v>
      </c>
      <c r="N1470" s="267">
        <f t="shared" si="240"/>
        <v>0</v>
      </c>
      <c r="O1470" s="268">
        <f t="shared" si="241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3"/>
        <v>0</v>
      </c>
      <c r="AD1470" s="196">
        <f t="shared" si="234"/>
        <v>0</v>
      </c>
      <c r="AE1470" s="196">
        <f t="shared" si="235"/>
        <v>0</v>
      </c>
      <c r="AF1470" s="2">
        <f t="shared" si="236"/>
        <v>0</v>
      </c>
      <c r="AG1470" s="2">
        <f t="shared" si="237"/>
        <v>0</v>
      </c>
    </row>
    <row r="1471" spans="1:33">
      <c r="A1471" s="20" t="s">
        <v>12419</v>
      </c>
      <c r="B1471" s="150"/>
      <c r="C1471" s="21" t="s">
        <v>11707</v>
      </c>
      <c r="D1471" s="109" t="s">
        <v>15012</v>
      </c>
      <c r="E1471" s="109" t="s">
        <v>13611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40"/>
        <v>0</v>
      </c>
      <c r="O1471" s="268">
        <f t="shared" si="241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3"/>
        <v>0</v>
      </c>
      <c r="AD1471" s="196">
        <f t="shared" si="234"/>
        <v>0</v>
      </c>
      <c r="AE1471" s="196">
        <f t="shared" si="235"/>
        <v>0</v>
      </c>
      <c r="AF1471" s="2">
        <f t="shared" si="236"/>
        <v>0</v>
      </c>
      <c r="AG1471" s="2">
        <f t="shared" si="237"/>
        <v>0</v>
      </c>
    </row>
    <row r="1472" spans="1:33">
      <c r="A1472" s="20" t="s">
        <v>12628</v>
      </c>
      <c r="B1472" s="150"/>
      <c r="C1472" s="21" t="s">
        <v>11707</v>
      </c>
      <c r="D1472" s="109" t="s">
        <v>15012</v>
      </c>
      <c r="E1472" s="109" t="s">
        <v>14600</v>
      </c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/>
      <c r="N1472" s="267">
        <f t="shared" si="240"/>
        <v>0</v>
      </c>
      <c r="O1472" s="268">
        <f t="shared" si="241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3"/>
        <v>0</v>
      </c>
      <c r="AD1472" s="196">
        <f t="shared" si="234"/>
        <v>0</v>
      </c>
      <c r="AE1472" s="196">
        <f t="shared" si="235"/>
        <v>0</v>
      </c>
      <c r="AF1472" s="2">
        <f t="shared" si="236"/>
        <v>0</v>
      </c>
      <c r="AG1472" s="2">
        <f t="shared" si="237"/>
        <v>0</v>
      </c>
    </row>
    <row r="1473" spans="1:33">
      <c r="A1473" s="20" t="s">
        <v>11999</v>
      </c>
      <c r="B1473" s="150"/>
      <c r="C1473" s="21" t="s">
        <v>11707</v>
      </c>
      <c r="D1473" s="109" t="s">
        <v>14610</v>
      </c>
      <c r="E1473" s="109"/>
      <c r="F1473" s="391" t="s">
        <v>15013</v>
      </c>
      <c r="G1473" s="23" t="s">
        <v>14642</v>
      </c>
      <c r="H1473" s="23"/>
      <c r="I1473" s="23"/>
      <c r="J1473" s="23"/>
      <c r="K1473" s="23"/>
      <c r="L1473" s="375" t="s">
        <v>7787</v>
      </c>
      <c r="M1473" s="351" t="s">
        <v>7787</v>
      </c>
      <c r="N1473" s="267">
        <f t="shared" si="240"/>
        <v>0</v>
      </c>
      <c r="O1473" s="268">
        <f t="shared" si="241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3"/>
        <v>0</v>
      </c>
      <c r="AD1473" s="196">
        <f t="shared" si="234"/>
        <v>0</v>
      </c>
      <c r="AE1473" s="196">
        <f t="shared" si="235"/>
        <v>0</v>
      </c>
      <c r="AF1473" s="2">
        <f t="shared" si="236"/>
        <v>0</v>
      </c>
      <c r="AG1473" s="2">
        <f t="shared" si="237"/>
        <v>0</v>
      </c>
    </row>
    <row r="1474" spans="1:33">
      <c r="A1474" s="20" t="s">
        <v>1835</v>
      </c>
      <c r="B1474" s="150"/>
      <c r="C1474" s="21" t="s">
        <v>763</v>
      </c>
      <c r="D1474" s="109" t="s">
        <v>15014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40"/>
        <v>0</v>
      </c>
      <c r="O1474" s="268">
        <f t="shared" si="241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3"/>
        <v>0</v>
      </c>
      <c r="AD1474" s="196">
        <f t="shared" si="234"/>
        <v>0</v>
      </c>
      <c r="AE1474" s="196">
        <f t="shared" si="235"/>
        <v>0</v>
      </c>
      <c r="AF1474" s="2">
        <f t="shared" si="236"/>
        <v>0</v>
      </c>
      <c r="AG1474" s="2">
        <f t="shared" si="237"/>
        <v>0</v>
      </c>
    </row>
    <row r="1475" spans="1:33">
      <c r="A1475" s="20" t="s">
        <v>1836</v>
      </c>
      <c r="B1475" s="150"/>
      <c r="C1475" s="21" t="s">
        <v>763</v>
      </c>
      <c r="D1475" s="109" t="s">
        <v>15016</v>
      </c>
      <c r="E1475" s="109"/>
      <c r="F1475" s="391" t="s">
        <v>15015</v>
      </c>
      <c r="G1475" s="23"/>
      <c r="H1475" s="23"/>
      <c r="I1475" s="23"/>
      <c r="J1475" s="23"/>
      <c r="K1475" s="23"/>
      <c r="L1475" s="350"/>
      <c r="M1475" s="351"/>
      <c r="N1475" s="267">
        <f t="shared" si="240"/>
        <v>0</v>
      </c>
      <c r="O1475" s="268">
        <f t="shared" si="241"/>
        <v>0</v>
      </c>
      <c r="P1475" s="239"/>
      <c r="Q1475" s="239"/>
      <c r="R1475" s="239"/>
      <c r="S1475" s="239"/>
      <c r="T1475" s="239"/>
      <c r="U1475" s="240"/>
      <c r="V1475" s="240"/>
      <c r="W1475" s="240"/>
      <c r="X1475" s="278"/>
      <c r="Y1475" s="237"/>
      <c r="Z1475" s="237"/>
      <c r="AA1475" s="279"/>
      <c r="AB1475" s="238"/>
      <c r="AC1475" s="196">
        <f t="shared" si="233"/>
        <v>0</v>
      </c>
      <c r="AD1475" s="196">
        <f t="shared" si="234"/>
        <v>0</v>
      </c>
      <c r="AE1475" s="196">
        <f t="shared" si="235"/>
        <v>0</v>
      </c>
      <c r="AF1475" s="2">
        <f t="shared" si="236"/>
        <v>0</v>
      </c>
      <c r="AG1475" s="2">
        <f t="shared" si="237"/>
        <v>0</v>
      </c>
    </row>
    <row r="1476" spans="1:33">
      <c r="A1476" s="20" t="s">
        <v>13105</v>
      </c>
      <c r="B1476" s="150"/>
      <c r="C1476" s="21" t="s">
        <v>15017</v>
      </c>
      <c r="D1476" s="109" t="s">
        <v>13954</v>
      </c>
      <c r="E1476" s="109" t="s">
        <v>14613</v>
      </c>
      <c r="F1476" s="391" t="s">
        <v>17172</v>
      </c>
      <c r="G1476" s="23" t="s">
        <v>14615</v>
      </c>
      <c r="H1476" s="23" t="s">
        <v>23225</v>
      </c>
      <c r="I1476" s="23"/>
      <c r="J1476" s="23"/>
      <c r="K1476" s="23"/>
      <c r="L1476" s="375" t="s">
        <v>27799</v>
      </c>
      <c r="M1476" s="351" t="s">
        <v>45</v>
      </c>
      <c r="N1476" s="267">
        <f t="shared" si="240"/>
        <v>0</v>
      </c>
      <c r="O1476" s="268">
        <f t="shared" si="241"/>
        <v>400</v>
      </c>
      <c r="P1476" s="239"/>
      <c r="Q1476" s="239"/>
      <c r="R1476" s="239"/>
      <c r="S1476" s="239"/>
      <c r="T1476" s="239"/>
      <c r="U1476" s="239">
        <f>1200-950+2150-2000</f>
        <v>400</v>
      </c>
      <c r="V1476" s="240"/>
      <c r="W1476" s="240"/>
      <c r="X1476" s="278"/>
      <c r="Y1476" s="239"/>
      <c r="Z1476" s="237"/>
      <c r="AA1476" s="279"/>
      <c r="AB1476" s="238" t="s">
        <v>27795</v>
      </c>
      <c r="AC1476" s="196">
        <f t="shared" si="233"/>
        <v>400</v>
      </c>
      <c r="AD1476" s="196">
        <f t="shared" si="234"/>
        <v>400</v>
      </c>
      <c r="AE1476" s="196">
        <f t="shared" si="235"/>
        <v>0</v>
      </c>
      <c r="AF1476" s="2">
        <f t="shared" si="236"/>
        <v>400</v>
      </c>
      <c r="AG1476" s="2">
        <f t="shared" si="237"/>
        <v>0</v>
      </c>
    </row>
    <row r="1477" spans="1:33">
      <c r="A1477" s="20" t="s">
        <v>12831</v>
      </c>
      <c r="B1477" s="150"/>
      <c r="C1477" s="21" t="s">
        <v>15018</v>
      </c>
      <c r="D1477" s="109" t="s">
        <v>15019</v>
      </c>
      <c r="E1477" s="109"/>
      <c r="F1477" s="391" t="s">
        <v>20962</v>
      </c>
      <c r="G1477" s="23" t="s">
        <v>14545</v>
      </c>
      <c r="H1477" s="23"/>
      <c r="I1477" s="23"/>
      <c r="J1477" s="23"/>
      <c r="K1477" s="23"/>
      <c r="L1477" s="375" t="s">
        <v>7787</v>
      </c>
      <c r="M1477" s="351" t="s">
        <v>7787</v>
      </c>
      <c r="N1477" s="267">
        <f t="shared" si="240"/>
        <v>0</v>
      </c>
      <c r="O1477" s="268">
        <f t="shared" si="241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3"/>
        <v>0</v>
      </c>
      <c r="AD1477" s="196">
        <f t="shared" si="234"/>
        <v>0</v>
      </c>
      <c r="AE1477" s="196">
        <f t="shared" si="235"/>
        <v>0</v>
      </c>
      <c r="AF1477" s="2">
        <f t="shared" si="236"/>
        <v>0</v>
      </c>
      <c r="AG1477" s="2">
        <f t="shared" si="237"/>
        <v>0</v>
      </c>
    </row>
    <row r="1478" spans="1:33">
      <c r="A1478" s="20" t="s">
        <v>22991</v>
      </c>
      <c r="B1478" s="150"/>
      <c r="C1478" s="21" t="s">
        <v>12784</v>
      </c>
      <c r="D1478" s="109" t="s">
        <v>7761</v>
      </c>
      <c r="E1478" s="109" t="s">
        <v>19813</v>
      </c>
      <c r="F1478" s="391" t="s">
        <v>20962</v>
      </c>
      <c r="G1478" s="23" t="s">
        <v>13826</v>
      </c>
      <c r="H1478" s="23"/>
      <c r="I1478" s="23"/>
      <c r="J1478" s="23"/>
      <c r="K1478" s="23"/>
      <c r="L1478" s="375"/>
      <c r="M1478" s="351"/>
      <c r="N1478" s="267">
        <f t="shared" si="240"/>
        <v>0</v>
      </c>
      <c r="O1478" s="268">
        <f t="shared" si="241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3"/>
        <v>0</v>
      </c>
      <c r="AD1478" s="196">
        <f t="shared" si="234"/>
        <v>0</v>
      </c>
      <c r="AE1478" s="196">
        <f t="shared" si="235"/>
        <v>0</v>
      </c>
      <c r="AF1478" s="2">
        <f t="shared" si="236"/>
        <v>0</v>
      </c>
      <c r="AG1478" s="2">
        <f t="shared" si="237"/>
        <v>0</v>
      </c>
    </row>
    <row r="1479" spans="1:33">
      <c r="A1479" s="20" t="s">
        <v>20514</v>
      </c>
      <c r="B1479" s="150"/>
      <c r="C1479" s="21" t="s">
        <v>12784</v>
      </c>
      <c r="D1479" s="109" t="s">
        <v>8376</v>
      </c>
      <c r="E1479" s="109"/>
      <c r="F1479" s="391" t="s">
        <v>20962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 t="s">
        <v>7787</v>
      </c>
      <c r="N1479" s="267">
        <f t="shared" si="240"/>
        <v>0</v>
      </c>
      <c r="O1479" s="268">
        <f t="shared" si="241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3"/>
        <v>0</v>
      </c>
      <c r="AD1479" s="196">
        <f t="shared" si="234"/>
        <v>0</v>
      </c>
      <c r="AE1479" s="196">
        <f t="shared" si="235"/>
        <v>0</v>
      </c>
      <c r="AF1479" s="2">
        <f t="shared" si="236"/>
        <v>0</v>
      </c>
      <c r="AG1479" s="2">
        <f t="shared" si="237"/>
        <v>0</v>
      </c>
    </row>
    <row r="1480" spans="1:33">
      <c r="A1480" s="20" t="s">
        <v>21777</v>
      </c>
      <c r="B1480" s="150"/>
      <c r="C1480" s="21" t="s">
        <v>20245</v>
      </c>
      <c r="D1480" s="109" t="s">
        <v>7182</v>
      </c>
      <c r="E1480" s="109"/>
      <c r="F1480" s="391" t="s">
        <v>21829</v>
      </c>
      <c r="G1480" s="23" t="s">
        <v>13826</v>
      </c>
      <c r="H1480" s="23"/>
      <c r="I1480" s="23"/>
      <c r="J1480" s="23"/>
      <c r="K1480" s="23"/>
      <c r="L1480" s="375" t="s">
        <v>7787</v>
      </c>
      <c r="M1480" s="351"/>
      <c r="N1480" s="267">
        <f t="shared" si="240"/>
        <v>0</v>
      </c>
      <c r="O1480" s="268">
        <f t="shared" si="241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3"/>
        <v>0</v>
      </c>
      <c r="AD1480" s="196">
        <f t="shared" si="234"/>
        <v>0</v>
      </c>
      <c r="AE1480" s="196">
        <f t="shared" si="235"/>
        <v>0</v>
      </c>
      <c r="AF1480" s="2">
        <f t="shared" si="236"/>
        <v>0</v>
      </c>
      <c r="AG1480" s="2">
        <f t="shared" si="237"/>
        <v>0</v>
      </c>
    </row>
    <row r="1481" spans="1:33">
      <c r="A1481" s="20" t="s">
        <v>12629</v>
      </c>
      <c r="B1481" s="150"/>
      <c r="C1481" s="21" t="s">
        <v>15020</v>
      </c>
      <c r="D1481" s="109" t="s">
        <v>14757</v>
      </c>
      <c r="E1481" s="109"/>
      <c r="F1481" s="391" t="s">
        <v>15021</v>
      </c>
      <c r="G1481" s="23" t="s">
        <v>14545</v>
      </c>
      <c r="H1481" s="23"/>
      <c r="I1481" s="23"/>
      <c r="J1481" s="23"/>
      <c r="K1481" s="23"/>
      <c r="L1481" s="375" t="s">
        <v>7787</v>
      </c>
      <c r="M1481" s="351"/>
      <c r="N1481" s="267">
        <f t="shared" si="240"/>
        <v>0</v>
      </c>
      <c r="O1481" s="268">
        <f t="shared" si="241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si="233"/>
        <v>0</v>
      </c>
      <c r="AD1481" s="196">
        <f t="shared" si="234"/>
        <v>0</v>
      </c>
      <c r="AE1481" s="196">
        <f t="shared" si="235"/>
        <v>0</v>
      </c>
      <c r="AF1481" s="2">
        <f t="shared" si="236"/>
        <v>0</v>
      </c>
      <c r="AG1481" s="2">
        <f t="shared" si="237"/>
        <v>0</v>
      </c>
    </row>
    <row r="1482" spans="1:33">
      <c r="A1482" s="20" t="s">
        <v>20515</v>
      </c>
      <c r="B1482" s="150"/>
      <c r="C1482" s="21" t="s">
        <v>12598</v>
      </c>
      <c r="D1482" s="109" t="s">
        <v>3137</v>
      </c>
      <c r="E1482" s="109"/>
      <c r="F1482" s="391" t="s">
        <v>12659</v>
      </c>
      <c r="G1482" s="23" t="s">
        <v>17078</v>
      </c>
      <c r="H1482" s="23"/>
      <c r="I1482" s="23"/>
      <c r="J1482" s="23"/>
      <c r="K1482" s="23"/>
      <c r="L1482" s="375" t="s">
        <v>7787</v>
      </c>
      <c r="M1482" s="351"/>
      <c r="N1482" s="267">
        <f t="shared" si="240"/>
        <v>0</v>
      </c>
      <c r="O1482" s="268">
        <f t="shared" si="241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ref="AC1482:AC1545" si="242">SUM(P1482:AA1482)</f>
        <v>0</v>
      </c>
      <c r="AD1482" s="196">
        <f t="shared" ref="AD1482:AD1545" si="243">SUM(P1482:AB1482)</f>
        <v>0</v>
      </c>
      <c r="AE1482" s="196">
        <f t="shared" ref="AE1482:AE1545" si="244">SUM(AC1482-AD1482)</f>
        <v>0</v>
      </c>
      <c r="AF1482" s="2">
        <f t="shared" ref="AF1482:AF1545" si="245">+AC1482</f>
        <v>0</v>
      </c>
      <c r="AG1482" s="2">
        <f t="shared" ref="AG1482:AG1545" si="246">+AC1482-AF1482</f>
        <v>0</v>
      </c>
    </row>
    <row r="1483" spans="1:33">
      <c r="A1483" s="20" t="s">
        <v>18521</v>
      </c>
      <c r="B1483" s="150"/>
      <c r="C1483" s="21" t="s">
        <v>18547</v>
      </c>
      <c r="D1483" s="109" t="s">
        <v>7182</v>
      </c>
      <c r="E1483" s="109"/>
      <c r="F1483" s="391" t="s">
        <v>18685</v>
      </c>
      <c r="G1483" s="23" t="s">
        <v>13826</v>
      </c>
      <c r="H1483" s="23"/>
      <c r="I1483" s="23"/>
      <c r="J1483" s="23"/>
      <c r="K1483" s="23"/>
      <c r="L1483" s="375" t="s">
        <v>7787</v>
      </c>
      <c r="M1483" s="351" t="s">
        <v>7787</v>
      </c>
      <c r="N1483" s="267">
        <f t="shared" si="240"/>
        <v>0</v>
      </c>
      <c r="O1483" s="268">
        <f t="shared" si="241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2"/>
        <v>0</v>
      </c>
      <c r="AD1483" s="196">
        <f t="shared" si="243"/>
        <v>0</v>
      </c>
      <c r="AE1483" s="196">
        <f t="shared" si="244"/>
        <v>0</v>
      </c>
      <c r="AF1483" s="2">
        <f t="shared" si="245"/>
        <v>0</v>
      </c>
      <c r="AG1483" s="2">
        <f t="shared" si="246"/>
        <v>0</v>
      </c>
    </row>
    <row r="1484" spans="1:33">
      <c r="A1484" s="20" t="s">
        <v>17735</v>
      </c>
      <c r="B1484" s="150"/>
      <c r="C1484" s="21" t="s">
        <v>17873</v>
      </c>
      <c r="D1484" s="109" t="s">
        <v>7182</v>
      </c>
      <c r="E1484" s="109"/>
      <c r="F1484" s="391" t="s">
        <v>17904</v>
      </c>
      <c r="G1484" s="23" t="s">
        <v>17874</v>
      </c>
      <c r="H1484" s="23"/>
      <c r="I1484" s="23"/>
      <c r="J1484" s="23"/>
      <c r="K1484" s="23"/>
      <c r="L1484" s="375" t="s">
        <v>7787</v>
      </c>
      <c r="M1484" s="351"/>
      <c r="N1484" s="267">
        <f t="shared" si="240"/>
        <v>0</v>
      </c>
      <c r="O1484" s="268">
        <f t="shared" si="241"/>
        <v>0</v>
      </c>
      <c r="P1484" s="239"/>
      <c r="Q1484" s="239"/>
      <c r="R1484" s="239"/>
      <c r="S1484" s="239"/>
      <c r="T1484" s="239"/>
      <c r="U1484" s="240"/>
      <c r="V1484" s="240"/>
      <c r="W1484" s="240"/>
      <c r="X1484" s="278"/>
      <c r="Y1484" s="237"/>
      <c r="Z1484" s="237"/>
      <c r="AA1484" s="279"/>
      <c r="AB1484" s="238"/>
      <c r="AC1484" s="196">
        <f t="shared" si="242"/>
        <v>0</v>
      </c>
      <c r="AD1484" s="196">
        <f t="shared" si="243"/>
        <v>0</v>
      </c>
      <c r="AE1484" s="196">
        <f t="shared" si="244"/>
        <v>0</v>
      </c>
      <c r="AF1484" s="2">
        <f t="shared" si="245"/>
        <v>0</v>
      </c>
      <c r="AG1484" s="2">
        <f t="shared" si="246"/>
        <v>0</v>
      </c>
    </row>
    <row r="1485" spans="1:33">
      <c r="A1485" s="20" t="s">
        <v>12630</v>
      </c>
      <c r="B1485" s="150"/>
      <c r="C1485" s="21" t="s">
        <v>15022</v>
      </c>
      <c r="D1485" s="109" t="s">
        <v>15023</v>
      </c>
      <c r="E1485" s="109"/>
      <c r="F1485" s="391" t="s">
        <v>15024</v>
      </c>
      <c r="G1485" s="23" t="s">
        <v>15025</v>
      </c>
      <c r="H1485" s="23"/>
      <c r="I1485" s="23"/>
      <c r="J1485" s="23"/>
      <c r="K1485" s="23"/>
      <c r="L1485" s="375" t="s">
        <v>7787</v>
      </c>
      <c r="M1485" s="351"/>
      <c r="N1485" s="267">
        <f t="shared" si="240"/>
        <v>0</v>
      </c>
      <c r="O1485" s="268">
        <f t="shared" si="241"/>
        <v>0</v>
      </c>
      <c r="P1485" s="239"/>
      <c r="Q1485" s="239"/>
      <c r="R1485" s="239"/>
      <c r="S1485" s="239"/>
      <c r="T1485" s="239"/>
      <c r="U1485" s="240"/>
      <c r="V1485" s="239"/>
      <c r="W1485" s="240"/>
      <c r="X1485" s="278"/>
      <c r="Y1485" s="237"/>
      <c r="Z1485" s="237"/>
      <c r="AA1485" s="279"/>
      <c r="AB1485" s="238"/>
      <c r="AC1485" s="196">
        <f t="shared" si="242"/>
        <v>0</v>
      </c>
      <c r="AD1485" s="196">
        <f t="shared" si="243"/>
        <v>0</v>
      </c>
      <c r="AE1485" s="196">
        <f t="shared" si="244"/>
        <v>0</v>
      </c>
      <c r="AF1485" s="2">
        <f t="shared" si="245"/>
        <v>0</v>
      </c>
      <c r="AG1485" s="2">
        <f t="shared" si="246"/>
        <v>0</v>
      </c>
    </row>
    <row r="1486" spans="1:33">
      <c r="A1486" s="20" t="s">
        <v>1837</v>
      </c>
      <c r="B1486" s="150"/>
      <c r="C1486" s="21" t="s">
        <v>764</v>
      </c>
      <c r="D1486" s="109" t="s">
        <v>13319</v>
      </c>
      <c r="E1486" s="109"/>
      <c r="F1486" s="391" t="s">
        <v>15026</v>
      </c>
      <c r="G1486" s="23"/>
      <c r="H1486" s="23"/>
      <c r="I1486" s="23"/>
      <c r="J1486" s="23"/>
      <c r="K1486" s="23"/>
      <c r="L1486" s="350"/>
      <c r="M1486" s="351"/>
      <c r="N1486" s="267">
        <f t="shared" si="240"/>
        <v>0</v>
      </c>
      <c r="O1486" s="268">
        <f t="shared" si="241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2"/>
        <v>0</v>
      </c>
      <c r="AD1486" s="196">
        <f t="shared" si="243"/>
        <v>0</v>
      </c>
      <c r="AE1486" s="196">
        <f t="shared" si="244"/>
        <v>0</v>
      </c>
      <c r="AF1486" s="2">
        <f t="shared" si="245"/>
        <v>0</v>
      </c>
      <c r="AG1486" s="2">
        <f t="shared" si="246"/>
        <v>0</v>
      </c>
    </row>
    <row r="1487" spans="1:33">
      <c r="A1487" s="20" t="s">
        <v>11998</v>
      </c>
      <c r="B1487" s="150"/>
      <c r="C1487" s="21" t="s">
        <v>15027</v>
      </c>
      <c r="D1487" s="109" t="s">
        <v>14876</v>
      </c>
      <c r="E1487" s="109"/>
      <c r="F1487" s="391" t="s">
        <v>15028</v>
      </c>
      <c r="G1487" s="23" t="s">
        <v>15029</v>
      </c>
      <c r="H1487" s="23"/>
      <c r="I1487" s="23"/>
      <c r="J1487" s="23"/>
      <c r="K1487" s="23"/>
      <c r="L1487" s="375" t="s">
        <v>7787</v>
      </c>
      <c r="M1487" s="351"/>
      <c r="N1487" s="267">
        <f t="shared" si="240"/>
        <v>0</v>
      </c>
      <c r="O1487" s="268">
        <f t="shared" si="241"/>
        <v>0</v>
      </c>
      <c r="P1487" s="239"/>
      <c r="Q1487" s="239"/>
      <c r="R1487" s="239"/>
      <c r="S1487" s="239"/>
      <c r="T1487" s="239"/>
      <c r="U1487" s="240"/>
      <c r="V1487" s="240"/>
      <c r="W1487" s="240"/>
      <c r="X1487" s="278"/>
      <c r="Y1487" s="237"/>
      <c r="Z1487" s="237"/>
      <c r="AA1487" s="279"/>
      <c r="AB1487" s="238"/>
      <c r="AC1487" s="196">
        <f t="shared" si="242"/>
        <v>0</v>
      </c>
      <c r="AD1487" s="196">
        <f t="shared" si="243"/>
        <v>0</v>
      </c>
      <c r="AE1487" s="196">
        <f t="shared" si="244"/>
        <v>0</v>
      </c>
      <c r="AF1487" s="2">
        <f t="shared" si="245"/>
        <v>0</v>
      </c>
      <c r="AG1487" s="2">
        <f t="shared" si="246"/>
        <v>0</v>
      </c>
    </row>
    <row r="1488" spans="1:33">
      <c r="A1488" s="20" t="s">
        <v>12413</v>
      </c>
      <c r="B1488" s="150"/>
      <c r="C1488" s="21" t="s">
        <v>15030</v>
      </c>
      <c r="D1488" s="109" t="s">
        <v>14876</v>
      </c>
      <c r="E1488" s="109" t="s">
        <v>20884</v>
      </c>
      <c r="F1488" s="391" t="s">
        <v>15031</v>
      </c>
      <c r="G1488" s="23" t="s">
        <v>15032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40"/>
        <v>0</v>
      </c>
      <c r="O1488" s="268">
        <f t="shared" si="241"/>
        <v>0</v>
      </c>
      <c r="P1488" s="239"/>
      <c r="Q1488" s="241"/>
      <c r="R1488" s="239"/>
      <c r="S1488" s="239"/>
      <c r="T1488" s="239"/>
      <c r="U1488" s="240"/>
      <c r="V1488" s="239"/>
      <c r="W1488" s="240"/>
      <c r="X1488" s="278"/>
      <c r="Y1488" s="239"/>
      <c r="Z1488" s="237"/>
      <c r="AA1488" s="279"/>
      <c r="AB1488" s="238"/>
      <c r="AC1488" s="196">
        <f t="shared" si="242"/>
        <v>0</v>
      </c>
      <c r="AD1488" s="196">
        <f t="shared" si="243"/>
        <v>0</v>
      </c>
      <c r="AE1488" s="196">
        <f t="shared" si="244"/>
        <v>0</v>
      </c>
      <c r="AF1488" s="2">
        <f t="shared" si="245"/>
        <v>0</v>
      </c>
      <c r="AG1488" s="2">
        <f t="shared" si="246"/>
        <v>0</v>
      </c>
    </row>
    <row r="1489" spans="1:33">
      <c r="A1489" s="20" t="s">
        <v>19895</v>
      </c>
      <c r="B1489" s="150"/>
      <c r="C1489" s="21" t="s">
        <v>12468</v>
      </c>
      <c r="D1489" s="109" t="s">
        <v>3137</v>
      </c>
      <c r="E1489" s="109" t="s">
        <v>19813</v>
      </c>
      <c r="F1489" s="391" t="s">
        <v>12471</v>
      </c>
      <c r="G1489" s="23" t="s">
        <v>13932</v>
      </c>
      <c r="H1489" s="23" t="s">
        <v>13301</v>
      </c>
      <c r="I1489" s="23" t="s">
        <v>6133</v>
      </c>
      <c r="J1489" s="23" t="s">
        <v>17781</v>
      </c>
      <c r="K1489" s="23"/>
      <c r="L1489" s="375" t="s">
        <v>7787</v>
      </c>
      <c r="M1489" s="351" t="s">
        <v>7787</v>
      </c>
      <c r="N1489" s="267">
        <f t="shared" si="240"/>
        <v>0</v>
      </c>
      <c r="O1489" s="268">
        <f t="shared" si="241"/>
        <v>0</v>
      </c>
      <c r="P1489" s="239"/>
      <c r="Q1489" s="239"/>
      <c r="R1489" s="239"/>
      <c r="S1489" s="239"/>
      <c r="T1489" s="239"/>
      <c r="U1489" s="240"/>
      <c r="V1489" s="239"/>
      <c r="W1489" s="240"/>
      <c r="X1489" s="278"/>
      <c r="Y1489" s="237"/>
      <c r="Z1489" s="237"/>
      <c r="AA1489" s="279"/>
      <c r="AB1489" s="238"/>
      <c r="AC1489" s="196">
        <f t="shared" si="242"/>
        <v>0</v>
      </c>
      <c r="AD1489" s="196">
        <f t="shared" si="243"/>
        <v>0</v>
      </c>
      <c r="AE1489" s="196">
        <f t="shared" si="244"/>
        <v>0</v>
      </c>
      <c r="AF1489" s="2">
        <f t="shared" si="245"/>
        <v>0</v>
      </c>
      <c r="AG1489" s="2">
        <f t="shared" si="246"/>
        <v>0</v>
      </c>
    </row>
    <row r="1490" spans="1:33">
      <c r="A1490" s="20" t="s">
        <v>12631</v>
      </c>
      <c r="B1490" s="150"/>
      <c r="C1490" s="21" t="s">
        <v>15033</v>
      </c>
      <c r="D1490" s="109" t="s">
        <v>15034</v>
      </c>
      <c r="E1490" s="109"/>
      <c r="F1490" s="391" t="s">
        <v>15031</v>
      </c>
      <c r="G1490" s="23" t="s">
        <v>15029</v>
      </c>
      <c r="H1490" s="23"/>
      <c r="I1490" s="23"/>
      <c r="J1490" s="23"/>
      <c r="K1490" s="23"/>
      <c r="L1490" s="375" t="s">
        <v>7787</v>
      </c>
      <c r="M1490" s="351"/>
      <c r="N1490" s="267">
        <f t="shared" si="240"/>
        <v>0</v>
      </c>
      <c r="O1490" s="268">
        <f t="shared" si="241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2"/>
        <v>0</v>
      </c>
      <c r="AD1490" s="196">
        <f t="shared" si="243"/>
        <v>0</v>
      </c>
      <c r="AE1490" s="196">
        <f t="shared" si="244"/>
        <v>0</v>
      </c>
      <c r="AF1490" s="2">
        <f t="shared" si="245"/>
        <v>0</v>
      </c>
      <c r="AG1490" s="2">
        <f t="shared" si="246"/>
        <v>0</v>
      </c>
    </row>
    <row r="1491" spans="1:33">
      <c r="A1491" s="20" t="s">
        <v>12407</v>
      </c>
      <c r="B1491" s="150"/>
      <c r="C1491" s="21" t="s">
        <v>15035</v>
      </c>
      <c r="D1491" s="109" t="s">
        <v>15036</v>
      </c>
      <c r="E1491" s="109" t="s">
        <v>13477</v>
      </c>
      <c r="F1491" s="391" t="s">
        <v>15037</v>
      </c>
      <c r="G1491" s="23" t="s">
        <v>15038</v>
      </c>
      <c r="H1491" s="23"/>
      <c r="I1491" s="23"/>
      <c r="J1491" s="23"/>
      <c r="K1491" s="23"/>
      <c r="L1491" s="375" t="s">
        <v>7787</v>
      </c>
      <c r="M1491" s="351" t="s">
        <v>7787</v>
      </c>
      <c r="N1491" s="267">
        <f t="shared" si="240"/>
        <v>0</v>
      </c>
      <c r="O1491" s="268">
        <f t="shared" si="241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2"/>
        <v>0</v>
      </c>
      <c r="AD1491" s="196">
        <f t="shared" si="243"/>
        <v>0</v>
      </c>
      <c r="AE1491" s="196">
        <f t="shared" si="244"/>
        <v>0</v>
      </c>
      <c r="AF1491" s="2">
        <f t="shared" si="245"/>
        <v>0</v>
      </c>
      <c r="AG1491" s="2">
        <f t="shared" si="246"/>
        <v>0</v>
      </c>
    </row>
    <row r="1492" spans="1:33">
      <c r="A1492" s="20" t="s">
        <v>1841</v>
      </c>
      <c r="B1492" s="150"/>
      <c r="C1492" s="21" t="s">
        <v>765</v>
      </c>
      <c r="D1492" s="109" t="s">
        <v>13481</v>
      </c>
      <c r="E1492" s="109" t="s">
        <v>13482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40"/>
        <v>0</v>
      </c>
      <c r="O1492" s="268">
        <f t="shared" si="241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2"/>
        <v>0</v>
      </c>
      <c r="AD1492" s="196">
        <f t="shared" si="243"/>
        <v>0</v>
      </c>
      <c r="AE1492" s="196">
        <f t="shared" si="244"/>
        <v>0</v>
      </c>
      <c r="AF1492" s="2">
        <f t="shared" si="245"/>
        <v>0</v>
      </c>
      <c r="AG1492" s="2">
        <f t="shared" si="246"/>
        <v>0</v>
      </c>
    </row>
    <row r="1493" spans="1:33">
      <c r="A1493" s="20" t="s">
        <v>1838</v>
      </c>
      <c r="B1493" s="161"/>
      <c r="C1493" s="21" t="s">
        <v>765</v>
      </c>
      <c r="D1493" s="109" t="s">
        <v>13386</v>
      </c>
      <c r="E1493" s="109" t="s">
        <v>13312</v>
      </c>
      <c r="F1493" s="391" t="s">
        <v>15039</v>
      </c>
      <c r="G1493" s="23"/>
      <c r="H1493" s="23"/>
      <c r="I1493" s="23"/>
      <c r="J1493" s="23"/>
      <c r="K1493" s="23"/>
      <c r="L1493" s="350"/>
      <c r="M1493" s="351"/>
      <c r="N1493" s="267">
        <f t="shared" si="240"/>
        <v>0</v>
      </c>
      <c r="O1493" s="268">
        <f t="shared" si="241"/>
        <v>0</v>
      </c>
      <c r="P1493" s="239"/>
      <c r="Q1493" s="239"/>
      <c r="R1493" s="239"/>
      <c r="S1493" s="239"/>
      <c r="T1493" s="239"/>
      <c r="U1493" s="240"/>
      <c r="V1493" s="240"/>
      <c r="W1493" s="240"/>
      <c r="X1493" s="278"/>
      <c r="Y1493" s="237"/>
      <c r="Z1493" s="237"/>
      <c r="AA1493" s="279"/>
      <c r="AB1493" s="238"/>
      <c r="AC1493" s="196">
        <f t="shared" si="242"/>
        <v>0</v>
      </c>
      <c r="AD1493" s="196">
        <f t="shared" si="243"/>
        <v>0</v>
      </c>
      <c r="AE1493" s="196">
        <f t="shared" si="244"/>
        <v>0</v>
      </c>
      <c r="AF1493" s="2">
        <f t="shared" si="245"/>
        <v>0</v>
      </c>
      <c r="AG1493" s="2">
        <f t="shared" si="246"/>
        <v>0</v>
      </c>
    </row>
    <row r="1494" spans="1:33">
      <c r="A1494" s="20" t="s">
        <v>1839</v>
      </c>
      <c r="B1494" s="162" t="s">
        <v>15040</v>
      </c>
      <c r="C1494" s="21" t="s">
        <v>765</v>
      </c>
      <c r="D1494" s="109" t="s">
        <v>13319</v>
      </c>
      <c r="E1494" s="109"/>
      <c r="F1494" s="391" t="s">
        <v>15041</v>
      </c>
      <c r="G1494" s="23" t="s">
        <v>14545</v>
      </c>
      <c r="H1494" s="23" t="s">
        <v>13877</v>
      </c>
      <c r="I1494" s="23"/>
      <c r="J1494" s="23"/>
      <c r="K1494" s="23"/>
      <c r="L1494" s="375" t="s">
        <v>7787</v>
      </c>
      <c r="M1494" s="351"/>
      <c r="N1494" s="267">
        <f t="shared" si="240"/>
        <v>0</v>
      </c>
      <c r="O1494" s="268">
        <f t="shared" si="241"/>
        <v>0</v>
      </c>
      <c r="P1494" s="240"/>
      <c r="Q1494" s="239"/>
      <c r="R1494" s="239"/>
      <c r="S1494" s="239"/>
      <c r="T1494" s="239"/>
      <c r="U1494" s="240"/>
      <c r="V1494" s="239"/>
      <c r="W1494" s="240"/>
      <c r="X1494" s="278"/>
      <c r="Y1494" s="237"/>
      <c r="Z1494" s="237"/>
      <c r="AA1494" s="279"/>
      <c r="AB1494" s="238"/>
      <c r="AC1494" s="196">
        <f t="shared" si="242"/>
        <v>0</v>
      </c>
      <c r="AD1494" s="196">
        <f t="shared" si="243"/>
        <v>0</v>
      </c>
      <c r="AE1494" s="196">
        <f t="shared" si="244"/>
        <v>0</v>
      </c>
      <c r="AF1494" s="2">
        <f t="shared" si="245"/>
        <v>0</v>
      </c>
      <c r="AG1494" s="2">
        <f t="shared" si="246"/>
        <v>0</v>
      </c>
    </row>
    <row r="1495" spans="1:33">
      <c r="A1495" s="20" t="s">
        <v>1840</v>
      </c>
      <c r="B1495" s="150"/>
      <c r="C1495" s="21" t="s">
        <v>765</v>
      </c>
      <c r="D1495" s="109" t="s">
        <v>13881</v>
      </c>
      <c r="E1495" s="109"/>
      <c r="F1495" s="391" t="s">
        <v>15039</v>
      </c>
      <c r="G1495" s="23"/>
      <c r="H1495" s="23"/>
      <c r="I1495" s="23"/>
      <c r="J1495" s="23"/>
      <c r="K1495" s="23"/>
      <c r="L1495" s="350"/>
      <c r="M1495" s="351"/>
      <c r="N1495" s="267">
        <f t="shared" si="240"/>
        <v>0</v>
      </c>
      <c r="O1495" s="268">
        <f t="shared" si="241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2"/>
        <v>0</v>
      </c>
      <c r="AD1495" s="196">
        <f t="shared" si="243"/>
        <v>0</v>
      </c>
      <c r="AE1495" s="196">
        <f t="shared" si="244"/>
        <v>0</v>
      </c>
      <c r="AF1495" s="2">
        <f t="shared" si="245"/>
        <v>0</v>
      </c>
      <c r="AG1495" s="2">
        <f t="shared" si="246"/>
        <v>0</v>
      </c>
    </row>
    <row r="1496" spans="1:33">
      <c r="A1496" s="20" t="s">
        <v>12655</v>
      </c>
      <c r="B1496" s="150"/>
      <c r="C1496" s="21" t="s">
        <v>15042</v>
      </c>
      <c r="D1496" s="109" t="s">
        <v>15036</v>
      </c>
      <c r="E1496" s="109" t="s">
        <v>13477</v>
      </c>
      <c r="F1496" s="391" t="s">
        <v>15043</v>
      </c>
      <c r="G1496" s="23" t="s">
        <v>15044</v>
      </c>
      <c r="H1496" s="23" t="s">
        <v>13350</v>
      </c>
      <c r="I1496" s="23"/>
      <c r="J1496" s="23"/>
      <c r="K1496" s="23"/>
      <c r="L1496" s="375" t="s">
        <v>7787</v>
      </c>
      <c r="M1496" s="351"/>
      <c r="N1496" s="267">
        <f t="shared" si="240"/>
        <v>0</v>
      </c>
      <c r="O1496" s="268">
        <f t="shared" si="241"/>
        <v>0</v>
      </c>
      <c r="P1496" s="239"/>
      <c r="Q1496" s="239"/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/>
      <c r="AC1496" s="196">
        <f t="shared" si="242"/>
        <v>0</v>
      </c>
      <c r="AD1496" s="196">
        <f t="shared" si="243"/>
        <v>0</v>
      </c>
      <c r="AE1496" s="196">
        <f t="shared" si="244"/>
        <v>0</v>
      </c>
      <c r="AF1496" s="2">
        <f t="shared" si="245"/>
        <v>0</v>
      </c>
      <c r="AG1496" s="2">
        <f t="shared" si="246"/>
        <v>0</v>
      </c>
    </row>
    <row r="1497" spans="1:33">
      <c r="A1497" s="20" t="s">
        <v>13096</v>
      </c>
      <c r="B1497" s="150"/>
      <c r="C1497" s="21" t="s">
        <v>15045</v>
      </c>
      <c r="D1497" s="109" t="s">
        <v>14876</v>
      </c>
      <c r="E1497" s="109"/>
      <c r="F1497" s="391" t="s">
        <v>15046</v>
      </c>
      <c r="G1497" s="23" t="s">
        <v>15047</v>
      </c>
      <c r="H1497" s="23" t="s">
        <v>15048</v>
      </c>
      <c r="I1497" s="23" t="s">
        <v>13934</v>
      </c>
      <c r="J1497" s="23"/>
      <c r="K1497" s="23"/>
      <c r="L1497" s="375" t="s">
        <v>27385</v>
      </c>
      <c r="M1497" s="351" t="s">
        <v>7787</v>
      </c>
      <c r="N1497" s="267">
        <f t="shared" si="240"/>
        <v>0</v>
      </c>
      <c r="O1497" s="268">
        <f t="shared" si="241"/>
        <v>300</v>
      </c>
      <c r="P1497" s="239"/>
      <c r="Q1497" s="239">
        <f>400-100</f>
        <v>300</v>
      </c>
      <c r="R1497" s="239"/>
      <c r="S1497" s="239"/>
      <c r="T1497" s="239"/>
      <c r="U1497" s="240"/>
      <c r="V1497" s="240"/>
      <c r="W1497" s="240"/>
      <c r="X1497" s="278"/>
      <c r="Y1497" s="237"/>
      <c r="Z1497" s="237"/>
      <c r="AA1497" s="279"/>
      <c r="AB1497" s="238" t="s">
        <v>27380</v>
      </c>
      <c r="AC1497" s="196">
        <f t="shared" si="242"/>
        <v>300</v>
      </c>
      <c r="AD1497" s="196">
        <f t="shared" si="243"/>
        <v>300</v>
      </c>
      <c r="AE1497" s="196">
        <f t="shared" si="244"/>
        <v>0</v>
      </c>
      <c r="AF1497" s="2">
        <f t="shared" si="245"/>
        <v>300</v>
      </c>
      <c r="AG1497" s="2">
        <f t="shared" si="246"/>
        <v>0</v>
      </c>
    </row>
    <row r="1498" spans="1:33">
      <c r="A1498" s="20" t="s">
        <v>13108</v>
      </c>
      <c r="B1498" s="150"/>
      <c r="C1498" s="21" t="s">
        <v>17178</v>
      </c>
      <c r="D1498" s="109" t="s">
        <v>3137</v>
      </c>
      <c r="E1498" s="109"/>
      <c r="F1498" s="391" t="s">
        <v>17294</v>
      </c>
      <c r="G1498" s="23" t="s">
        <v>13301</v>
      </c>
      <c r="H1498" s="23" t="s">
        <v>17522</v>
      </c>
      <c r="I1498" s="23"/>
      <c r="J1498" s="23"/>
      <c r="K1498" s="23"/>
      <c r="L1498" s="375" t="s">
        <v>7787</v>
      </c>
      <c r="M1498" s="351" t="s">
        <v>7787</v>
      </c>
      <c r="N1498" s="267">
        <f t="shared" si="240"/>
        <v>0</v>
      </c>
      <c r="O1498" s="268">
        <f t="shared" si="241"/>
        <v>0</v>
      </c>
      <c r="P1498" s="240"/>
      <c r="Q1498" s="240"/>
      <c r="R1498" s="239"/>
      <c r="S1498" s="239"/>
      <c r="T1498" s="239"/>
      <c r="U1498" s="240"/>
      <c r="V1498" s="240"/>
      <c r="W1498" s="240"/>
      <c r="X1498" s="278"/>
      <c r="Y1498" s="239"/>
      <c r="Z1498" s="237"/>
      <c r="AA1498" s="279"/>
      <c r="AB1498" s="238"/>
      <c r="AC1498" s="196">
        <f t="shared" si="242"/>
        <v>0</v>
      </c>
      <c r="AD1498" s="196">
        <f t="shared" si="243"/>
        <v>0</v>
      </c>
      <c r="AE1498" s="196">
        <f t="shared" si="244"/>
        <v>0</v>
      </c>
      <c r="AF1498" s="2">
        <f t="shared" si="245"/>
        <v>0</v>
      </c>
      <c r="AG1498" s="2">
        <f t="shared" si="246"/>
        <v>0</v>
      </c>
    </row>
    <row r="1499" spans="1:33">
      <c r="A1499" s="20" t="s">
        <v>17421</v>
      </c>
      <c r="B1499" s="150"/>
      <c r="C1499" s="21" t="s">
        <v>17527</v>
      </c>
      <c r="D1499" s="109" t="s">
        <v>17528</v>
      </c>
      <c r="E1499" s="109"/>
      <c r="F1499" s="391" t="s">
        <v>17611</v>
      </c>
      <c r="G1499" s="23" t="s">
        <v>17529</v>
      </c>
      <c r="H1499" s="23"/>
      <c r="I1499" s="23"/>
      <c r="J1499" s="23"/>
      <c r="K1499" s="23"/>
      <c r="L1499" s="375" t="s">
        <v>7787</v>
      </c>
      <c r="M1499" s="351" t="s">
        <v>7787</v>
      </c>
      <c r="N1499" s="267">
        <f t="shared" si="240"/>
        <v>0</v>
      </c>
      <c r="O1499" s="268">
        <f t="shared" si="241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2"/>
        <v>0</v>
      </c>
      <c r="AD1499" s="196">
        <f t="shared" si="243"/>
        <v>0</v>
      </c>
      <c r="AE1499" s="196">
        <f t="shared" si="244"/>
        <v>0</v>
      </c>
      <c r="AF1499" s="2">
        <f t="shared" si="245"/>
        <v>0</v>
      </c>
      <c r="AG1499" s="2">
        <f t="shared" si="246"/>
        <v>0</v>
      </c>
    </row>
    <row r="1500" spans="1:33">
      <c r="A1500" s="20" t="s">
        <v>13101</v>
      </c>
      <c r="B1500" s="150"/>
      <c r="C1500" s="21" t="s">
        <v>15049</v>
      </c>
      <c r="D1500" s="109" t="s">
        <v>14876</v>
      </c>
      <c r="E1500" s="109"/>
      <c r="F1500" s="391" t="s">
        <v>15050</v>
      </c>
      <c r="G1500" s="14" t="s">
        <v>13317</v>
      </c>
      <c r="H1500" s="23"/>
      <c r="I1500" s="23"/>
      <c r="J1500" s="23"/>
      <c r="K1500" s="23"/>
      <c r="L1500" s="375" t="s">
        <v>7787</v>
      </c>
      <c r="M1500" s="351"/>
      <c r="N1500" s="267">
        <f t="shared" si="240"/>
        <v>0</v>
      </c>
      <c r="O1500" s="268">
        <f t="shared" si="241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2"/>
        <v>0</v>
      </c>
      <c r="AD1500" s="196">
        <f t="shared" si="243"/>
        <v>0</v>
      </c>
      <c r="AE1500" s="196">
        <f t="shared" si="244"/>
        <v>0</v>
      </c>
      <c r="AF1500" s="2">
        <f t="shared" si="245"/>
        <v>0</v>
      </c>
      <c r="AG1500" s="2">
        <f t="shared" si="246"/>
        <v>0</v>
      </c>
    </row>
    <row r="1501" spans="1:33">
      <c r="A1501" s="20" t="s">
        <v>20206</v>
      </c>
      <c r="B1501" s="150"/>
      <c r="C1501" s="21" t="s">
        <v>20422</v>
      </c>
      <c r="D1501" s="109" t="s">
        <v>3137</v>
      </c>
      <c r="E1501" s="109"/>
      <c r="F1501" s="391" t="s">
        <v>20435</v>
      </c>
      <c r="G1501" s="14" t="s">
        <v>6133</v>
      </c>
      <c r="H1501" s="23"/>
      <c r="I1501" s="23"/>
      <c r="J1501" s="23"/>
      <c r="K1501" s="23"/>
      <c r="L1501" s="375" t="s">
        <v>7787</v>
      </c>
      <c r="M1501" s="351"/>
      <c r="N1501" s="267">
        <f t="shared" si="240"/>
        <v>0</v>
      </c>
      <c r="O1501" s="268">
        <f t="shared" si="241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2"/>
        <v>0</v>
      </c>
      <c r="AD1501" s="196">
        <f t="shared" si="243"/>
        <v>0</v>
      </c>
      <c r="AE1501" s="196">
        <f t="shared" si="244"/>
        <v>0</v>
      </c>
      <c r="AF1501" s="2">
        <f t="shared" si="245"/>
        <v>0</v>
      </c>
      <c r="AG1501" s="2">
        <f t="shared" si="246"/>
        <v>0</v>
      </c>
    </row>
    <row r="1502" spans="1:33">
      <c r="A1502" s="20" t="s">
        <v>21675</v>
      </c>
      <c r="B1502" s="150"/>
      <c r="C1502" s="21" t="s">
        <v>21729</v>
      </c>
      <c r="D1502" s="109" t="s">
        <v>3137</v>
      </c>
      <c r="E1502" s="109"/>
      <c r="F1502" s="391" t="s">
        <v>21733</v>
      </c>
      <c r="G1502" s="14" t="s">
        <v>21730</v>
      </c>
      <c r="H1502" s="23"/>
      <c r="I1502" s="23"/>
      <c r="J1502" s="23"/>
      <c r="K1502" s="23"/>
      <c r="L1502" s="375" t="s">
        <v>7787</v>
      </c>
      <c r="M1502" s="351"/>
      <c r="N1502" s="267">
        <f t="shared" si="240"/>
        <v>0</v>
      </c>
      <c r="O1502" s="268">
        <f t="shared" si="241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2"/>
        <v>0</v>
      </c>
      <c r="AD1502" s="196">
        <f t="shared" si="243"/>
        <v>0</v>
      </c>
      <c r="AE1502" s="196">
        <f t="shared" si="244"/>
        <v>0</v>
      </c>
      <c r="AF1502" s="2">
        <f t="shared" si="245"/>
        <v>0</v>
      </c>
      <c r="AG1502" s="2">
        <f t="shared" si="246"/>
        <v>0</v>
      </c>
    </row>
    <row r="1503" spans="1:33">
      <c r="A1503" s="20" t="s">
        <v>20516</v>
      </c>
      <c r="B1503" s="150"/>
      <c r="C1503" s="21" t="s">
        <v>20654</v>
      </c>
      <c r="D1503" s="109" t="s">
        <v>7182</v>
      </c>
      <c r="E1503" s="109"/>
      <c r="F1503" s="391" t="s">
        <v>20861</v>
      </c>
      <c r="G1503" s="14" t="s">
        <v>20655</v>
      </c>
      <c r="H1503" s="23"/>
      <c r="I1503" s="23"/>
      <c r="J1503" s="23"/>
      <c r="K1503" s="23"/>
      <c r="L1503" s="375" t="s">
        <v>7787</v>
      </c>
      <c r="M1503" s="351"/>
      <c r="N1503" s="267">
        <f t="shared" si="240"/>
        <v>0</v>
      </c>
      <c r="O1503" s="268">
        <f t="shared" si="241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2"/>
        <v>0</v>
      </c>
      <c r="AD1503" s="196">
        <f t="shared" si="243"/>
        <v>0</v>
      </c>
      <c r="AE1503" s="196">
        <f t="shared" si="244"/>
        <v>0</v>
      </c>
      <c r="AF1503" s="2">
        <f t="shared" si="245"/>
        <v>0</v>
      </c>
      <c r="AG1503" s="2">
        <f t="shared" si="246"/>
        <v>0</v>
      </c>
    </row>
    <row r="1504" spans="1:33">
      <c r="A1504" s="20" t="s">
        <v>20517</v>
      </c>
      <c r="B1504" s="150"/>
      <c r="C1504" s="21" t="s">
        <v>20854</v>
      </c>
      <c r="D1504" s="109" t="s">
        <v>3137</v>
      </c>
      <c r="E1504" s="109"/>
      <c r="F1504" s="391" t="s">
        <v>20860</v>
      </c>
      <c r="G1504" s="14" t="s">
        <v>13349</v>
      </c>
      <c r="H1504" s="23"/>
      <c r="I1504" s="23"/>
      <c r="J1504" s="23"/>
      <c r="K1504" s="23"/>
      <c r="L1504" s="375" t="s">
        <v>7787</v>
      </c>
      <c r="M1504" s="351"/>
      <c r="N1504" s="267">
        <f t="shared" si="240"/>
        <v>0</v>
      </c>
      <c r="O1504" s="268">
        <f t="shared" si="241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2"/>
        <v>0</v>
      </c>
      <c r="AD1504" s="196">
        <f t="shared" si="243"/>
        <v>0</v>
      </c>
      <c r="AE1504" s="196">
        <f t="shared" si="244"/>
        <v>0</v>
      </c>
      <c r="AF1504" s="2">
        <f t="shared" si="245"/>
        <v>0</v>
      </c>
      <c r="AG1504" s="2">
        <f t="shared" si="246"/>
        <v>0</v>
      </c>
    </row>
    <row r="1505" spans="1:33">
      <c r="A1505" s="20" t="s">
        <v>17430</v>
      </c>
      <c r="B1505" s="150"/>
      <c r="C1505" s="21" t="s">
        <v>17737</v>
      </c>
      <c r="D1505" s="109" t="s">
        <v>8376</v>
      </c>
      <c r="E1505" s="109" t="s">
        <v>3128</v>
      </c>
      <c r="F1505" s="391" t="s">
        <v>17744</v>
      </c>
      <c r="G1505" s="23" t="s">
        <v>15044</v>
      </c>
      <c r="H1505" s="23"/>
      <c r="I1505" s="23"/>
      <c r="J1505" s="23"/>
      <c r="K1505" s="23"/>
      <c r="L1505" s="375" t="s">
        <v>7787</v>
      </c>
      <c r="M1505" s="351"/>
      <c r="N1505" s="267">
        <f t="shared" si="240"/>
        <v>0</v>
      </c>
      <c r="O1505" s="268">
        <f t="shared" si="241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2"/>
        <v>0</v>
      </c>
      <c r="AD1505" s="196">
        <f t="shared" si="243"/>
        <v>0</v>
      </c>
      <c r="AE1505" s="196">
        <f t="shared" si="244"/>
        <v>0</v>
      </c>
      <c r="AF1505" s="2">
        <f t="shared" si="245"/>
        <v>0</v>
      </c>
      <c r="AG1505" s="2">
        <f t="shared" si="246"/>
        <v>0</v>
      </c>
    </row>
    <row r="1506" spans="1:33">
      <c r="A1506" s="20" t="s">
        <v>17422</v>
      </c>
      <c r="B1506" s="150"/>
      <c r="C1506" s="21" t="s">
        <v>17650</v>
      </c>
      <c r="D1506" s="109" t="s">
        <v>3137</v>
      </c>
      <c r="E1506" s="109"/>
      <c r="F1506" s="391" t="s">
        <v>17684</v>
      </c>
      <c r="G1506" s="14" t="s">
        <v>13301</v>
      </c>
      <c r="H1506" s="23"/>
      <c r="I1506" s="23"/>
      <c r="J1506" s="23"/>
      <c r="K1506" s="23"/>
      <c r="L1506" s="375" t="s">
        <v>7787</v>
      </c>
      <c r="M1506" s="351" t="s">
        <v>7787</v>
      </c>
      <c r="N1506" s="267">
        <f t="shared" si="240"/>
        <v>0</v>
      </c>
      <c r="O1506" s="268">
        <f t="shared" si="241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2"/>
        <v>0</v>
      </c>
      <c r="AD1506" s="196">
        <f t="shared" si="243"/>
        <v>0</v>
      </c>
      <c r="AE1506" s="196">
        <f t="shared" si="244"/>
        <v>0</v>
      </c>
      <c r="AF1506" s="2">
        <f t="shared" si="245"/>
        <v>0</v>
      </c>
      <c r="AG1506" s="2">
        <f t="shared" si="246"/>
        <v>0</v>
      </c>
    </row>
    <row r="1507" spans="1:33">
      <c r="A1507" s="20" t="s">
        <v>17957</v>
      </c>
      <c r="B1507" s="150"/>
      <c r="C1507" s="21" t="s">
        <v>18207</v>
      </c>
      <c r="D1507" s="109" t="s">
        <v>7761</v>
      </c>
      <c r="E1507" s="109"/>
      <c r="F1507" s="391" t="s">
        <v>18208</v>
      </c>
      <c r="G1507" s="14" t="s">
        <v>17176</v>
      </c>
      <c r="H1507" s="23"/>
      <c r="I1507" s="23"/>
      <c r="J1507" s="23"/>
      <c r="K1507" s="23"/>
      <c r="L1507" s="375"/>
      <c r="M1507" s="351"/>
      <c r="N1507" s="267">
        <f t="shared" si="240"/>
        <v>0</v>
      </c>
      <c r="O1507" s="268">
        <f t="shared" si="241"/>
        <v>0</v>
      </c>
      <c r="P1507" s="239"/>
      <c r="Q1507" s="239"/>
      <c r="R1507" s="239"/>
      <c r="S1507" s="239"/>
      <c r="T1507" s="239"/>
      <c r="U1507" s="240"/>
      <c r="V1507" s="240"/>
      <c r="W1507" s="240"/>
      <c r="X1507" s="278"/>
      <c r="Y1507" s="237"/>
      <c r="Z1507" s="237"/>
      <c r="AA1507" s="279"/>
      <c r="AB1507" s="238"/>
      <c r="AC1507" s="196">
        <f t="shared" si="242"/>
        <v>0</v>
      </c>
      <c r="AD1507" s="196">
        <f t="shared" si="243"/>
        <v>0</v>
      </c>
      <c r="AE1507" s="196">
        <f t="shared" si="244"/>
        <v>0</v>
      </c>
      <c r="AF1507" s="2">
        <f t="shared" si="245"/>
        <v>0</v>
      </c>
      <c r="AG1507" s="2">
        <f t="shared" si="246"/>
        <v>0</v>
      </c>
    </row>
    <row r="1508" spans="1:33">
      <c r="A1508" s="20" t="s">
        <v>18409</v>
      </c>
      <c r="B1508" s="150"/>
      <c r="C1508" s="21" t="s">
        <v>18397</v>
      </c>
      <c r="D1508" s="109" t="s">
        <v>3137</v>
      </c>
      <c r="E1508" s="109"/>
      <c r="F1508" s="391" t="s">
        <v>18416</v>
      </c>
      <c r="G1508" s="14" t="s">
        <v>14782</v>
      </c>
      <c r="H1508" s="23" t="s">
        <v>13942</v>
      </c>
      <c r="I1508" s="23"/>
      <c r="J1508" s="23"/>
      <c r="K1508" s="23"/>
      <c r="L1508" s="375" t="s">
        <v>7787</v>
      </c>
      <c r="M1508" s="351" t="s">
        <v>7787</v>
      </c>
      <c r="N1508" s="267">
        <f t="shared" si="240"/>
        <v>0</v>
      </c>
      <c r="O1508" s="268">
        <f t="shared" si="241"/>
        <v>0</v>
      </c>
      <c r="P1508" s="240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2"/>
        <v>0</v>
      </c>
      <c r="AD1508" s="196">
        <f t="shared" si="243"/>
        <v>0</v>
      </c>
      <c r="AE1508" s="196">
        <f t="shared" si="244"/>
        <v>0</v>
      </c>
      <c r="AF1508" s="2">
        <f t="shared" si="245"/>
        <v>0</v>
      </c>
      <c r="AG1508" s="2">
        <f t="shared" si="246"/>
        <v>0</v>
      </c>
    </row>
    <row r="1509" spans="1:33">
      <c r="A1509" s="20" t="s">
        <v>19896</v>
      </c>
      <c r="B1509" s="150"/>
      <c r="C1509" s="21" t="s">
        <v>18397</v>
      </c>
      <c r="D1509" s="109" t="s">
        <v>3137</v>
      </c>
      <c r="E1509" s="109" t="s">
        <v>17900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/>
      <c r="M1509" s="351" t="s">
        <v>7787</v>
      </c>
      <c r="N1509" s="267">
        <f t="shared" si="240"/>
        <v>0</v>
      </c>
      <c r="O1509" s="268">
        <f t="shared" si="241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2"/>
        <v>0</v>
      </c>
      <c r="AD1509" s="196">
        <f t="shared" si="243"/>
        <v>0</v>
      </c>
      <c r="AE1509" s="196">
        <f t="shared" si="244"/>
        <v>0</v>
      </c>
      <c r="AF1509" s="2">
        <f t="shared" si="245"/>
        <v>0</v>
      </c>
      <c r="AG1509" s="2">
        <f t="shared" si="246"/>
        <v>0</v>
      </c>
    </row>
    <row r="1510" spans="1:33">
      <c r="A1510" s="20" t="s">
        <v>19897</v>
      </c>
      <c r="B1510" s="150"/>
      <c r="C1510" s="21" t="s">
        <v>18397</v>
      </c>
      <c r="D1510" s="109" t="s">
        <v>8376</v>
      </c>
      <c r="E1510" s="109" t="s">
        <v>19773</v>
      </c>
      <c r="F1510" s="391" t="s">
        <v>18416</v>
      </c>
      <c r="G1510" s="23" t="s">
        <v>13942</v>
      </c>
      <c r="H1510" s="23"/>
      <c r="I1510" s="23"/>
      <c r="J1510" s="23"/>
      <c r="K1510" s="23"/>
      <c r="L1510" s="375" t="s">
        <v>7787</v>
      </c>
      <c r="M1510" s="351"/>
      <c r="N1510" s="267">
        <f t="shared" si="240"/>
        <v>0</v>
      </c>
      <c r="O1510" s="268">
        <f t="shared" si="241"/>
        <v>0</v>
      </c>
      <c r="P1510" s="239"/>
      <c r="Q1510" s="239"/>
      <c r="R1510" s="239"/>
      <c r="S1510" s="239"/>
      <c r="T1510" s="239"/>
      <c r="U1510" s="240"/>
      <c r="V1510" s="239"/>
      <c r="W1510" s="240"/>
      <c r="X1510" s="278"/>
      <c r="Y1510" s="237"/>
      <c r="Z1510" s="237"/>
      <c r="AA1510" s="279"/>
      <c r="AB1510" s="238"/>
      <c r="AC1510" s="196">
        <f t="shared" si="242"/>
        <v>0</v>
      </c>
      <c r="AD1510" s="196">
        <f t="shared" si="243"/>
        <v>0</v>
      </c>
      <c r="AE1510" s="196">
        <f t="shared" si="244"/>
        <v>0</v>
      </c>
      <c r="AF1510" s="2">
        <f t="shared" si="245"/>
        <v>0</v>
      </c>
      <c r="AG1510" s="2">
        <f t="shared" si="246"/>
        <v>0</v>
      </c>
    </row>
    <row r="1511" spans="1:33">
      <c r="A1511" s="20" t="s">
        <v>18753</v>
      </c>
      <c r="B1511" s="150"/>
      <c r="C1511" s="21" t="s">
        <v>18813</v>
      </c>
      <c r="D1511" s="109" t="s">
        <v>18814</v>
      </c>
      <c r="E1511" s="109"/>
      <c r="F1511" s="391" t="s">
        <v>18895</v>
      </c>
      <c r="G1511" s="14" t="s">
        <v>13301</v>
      </c>
      <c r="H1511" s="23" t="s">
        <v>16630</v>
      </c>
      <c r="I1511" s="23" t="s">
        <v>13942</v>
      </c>
      <c r="J1511" s="23"/>
      <c r="K1511" s="23"/>
      <c r="L1511" s="375">
        <v>2050</v>
      </c>
      <c r="M1511" s="351" t="s">
        <v>45</v>
      </c>
      <c r="N1511" s="267">
        <f t="shared" si="240"/>
        <v>2050</v>
      </c>
      <c r="O1511" s="268">
        <f t="shared" si="241"/>
        <v>950</v>
      </c>
      <c r="P1511" s="239"/>
      <c r="Q1511" s="239"/>
      <c r="R1511" s="239"/>
      <c r="S1511" s="239"/>
      <c r="T1511" s="239"/>
      <c r="U1511" s="239">
        <v>950</v>
      </c>
      <c r="V1511" s="240"/>
      <c r="W1511" s="240"/>
      <c r="X1511" s="278"/>
      <c r="Y1511" s="237"/>
      <c r="Z1511" s="237"/>
      <c r="AA1511" s="279"/>
      <c r="AB1511" s="238" t="s">
        <v>28010</v>
      </c>
      <c r="AC1511" s="196">
        <f t="shared" si="242"/>
        <v>950</v>
      </c>
      <c r="AD1511" s="196">
        <f t="shared" si="243"/>
        <v>950</v>
      </c>
      <c r="AE1511" s="196">
        <f t="shared" si="244"/>
        <v>0</v>
      </c>
      <c r="AF1511" s="2">
        <f t="shared" si="245"/>
        <v>950</v>
      </c>
      <c r="AG1511" s="2">
        <f t="shared" si="246"/>
        <v>0</v>
      </c>
    </row>
    <row r="1512" spans="1:33">
      <c r="A1512" s="20" t="s">
        <v>22563</v>
      </c>
      <c r="B1512" s="150"/>
      <c r="C1512" s="21" t="s">
        <v>18813</v>
      </c>
      <c r="D1512" s="109" t="s">
        <v>3137</v>
      </c>
      <c r="E1512" s="109" t="s">
        <v>22595</v>
      </c>
      <c r="F1512" s="391" t="s">
        <v>18895</v>
      </c>
      <c r="G1512" s="23" t="s">
        <v>18851</v>
      </c>
      <c r="H1512" s="23"/>
      <c r="I1512" s="23"/>
      <c r="J1512" s="23"/>
      <c r="K1512" s="23"/>
      <c r="L1512" s="375" t="s">
        <v>7787</v>
      </c>
      <c r="M1512" s="351"/>
      <c r="N1512" s="267">
        <f t="shared" ref="N1512:N1579" si="247">SUM(L1512:M1512)</f>
        <v>0</v>
      </c>
      <c r="O1512" s="268">
        <f t="shared" ref="O1512:O1579" si="248">SUM(P1512:Z1512)</f>
        <v>0</v>
      </c>
      <c r="P1512" s="239"/>
      <c r="Q1512" s="239"/>
      <c r="R1512" s="239"/>
      <c r="S1512" s="239"/>
      <c r="T1512" s="239"/>
      <c r="U1512" s="240"/>
      <c r="V1512" s="240"/>
      <c r="W1512" s="240"/>
      <c r="X1512" s="278"/>
      <c r="Y1512" s="237"/>
      <c r="Z1512" s="237"/>
      <c r="AA1512" s="279"/>
      <c r="AB1512" s="238"/>
      <c r="AC1512" s="196">
        <f t="shared" si="242"/>
        <v>0</v>
      </c>
      <c r="AD1512" s="196">
        <f t="shared" si="243"/>
        <v>0</v>
      </c>
      <c r="AE1512" s="196">
        <f t="shared" si="244"/>
        <v>0</v>
      </c>
      <c r="AF1512" s="2">
        <f t="shared" si="245"/>
        <v>0</v>
      </c>
      <c r="AG1512" s="2">
        <f t="shared" si="246"/>
        <v>0</v>
      </c>
    </row>
    <row r="1513" spans="1:33">
      <c r="A1513" s="20" t="s">
        <v>22365</v>
      </c>
      <c r="B1513" s="150"/>
      <c r="C1513" s="21" t="s">
        <v>18813</v>
      </c>
      <c r="D1513" s="109" t="s">
        <v>22436</v>
      </c>
      <c r="E1513" s="109"/>
      <c r="F1513" s="391" t="s">
        <v>18895</v>
      </c>
      <c r="G1513" s="14" t="s">
        <v>14050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7"/>
        <v>0</v>
      </c>
      <c r="O1513" s="268">
        <f t="shared" si="248"/>
        <v>200</v>
      </c>
      <c r="P1513" s="239"/>
      <c r="Q1513" s="239"/>
      <c r="R1513" s="239"/>
      <c r="S1513" s="239"/>
      <c r="T1513" s="239"/>
      <c r="U1513" s="240">
        <f>1700-1500</f>
        <v>200</v>
      </c>
      <c r="V1513" s="240"/>
      <c r="W1513" s="240"/>
      <c r="X1513" s="278"/>
      <c r="Y1513" s="237"/>
      <c r="Z1513" s="237"/>
      <c r="AA1513" s="279"/>
      <c r="AB1513" s="238" t="s">
        <v>27952</v>
      </c>
      <c r="AC1513" s="196">
        <f t="shared" si="242"/>
        <v>200</v>
      </c>
      <c r="AD1513" s="196">
        <f t="shared" si="243"/>
        <v>200</v>
      </c>
      <c r="AE1513" s="196">
        <f t="shared" si="244"/>
        <v>0</v>
      </c>
      <c r="AF1513" s="2">
        <f t="shared" si="245"/>
        <v>200</v>
      </c>
      <c r="AG1513" s="2">
        <f t="shared" si="246"/>
        <v>0</v>
      </c>
    </row>
    <row r="1514" spans="1:33">
      <c r="A1514" s="20" t="s">
        <v>19898</v>
      </c>
      <c r="B1514" s="150"/>
      <c r="C1514" s="21" t="s">
        <v>18813</v>
      </c>
      <c r="D1514" s="109" t="s">
        <v>3137</v>
      </c>
      <c r="E1514" s="109" t="s">
        <v>19688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 t="s">
        <v>7787</v>
      </c>
      <c r="N1514" s="267">
        <f t="shared" si="247"/>
        <v>0</v>
      </c>
      <c r="O1514" s="268">
        <f t="shared" si="248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2"/>
        <v>0</v>
      </c>
      <c r="AD1514" s="196">
        <f t="shared" si="243"/>
        <v>0</v>
      </c>
      <c r="AE1514" s="196">
        <f t="shared" si="244"/>
        <v>0</v>
      </c>
      <c r="AF1514" s="2">
        <f t="shared" si="245"/>
        <v>0</v>
      </c>
      <c r="AG1514" s="2">
        <f t="shared" si="246"/>
        <v>0</v>
      </c>
    </row>
    <row r="1515" spans="1:33">
      <c r="A1515" s="20" t="s">
        <v>19899</v>
      </c>
      <c r="B1515" s="150"/>
      <c r="C1515" s="21" t="s">
        <v>18813</v>
      </c>
      <c r="D1515" s="109" t="s">
        <v>8376</v>
      </c>
      <c r="E1515" s="109" t="s">
        <v>19773</v>
      </c>
      <c r="F1515" s="391" t="s">
        <v>18895</v>
      </c>
      <c r="G1515" s="23" t="s">
        <v>13942</v>
      </c>
      <c r="H1515" s="23"/>
      <c r="I1515" s="23"/>
      <c r="J1515" s="23"/>
      <c r="K1515" s="23"/>
      <c r="L1515" s="375" t="s">
        <v>7787</v>
      </c>
      <c r="M1515" s="351"/>
      <c r="N1515" s="267">
        <f t="shared" si="247"/>
        <v>0</v>
      </c>
      <c r="O1515" s="268">
        <f t="shared" si="248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2"/>
        <v>0</v>
      </c>
      <c r="AD1515" s="196">
        <f t="shared" si="243"/>
        <v>0</v>
      </c>
      <c r="AE1515" s="196">
        <f t="shared" si="244"/>
        <v>0</v>
      </c>
      <c r="AF1515" s="2">
        <f t="shared" si="245"/>
        <v>0</v>
      </c>
      <c r="AG1515" s="2">
        <f t="shared" si="246"/>
        <v>0</v>
      </c>
    </row>
    <row r="1516" spans="1:33">
      <c r="A1516" s="20" t="s">
        <v>18328</v>
      </c>
      <c r="B1516" s="150"/>
      <c r="C1516" s="21" t="s">
        <v>18333</v>
      </c>
      <c r="D1516" s="109" t="s">
        <v>3137</v>
      </c>
      <c r="E1516" s="109" t="s">
        <v>3128</v>
      </c>
      <c r="F1516" s="391" t="s">
        <v>18400</v>
      </c>
      <c r="G1516" s="14" t="s">
        <v>18334</v>
      </c>
      <c r="H1516" s="23"/>
      <c r="I1516" s="23"/>
      <c r="J1516" s="23"/>
      <c r="K1516" s="23"/>
      <c r="L1516" s="375" t="s">
        <v>7787</v>
      </c>
      <c r="M1516" s="351"/>
      <c r="N1516" s="267">
        <f t="shared" si="247"/>
        <v>0</v>
      </c>
      <c r="O1516" s="268">
        <f t="shared" si="248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2"/>
        <v>0</v>
      </c>
      <c r="AD1516" s="196">
        <f t="shared" si="243"/>
        <v>0</v>
      </c>
      <c r="AE1516" s="196">
        <f t="shared" si="244"/>
        <v>0</v>
      </c>
      <c r="AF1516" s="2">
        <f t="shared" si="245"/>
        <v>0</v>
      </c>
      <c r="AG1516" s="2">
        <f t="shared" si="246"/>
        <v>0</v>
      </c>
    </row>
    <row r="1517" spans="1:33">
      <c r="A1517" s="20" t="s">
        <v>17431</v>
      </c>
      <c r="B1517" s="150"/>
      <c r="C1517" s="21" t="s">
        <v>17718</v>
      </c>
      <c r="D1517" s="109" t="s">
        <v>17739</v>
      </c>
      <c r="E1517" s="109" t="s">
        <v>7146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 t="s">
        <v>7787</v>
      </c>
      <c r="M1517" s="351" t="s">
        <v>7787</v>
      </c>
      <c r="N1517" s="267">
        <f t="shared" si="247"/>
        <v>0</v>
      </c>
      <c r="O1517" s="268">
        <f t="shared" si="248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2"/>
        <v>0</v>
      </c>
      <c r="AD1517" s="196">
        <f t="shared" si="243"/>
        <v>0</v>
      </c>
      <c r="AE1517" s="196">
        <f t="shared" si="244"/>
        <v>0</v>
      </c>
      <c r="AF1517" s="2">
        <f t="shared" si="245"/>
        <v>0</v>
      </c>
      <c r="AG1517" s="2">
        <f t="shared" si="246"/>
        <v>0</v>
      </c>
    </row>
    <row r="1518" spans="1:33">
      <c r="A1518" s="20" t="s">
        <v>17722</v>
      </c>
      <c r="B1518" s="150"/>
      <c r="C1518" s="21" t="s">
        <v>17718</v>
      </c>
      <c r="D1518" s="109" t="s">
        <v>17719</v>
      </c>
      <c r="E1518" s="109" t="s">
        <v>17720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/>
      <c r="M1518" s="351"/>
      <c r="N1518" s="267">
        <f t="shared" si="247"/>
        <v>0</v>
      </c>
      <c r="O1518" s="268">
        <f t="shared" si="248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2"/>
        <v>0</v>
      </c>
      <c r="AD1518" s="196">
        <f t="shared" si="243"/>
        <v>0</v>
      </c>
      <c r="AE1518" s="196">
        <f t="shared" si="244"/>
        <v>0</v>
      </c>
      <c r="AF1518" s="2">
        <f t="shared" si="245"/>
        <v>0</v>
      </c>
      <c r="AG1518" s="2">
        <f t="shared" si="246"/>
        <v>0</v>
      </c>
    </row>
    <row r="1519" spans="1:33">
      <c r="A1519" s="20" t="s">
        <v>17726</v>
      </c>
      <c r="B1519" s="150"/>
      <c r="C1519" s="21" t="s">
        <v>17718</v>
      </c>
      <c r="D1519" s="109" t="s">
        <v>17782</v>
      </c>
      <c r="E1519" s="109" t="s">
        <v>17783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7"/>
        <v>0</v>
      </c>
      <c r="O1519" s="268">
        <f t="shared" si="248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2"/>
        <v>0</v>
      </c>
      <c r="AD1519" s="196">
        <f t="shared" si="243"/>
        <v>0</v>
      </c>
      <c r="AE1519" s="196">
        <f t="shared" si="244"/>
        <v>0</v>
      </c>
      <c r="AF1519" s="2">
        <f t="shared" si="245"/>
        <v>0</v>
      </c>
      <c r="AG1519" s="2">
        <f t="shared" si="246"/>
        <v>0</v>
      </c>
    </row>
    <row r="1520" spans="1:33">
      <c r="A1520" s="20" t="s">
        <v>17727</v>
      </c>
      <c r="B1520" s="150"/>
      <c r="C1520" s="21" t="s">
        <v>17718</v>
      </c>
      <c r="D1520" s="109" t="s">
        <v>17782</v>
      </c>
      <c r="E1520" s="109" t="s">
        <v>17784</v>
      </c>
      <c r="F1520" s="391" t="s">
        <v>17738</v>
      </c>
      <c r="G1520" s="14" t="s">
        <v>13975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7"/>
        <v>0</v>
      </c>
      <c r="O1520" s="268">
        <f t="shared" si="248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2"/>
        <v>0</v>
      </c>
      <c r="AD1520" s="196">
        <f t="shared" si="243"/>
        <v>0</v>
      </c>
      <c r="AE1520" s="196">
        <f t="shared" si="244"/>
        <v>0</v>
      </c>
      <c r="AF1520" s="2">
        <f t="shared" si="245"/>
        <v>0</v>
      </c>
      <c r="AG1520" s="2">
        <f t="shared" si="246"/>
        <v>0</v>
      </c>
    </row>
    <row r="1521" spans="1:33">
      <c r="A1521" s="20" t="s">
        <v>17958</v>
      </c>
      <c r="B1521" s="150"/>
      <c r="C1521" s="21" t="s">
        <v>21283</v>
      </c>
      <c r="D1521" s="109" t="s">
        <v>3137</v>
      </c>
      <c r="E1521" s="109"/>
      <c r="F1521" s="391" t="s">
        <v>18252</v>
      </c>
      <c r="G1521" s="14" t="s">
        <v>18211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7"/>
        <v>0</v>
      </c>
      <c r="O1521" s="268">
        <f t="shared" si="248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2"/>
        <v>0</v>
      </c>
      <c r="AD1521" s="196">
        <f t="shared" si="243"/>
        <v>0</v>
      </c>
      <c r="AE1521" s="196">
        <f t="shared" si="244"/>
        <v>0</v>
      </c>
      <c r="AF1521" s="2">
        <f t="shared" si="245"/>
        <v>0</v>
      </c>
      <c r="AG1521" s="2">
        <f t="shared" si="246"/>
        <v>0</v>
      </c>
    </row>
    <row r="1522" spans="1:33">
      <c r="A1522" s="20" t="s">
        <v>18904</v>
      </c>
      <c r="B1522" s="150"/>
      <c r="C1522" s="21" t="s">
        <v>19030</v>
      </c>
      <c r="D1522" s="109" t="s">
        <v>7761</v>
      </c>
      <c r="E1522" s="109"/>
      <c r="F1522" s="391" t="s">
        <v>19064</v>
      </c>
      <c r="G1522" s="14" t="s">
        <v>18870</v>
      </c>
      <c r="H1522" s="23"/>
      <c r="I1522" s="23"/>
      <c r="J1522" s="23"/>
      <c r="K1522" s="23"/>
      <c r="L1522" s="375" t="s">
        <v>7787</v>
      </c>
      <c r="M1522" s="351" t="s">
        <v>7787</v>
      </c>
      <c r="N1522" s="267">
        <f t="shared" si="247"/>
        <v>0</v>
      </c>
      <c r="O1522" s="268">
        <f t="shared" si="248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2"/>
        <v>0</v>
      </c>
      <c r="AD1522" s="196">
        <f t="shared" si="243"/>
        <v>0</v>
      </c>
      <c r="AE1522" s="196">
        <f t="shared" si="244"/>
        <v>0</v>
      </c>
      <c r="AF1522" s="2">
        <f t="shared" si="245"/>
        <v>0</v>
      </c>
      <c r="AG1522" s="2">
        <f t="shared" si="246"/>
        <v>0</v>
      </c>
    </row>
    <row r="1523" spans="1:33">
      <c r="A1523" s="20" t="s">
        <v>17959</v>
      </c>
      <c r="B1523" s="150"/>
      <c r="C1523" s="21" t="s">
        <v>18172</v>
      </c>
      <c r="D1523" s="109" t="s">
        <v>7761</v>
      </c>
      <c r="E1523" s="109"/>
      <c r="F1523" s="391" t="s">
        <v>18314</v>
      </c>
      <c r="G1523" s="14" t="s">
        <v>18173</v>
      </c>
      <c r="H1523" s="23"/>
      <c r="I1523" s="23"/>
      <c r="J1523" s="23"/>
      <c r="K1523" s="23"/>
      <c r="L1523" s="375"/>
      <c r="M1523" s="351" t="s">
        <v>7787</v>
      </c>
      <c r="N1523" s="267">
        <f t="shared" si="247"/>
        <v>0</v>
      </c>
      <c r="O1523" s="268">
        <f t="shared" si="248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2"/>
        <v>0</v>
      </c>
      <c r="AD1523" s="196">
        <f t="shared" si="243"/>
        <v>0</v>
      </c>
      <c r="AE1523" s="196">
        <f t="shared" si="244"/>
        <v>0</v>
      </c>
      <c r="AF1523" s="2">
        <f t="shared" si="245"/>
        <v>0</v>
      </c>
      <c r="AG1523" s="2">
        <f t="shared" si="246"/>
        <v>0</v>
      </c>
    </row>
    <row r="1524" spans="1:33">
      <c r="A1524" s="20" t="s">
        <v>19900</v>
      </c>
      <c r="B1524" s="150"/>
      <c r="C1524" s="21" t="s">
        <v>18172</v>
      </c>
      <c r="D1524" s="109" t="s">
        <v>8376</v>
      </c>
      <c r="E1524" s="109"/>
      <c r="F1524" s="391" t="s">
        <v>18314</v>
      </c>
      <c r="G1524" s="14" t="s">
        <v>13826</v>
      </c>
      <c r="H1524" s="23"/>
      <c r="I1524" s="23"/>
      <c r="J1524" s="23"/>
      <c r="K1524" s="23"/>
      <c r="L1524" s="375" t="s">
        <v>7787</v>
      </c>
      <c r="M1524" s="351"/>
      <c r="N1524" s="267">
        <f t="shared" si="247"/>
        <v>0</v>
      </c>
      <c r="O1524" s="268">
        <f t="shared" si="248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2"/>
        <v>0</v>
      </c>
      <c r="AD1524" s="196">
        <f t="shared" si="243"/>
        <v>0</v>
      </c>
      <c r="AE1524" s="196">
        <f t="shared" si="244"/>
        <v>0</v>
      </c>
      <c r="AF1524" s="2">
        <f t="shared" si="245"/>
        <v>0</v>
      </c>
      <c r="AG1524" s="2">
        <f t="shared" si="246"/>
        <v>0</v>
      </c>
    </row>
    <row r="1525" spans="1:33">
      <c r="A1525" s="20" t="s">
        <v>18329</v>
      </c>
      <c r="B1525" s="150"/>
      <c r="C1525" s="21" t="s">
        <v>18368</v>
      </c>
      <c r="D1525" s="109" t="s">
        <v>8376</v>
      </c>
      <c r="E1525" s="109"/>
      <c r="F1525" s="391" t="s">
        <v>18401</v>
      </c>
      <c r="G1525" s="14" t="s">
        <v>18369</v>
      </c>
      <c r="H1525" s="23"/>
      <c r="I1525" s="23"/>
      <c r="J1525" s="23"/>
      <c r="K1525" s="23"/>
      <c r="L1525" s="375" t="s">
        <v>7787</v>
      </c>
      <c r="M1525" s="351"/>
      <c r="N1525" s="267">
        <f t="shared" si="247"/>
        <v>0</v>
      </c>
      <c r="O1525" s="268">
        <f t="shared" si="248"/>
        <v>0</v>
      </c>
      <c r="P1525" s="239"/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/>
      <c r="AC1525" s="196">
        <f t="shared" si="242"/>
        <v>0</v>
      </c>
      <c r="AD1525" s="196">
        <f t="shared" si="243"/>
        <v>0</v>
      </c>
      <c r="AE1525" s="196">
        <f t="shared" si="244"/>
        <v>0</v>
      </c>
      <c r="AF1525" s="2">
        <f t="shared" si="245"/>
        <v>0</v>
      </c>
      <c r="AG1525" s="2">
        <f t="shared" si="246"/>
        <v>0</v>
      </c>
    </row>
    <row r="1526" spans="1:33">
      <c r="A1526" s="20" t="s">
        <v>18330</v>
      </c>
      <c r="B1526" s="150"/>
      <c r="C1526" s="21" t="s">
        <v>18396</v>
      </c>
      <c r="D1526" s="109" t="s">
        <v>3137</v>
      </c>
      <c r="E1526" s="109"/>
      <c r="F1526" s="391" t="s">
        <v>18399</v>
      </c>
      <c r="G1526" s="14" t="s">
        <v>18398</v>
      </c>
      <c r="H1526" s="23" t="s">
        <v>13350</v>
      </c>
      <c r="I1526" s="23" t="s">
        <v>25423</v>
      </c>
      <c r="J1526" s="23"/>
      <c r="K1526" s="23"/>
      <c r="L1526" s="375" t="s">
        <v>27809</v>
      </c>
      <c r="M1526" s="351" t="s">
        <v>7787</v>
      </c>
      <c r="N1526" s="267">
        <f t="shared" si="247"/>
        <v>0</v>
      </c>
      <c r="O1526" s="268">
        <f t="shared" si="248"/>
        <v>600</v>
      </c>
      <c r="P1526" s="239">
        <f>550-500+550</f>
        <v>600</v>
      </c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 t="s">
        <v>27806</v>
      </c>
      <c r="AC1526" s="196">
        <f t="shared" si="242"/>
        <v>600</v>
      </c>
      <c r="AD1526" s="196">
        <f t="shared" si="243"/>
        <v>600</v>
      </c>
      <c r="AE1526" s="196">
        <f t="shared" si="244"/>
        <v>0</v>
      </c>
      <c r="AF1526" s="2">
        <f t="shared" si="245"/>
        <v>600</v>
      </c>
      <c r="AG1526" s="2">
        <f t="shared" si="246"/>
        <v>0</v>
      </c>
    </row>
    <row r="1527" spans="1:33">
      <c r="A1527" s="20" t="s">
        <v>17960</v>
      </c>
      <c r="B1527" s="150"/>
      <c r="C1527" s="21" t="s">
        <v>18204</v>
      </c>
      <c r="D1527" s="109" t="s">
        <v>3137</v>
      </c>
      <c r="E1527" s="109"/>
      <c r="F1527" s="391" t="s">
        <v>18206</v>
      </c>
      <c r="G1527" s="14" t="s">
        <v>17522</v>
      </c>
      <c r="H1527" s="23"/>
      <c r="I1527" s="23"/>
      <c r="J1527" s="23"/>
      <c r="K1527" s="23"/>
      <c r="L1527" s="375" t="s">
        <v>7787</v>
      </c>
      <c r="M1527" s="351"/>
      <c r="N1527" s="267">
        <f t="shared" si="247"/>
        <v>0</v>
      </c>
      <c r="O1527" s="268">
        <f t="shared" si="248"/>
        <v>0</v>
      </c>
      <c r="P1527" s="239"/>
      <c r="Q1527" s="239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/>
      <c r="AC1527" s="196">
        <f t="shared" si="242"/>
        <v>0</v>
      </c>
      <c r="AD1527" s="196">
        <f t="shared" si="243"/>
        <v>0</v>
      </c>
      <c r="AE1527" s="196">
        <f t="shared" si="244"/>
        <v>0</v>
      </c>
      <c r="AF1527" s="2">
        <f t="shared" si="245"/>
        <v>0</v>
      </c>
      <c r="AG1527" s="2">
        <f t="shared" si="246"/>
        <v>0</v>
      </c>
    </row>
    <row r="1528" spans="1:33">
      <c r="A1528" s="20" t="s">
        <v>18905</v>
      </c>
      <c r="B1528" s="150"/>
      <c r="C1528" s="21" t="s">
        <v>19109</v>
      </c>
      <c r="D1528" s="109" t="s">
        <v>3137</v>
      </c>
      <c r="E1528" s="109"/>
      <c r="F1528" s="391" t="s">
        <v>19111</v>
      </c>
      <c r="G1528" s="14" t="s">
        <v>18851</v>
      </c>
      <c r="H1528" s="23" t="s">
        <v>15190</v>
      </c>
      <c r="I1528" s="23" t="s">
        <v>17522</v>
      </c>
      <c r="J1528" s="23" t="s">
        <v>13603</v>
      </c>
      <c r="K1528" s="23" t="s">
        <v>25536</v>
      </c>
      <c r="L1528" s="375" t="s">
        <v>27847</v>
      </c>
      <c r="M1528" s="351" t="s">
        <v>7787</v>
      </c>
      <c r="N1528" s="267">
        <f t="shared" si="247"/>
        <v>0</v>
      </c>
      <c r="O1528" s="268">
        <f t="shared" si="248"/>
        <v>1200</v>
      </c>
      <c r="P1528" s="239">
        <f>100+1200-100-400-100-300-100-200+800+1050-700-50-1000+1100-900-200-100+1100</f>
        <v>1200</v>
      </c>
      <c r="Q1528" s="240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 t="s">
        <v>27839</v>
      </c>
      <c r="AC1528" s="196">
        <f t="shared" si="242"/>
        <v>1200</v>
      </c>
      <c r="AD1528" s="196">
        <f t="shared" si="243"/>
        <v>1200</v>
      </c>
      <c r="AE1528" s="196">
        <f t="shared" si="244"/>
        <v>0</v>
      </c>
      <c r="AF1528" s="2">
        <f t="shared" si="245"/>
        <v>1200</v>
      </c>
      <c r="AG1528" s="2">
        <f t="shared" si="246"/>
        <v>0</v>
      </c>
    </row>
    <row r="1529" spans="1:33">
      <c r="A1529" s="20" t="s">
        <v>19901</v>
      </c>
      <c r="B1529" s="150"/>
      <c r="C1529" s="21" t="s">
        <v>19109</v>
      </c>
      <c r="D1529" s="109" t="s">
        <v>19710</v>
      </c>
      <c r="E1529" s="109" t="s">
        <v>19711</v>
      </c>
      <c r="F1529" s="391" t="s">
        <v>19111</v>
      </c>
      <c r="G1529" s="14" t="s">
        <v>18851</v>
      </c>
      <c r="H1529" s="23"/>
      <c r="I1529" s="23"/>
      <c r="J1529" s="23"/>
      <c r="K1529" s="23"/>
      <c r="L1529" s="375" t="s">
        <v>7787</v>
      </c>
      <c r="M1529" s="351"/>
      <c r="N1529" s="267">
        <f t="shared" si="247"/>
        <v>0</v>
      </c>
      <c r="O1529" s="268">
        <f t="shared" si="248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2"/>
        <v>0</v>
      </c>
      <c r="AD1529" s="196">
        <f t="shared" si="243"/>
        <v>0</v>
      </c>
      <c r="AE1529" s="196">
        <f t="shared" si="244"/>
        <v>0</v>
      </c>
      <c r="AF1529" s="2">
        <f t="shared" si="245"/>
        <v>0</v>
      </c>
      <c r="AG1529" s="2">
        <f t="shared" si="246"/>
        <v>0</v>
      </c>
    </row>
    <row r="1530" spans="1:33">
      <c r="A1530" s="20" t="s">
        <v>17961</v>
      </c>
      <c r="B1530" s="150"/>
      <c r="C1530" s="21" t="s">
        <v>18253</v>
      </c>
      <c r="D1530" s="109" t="s">
        <v>18254</v>
      </c>
      <c r="E1530" s="109"/>
      <c r="F1530" s="391" t="s">
        <v>18313</v>
      </c>
      <c r="G1530" s="14" t="s">
        <v>18312</v>
      </c>
      <c r="H1530" s="23"/>
      <c r="I1530" s="23"/>
      <c r="J1530" s="23"/>
      <c r="K1530" s="23"/>
      <c r="L1530" s="375" t="s">
        <v>7787</v>
      </c>
      <c r="M1530" s="351"/>
      <c r="N1530" s="267">
        <f t="shared" si="247"/>
        <v>0</v>
      </c>
      <c r="O1530" s="268">
        <f t="shared" si="248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7"/>
      <c r="Z1530" s="237"/>
      <c r="AA1530" s="279"/>
      <c r="AB1530" s="238"/>
      <c r="AC1530" s="196">
        <f t="shared" si="242"/>
        <v>0</v>
      </c>
      <c r="AD1530" s="196">
        <f t="shared" si="243"/>
        <v>0</v>
      </c>
      <c r="AE1530" s="196">
        <f t="shared" si="244"/>
        <v>0</v>
      </c>
      <c r="AF1530" s="2">
        <f t="shared" si="245"/>
        <v>0</v>
      </c>
      <c r="AG1530" s="2">
        <f t="shared" si="246"/>
        <v>0</v>
      </c>
    </row>
    <row r="1531" spans="1:33">
      <c r="A1531" s="20" t="s">
        <v>18522</v>
      </c>
      <c r="B1531" s="150"/>
      <c r="C1531" s="21" t="s">
        <v>18528</v>
      </c>
      <c r="D1531" s="109" t="s">
        <v>3137</v>
      </c>
      <c r="E1531" s="109"/>
      <c r="F1531" s="391" t="s">
        <v>18541</v>
      </c>
      <c r="G1531" s="14" t="s">
        <v>18312</v>
      </c>
      <c r="H1531" s="23"/>
      <c r="I1531" s="23"/>
      <c r="J1531" s="23"/>
      <c r="K1531" s="23"/>
      <c r="L1531" s="375"/>
      <c r="M1531" s="351" t="s">
        <v>7787</v>
      </c>
      <c r="N1531" s="267">
        <f t="shared" si="247"/>
        <v>0</v>
      </c>
      <c r="O1531" s="268">
        <f t="shared" si="248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9"/>
      <c r="Z1531" s="237"/>
      <c r="AA1531" s="279"/>
      <c r="AB1531" s="238"/>
      <c r="AC1531" s="196">
        <f t="shared" si="242"/>
        <v>0</v>
      </c>
      <c r="AD1531" s="196">
        <f t="shared" si="243"/>
        <v>0</v>
      </c>
      <c r="AE1531" s="196">
        <f t="shared" si="244"/>
        <v>0</v>
      </c>
      <c r="AF1531" s="2">
        <f t="shared" si="245"/>
        <v>0</v>
      </c>
      <c r="AG1531" s="2">
        <f t="shared" si="246"/>
        <v>0</v>
      </c>
    </row>
    <row r="1532" spans="1:33">
      <c r="A1532" s="20" t="s">
        <v>18754</v>
      </c>
      <c r="B1532" s="150"/>
      <c r="C1532" s="21" t="s">
        <v>18528</v>
      </c>
      <c r="D1532" s="109" t="s">
        <v>18807</v>
      </c>
      <c r="E1532" s="109" t="s">
        <v>18808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7"/>
        <v>0</v>
      </c>
      <c r="O1532" s="268">
        <f t="shared" si="248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2"/>
        <v>0</v>
      </c>
      <c r="AD1532" s="196">
        <f t="shared" si="243"/>
        <v>0</v>
      </c>
      <c r="AE1532" s="196">
        <f t="shared" si="244"/>
        <v>0</v>
      </c>
      <c r="AF1532" s="2">
        <f t="shared" si="245"/>
        <v>0</v>
      </c>
      <c r="AG1532" s="2">
        <f t="shared" si="246"/>
        <v>0</v>
      </c>
    </row>
    <row r="1533" spans="1:33">
      <c r="A1533" s="20" t="s">
        <v>20518</v>
      </c>
      <c r="B1533" s="150"/>
      <c r="C1533" s="21" t="s">
        <v>18528</v>
      </c>
      <c r="D1533" s="109" t="s">
        <v>7878</v>
      </c>
      <c r="E1533" s="109" t="s">
        <v>21114</v>
      </c>
      <c r="F1533" s="391" t="s">
        <v>18541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7"/>
        <v>0</v>
      </c>
      <c r="O1533" s="268">
        <f t="shared" si="248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2"/>
        <v>0</v>
      </c>
      <c r="AD1533" s="196">
        <f t="shared" si="243"/>
        <v>0</v>
      </c>
      <c r="AE1533" s="196">
        <f t="shared" si="244"/>
        <v>0</v>
      </c>
      <c r="AF1533" s="2">
        <f t="shared" si="245"/>
        <v>0</v>
      </c>
      <c r="AG1533" s="2">
        <f t="shared" si="246"/>
        <v>0</v>
      </c>
    </row>
    <row r="1534" spans="1:33">
      <c r="A1534" s="20" t="s">
        <v>18410</v>
      </c>
      <c r="B1534" s="150"/>
      <c r="C1534" s="21" t="s">
        <v>18387</v>
      </c>
      <c r="D1534" s="109" t="s">
        <v>3137</v>
      </c>
      <c r="E1534" s="109"/>
      <c r="F1534" s="391" t="s">
        <v>18417</v>
      </c>
      <c r="G1534" s="14" t="s">
        <v>18312</v>
      </c>
      <c r="H1534" s="23"/>
      <c r="I1534" s="23"/>
      <c r="J1534" s="23"/>
      <c r="K1534" s="23"/>
      <c r="L1534" s="375" t="s">
        <v>7787</v>
      </c>
      <c r="M1534" s="351" t="s">
        <v>7787</v>
      </c>
      <c r="N1534" s="267">
        <f t="shared" si="247"/>
        <v>0</v>
      </c>
      <c r="O1534" s="268">
        <f t="shared" si="248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7"/>
      <c r="Z1534" s="237"/>
      <c r="AA1534" s="279"/>
      <c r="AB1534" s="238"/>
      <c r="AC1534" s="196">
        <f t="shared" si="242"/>
        <v>0</v>
      </c>
      <c r="AD1534" s="196">
        <f t="shared" si="243"/>
        <v>0</v>
      </c>
      <c r="AE1534" s="196">
        <f t="shared" si="244"/>
        <v>0</v>
      </c>
      <c r="AF1534" s="2">
        <f t="shared" si="245"/>
        <v>0</v>
      </c>
      <c r="AG1534" s="2">
        <f t="shared" si="246"/>
        <v>0</v>
      </c>
    </row>
    <row r="1535" spans="1:33">
      <c r="A1535" s="20" t="s">
        <v>18523</v>
      </c>
      <c r="B1535" s="150"/>
      <c r="C1535" s="21" t="s">
        <v>18476</v>
      </c>
      <c r="D1535" s="109" t="s">
        <v>3137</v>
      </c>
      <c r="E1535" s="109"/>
      <c r="F1535" s="391" t="s">
        <v>18542</v>
      </c>
      <c r="G1535" s="14" t="s">
        <v>18312</v>
      </c>
      <c r="H1535" s="23"/>
      <c r="I1535" s="23"/>
      <c r="J1535" s="23"/>
      <c r="K1535" s="23"/>
      <c r="L1535" s="375"/>
      <c r="M1535" s="351" t="s">
        <v>7787</v>
      </c>
      <c r="N1535" s="267">
        <f t="shared" si="247"/>
        <v>0</v>
      </c>
      <c r="O1535" s="268">
        <f t="shared" si="248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9"/>
      <c r="Z1535" s="237"/>
      <c r="AA1535" s="279"/>
      <c r="AB1535" s="238"/>
      <c r="AC1535" s="196">
        <f t="shared" si="242"/>
        <v>0</v>
      </c>
      <c r="AD1535" s="196">
        <f t="shared" si="243"/>
        <v>0</v>
      </c>
      <c r="AE1535" s="196">
        <f t="shared" si="244"/>
        <v>0</v>
      </c>
      <c r="AF1535" s="2">
        <f t="shared" si="245"/>
        <v>0</v>
      </c>
      <c r="AG1535" s="2">
        <f t="shared" si="246"/>
        <v>0</v>
      </c>
    </row>
    <row r="1536" spans="1:33">
      <c r="A1536" s="20" t="s">
        <v>18755</v>
      </c>
      <c r="B1536" s="150"/>
      <c r="C1536" s="21" t="s">
        <v>18476</v>
      </c>
      <c r="D1536" s="109" t="s">
        <v>18860</v>
      </c>
      <c r="E1536" s="109" t="s">
        <v>18861</v>
      </c>
      <c r="F1536" s="391" t="s">
        <v>18542</v>
      </c>
      <c r="G1536" s="14" t="s">
        <v>18862</v>
      </c>
      <c r="H1536" s="23"/>
      <c r="I1536" s="23"/>
      <c r="J1536" s="23"/>
      <c r="K1536" s="23"/>
      <c r="L1536" s="375" t="s">
        <v>7787</v>
      </c>
      <c r="M1536" s="351"/>
      <c r="N1536" s="267">
        <f t="shared" si="247"/>
        <v>0</v>
      </c>
      <c r="O1536" s="268">
        <f t="shared" si="248"/>
        <v>0</v>
      </c>
      <c r="P1536" s="239"/>
      <c r="Q1536" s="239"/>
      <c r="R1536" s="239"/>
      <c r="S1536" s="239"/>
      <c r="T1536" s="239"/>
      <c r="U1536" s="240"/>
      <c r="V1536" s="240"/>
      <c r="W1536" s="240"/>
      <c r="X1536" s="278"/>
      <c r="Y1536" s="237"/>
      <c r="Z1536" s="237"/>
      <c r="AA1536" s="279"/>
      <c r="AB1536" s="238"/>
      <c r="AC1536" s="196">
        <f t="shared" si="242"/>
        <v>0</v>
      </c>
      <c r="AD1536" s="196">
        <f t="shared" si="243"/>
        <v>0</v>
      </c>
      <c r="AE1536" s="196">
        <f t="shared" si="244"/>
        <v>0</v>
      </c>
      <c r="AF1536" s="2">
        <f t="shared" si="245"/>
        <v>0</v>
      </c>
      <c r="AG1536" s="2">
        <f t="shared" si="246"/>
        <v>0</v>
      </c>
    </row>
    <row r="1537" spans="1:33">
      <c r="A1537" s="20" t="s">
        <v>18524</v>
      </c>
      <c r="B1537" s="150"/>
      <c r="C1537" s="21" t="s">
        <v>18635</v>
      </c>
      <c r="D1537" s="109" t="s">
        <v>3137</v>
      </c>
      <c r="E1537" s="109"/>
      <c r="F1537" s="391" t="s">
        <v>18636</v>
      </c>
      <c r="G1537" s="14" t="s">
        <v>14782</v>
      </c>
      <c r="H1537" s="23" t="s">
        <v>13942</v>
      </c>
      <c r="I1537" s="23" t="s">
        <v>22137</v>
      </c>
      <c r="J1537" s="23"/>
      <c r="K1537" s="23"/>
      <c r="L1537" s="375" t="s">
        <v>7787</v>
      </c>
      <c r="M1537" s="351" t="s">
        <v>7787</v>
      </c>
      <c r="N1537" s="267">
        <f t="shared" si="247"/>
        <v>0</v>
      </c>
      <c r="O1537" s="268">
        <f t="shared" si="248"/>
        <v>1350</v>
      </c>
      <c r="P1537" s="240"/>
      <c r="Q1537" s="239"/>
      <c r="R1537" s="239"/>
      <c r="S1537" s="239"/>
      <c r="T1537" s="239"/>
      <c r="U1537" s="240">
        <f>2400-1100+3050-1500-1500</f>
        <v>1350</v>
      </c>
      <c r="V1537" s="240"/>
      <c r="W1537" s="240"/>
      <c r="X1537" s="278"/>
      <c r="Y1537" s="237"/>
      <c r="Z1537" s="237"/>
      <c r="AA1537" s="279"/>
      <c r="AB1537" s="238" t="s">
        <v>24867</v>
      </c>
      <c r="AC1537" s="196">
        <f t="shared" si="242"/>
        <v>1350</v>
      </c>
      <c r="AD1537" s="196">
        <f t="shared" si="243"/>
        <v>1350</v>
      </c>
      <c r="AE1537" s="196">
        <f t="shared" si="244"/>
        <v>0</v>
      </c>
      <c r="AF1537" s="2">
        <f t="shared" si="245"/>
        <v>1350</v>
      </c>
      <c r="AG1537" s="2">
        <f t="shared" si="246"/>
        <v>0</v>
      </c>
    </row>
    <row r="1538" spans="1:33">
      <c r="A1538" s="20" t="s">
        <v>1844</v>
      </c>
      <c r="B1538" s="150"/>
      <c r="C1538" s="21" t="s">
        <v>4055</v>
      </c>
      <c r="D1538" s="109" t="s">
        <v>13481</v>
      </c>
      <c r="E1538" s="109" t="s">
        <v>13482</v>
      </c>
      <c r="F1538" s="391" t="s">
        <v>15051</v>
      </c>
      <c r="G1538" s="23"/>
      <c r="H1538" s="23"/>
      <c r="I1538" s="23"/>
      <c r="J1538" s="23"/>
      <c r="K1538" s="23"/>
      <c r="L1538" s="350"/>
      <c r="M1538" s="351"/>
      <c r="N1538" s="267">
        <f t="shared" si="247"/>
        <v>0</v>
      </c>
      <c r="O1538" s="268">
        <f t="shared" si="248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2"/>
        <v>0</v>
      </c>
      <c r="AD1538" s="196">
        <f t="shared" si="243"/>
        <v>0</v>
      </c>
      <c r="AE1538" s="196">
        <f t="shared" si="244"/>
        <v>0</v>
      </c>
      <c r="AF1538" s="2">
        <f t="shared" si="245"/>
        <v>0</v>
      </c>
      <c r="AG1538" s="2">
        <f t="shared" si="246"/>
        <v>0</v>
      </c>
    </row>
    <row r="1539" spans="1:33">
      <c r="A1539" s="20" t="s">
        <v>1842</v>
      </c>
      <c r="B1539" s="150"/>
      <c r="C1539" s="21" t="s">
        <v>15052</v>
      </c>
      <c r="D1539" s="109" t="s">
        <v>13386</v>
      </c>
      <c r="E1539" s="109" t="s">
        <v>13312</v>
      </c>
      <c r="F1539" s="391" t="s">
        <v>15053</v>
      </c>
      <c r="G1539" s="23"/>
      <c r="H1539" s="23"/>
      <c r="I1539" s="23"/>
      <c r="J1539" s="23"/>
      <c r="K1539" s="23"/>
      <c r="L1539" s="350"/>
      <c r="M1539" s="351"/>
      <c r="N1539" s="267">
        <f t="shared" si="247"/>
        <v>0</v>
      </c>
      <c r="O1539" s="268">
        <f t="shared" si="248"/>
        <v>0</v>
      </c>
      <c r="P1539" s="239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2"/>
        <v>0</v>
      </c>
      <c r="AD1539" s="196">
        <f t="shared" si="243"/>
        <v>0</v>
      </c>
      <c r="AE1539" s="196">
        <f t="shared" si="244"/>
        <v>0</v>
      </c>
      <c r="AF1539" s="2">
        <f t="shared" si="245"/>
        <v>0</v>
      </c>
      <c r="AG1539" s="2">
        <f t="shared" si="246"/>
        <v>0</v>
      </c>
    </row>
    <row r="1540" spans="1:33">
      <c r="A1540" s="20" t="s">
        <v>1843</v>
      </c>
      <c r="B1540" s="150"/>
      <c r="C1540" s="21" t="s">
        <v>15052</v>
      </c>
      <c r="D1540" s="109" t="s">
        <v>13319</v>
      </c>
      <c r="E1540" s="109"/>
      <c r="F1540" s="391" t="s">
        <v>15054</v>
      </c>
      <c r="G1540" s="23" t="s">
        <v>14545</v>
      </c>
      <c r="H1540" s="23"/>
      <c r="I1540" s="23"/>
      <c r="J1540" s="23"/>
      <c r="K1540" s="23"/>
      <c r="L1540" s="375" t="s">
        <v>7787</v>
      </c>
      <c r="M1540" s="351" t="s">
        <v>7787</v>
      </c>
      <c r="N1540" s="267">
        <f t="shared" si="247"/>
        <v>0</v>
      </c>
      <c r="O1540" s="268">
        <f t="shared" si="248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2"/>
        <v>0</v>
      </c>
      <c r="AD1540" s="196">
        <f t="shared" si="243"/>
        <v>0</v>
      </c>
      <c r="AE1540" s="196">
        <f t="shared" si="244"/>
        <v>0</v>
      </c>
      <c r="AF1540" s="2">
        <f t="shared" si="245"/>
        <v>0</v>
      </c>
      <c r="AG1540" s="2">
        <f t="shared" si="246"/>
        <v>0</v>
      </c>
    </row>
    <row r="1541" spans="1:33">
      <c r="A1541" s="20" t="s">
        <v>18331</v>
      </c>
      <c r="B1541" s="150"/>
      <c r="C1541" s="21" t="s">
        <v>18340</v>
      </c>
      <c r="D1541" s="109" t="s">
        <v>7761</v>
      </c>
      <c r="E1541" s="109"/>
      <c r="F1541" s="391" t="s">
        <v>18414</v>
      </c>
      <c r="G1541" s="23" t="s">
        <v>15379</v>
      </c>
      <c r="H1541" s="23"/>
      <c r="I1541" s="23"/>
      <c r="J1541" s="23"/>
      <c r="K1541" s="23"/>
      <c r="L1541" s="375" t="s">
        <v>7787</v>
      </c>
      <c r="M1541" s="351"/>
      <c r="N1541" s="267">
        <f t="shared" si="247"/>
        <v>0</v>
      </c>
      <c r="O1541" s="268">
        <f t="shared" si="248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2"/>
        <v>0</v>
      </c>
      <c r="AD1541" s="196">
        <f t="shared" si="243"/>
        <v>0</v>
      </c>
      <c r="AE1541" s="196">
        <f t="shared" si="244"/>
        <v>0</v>
      </c>
      <c r="AF1541" s="2">
        <f t="shared" si="245"/>
        <v>0</v>
      </c>
      <c r="AG1541" s="2">
        <f t="shared" si="246"/>
        <v>0</v>
      </c>
    </row>
    <row r="1542" spans="1:33">
      <c r="A1542" s="20" t="s">
        <v>18746</v>
      </c>
      <c r="B1542" s="150"/>
      <c r="C1542" s="21" t="s">
        <v>18743</v>
      </c>
      <c r="D1542" s="109" t="s">
        <v>3137</v>
      </c>
      <c r="E1542" s="109"/>
      <c r="F1542" s="391" t="s">
        <v>18760</v>
      </c>
      <c r="G1542" s="23" t="s">
        <v>18744</v>
      </c>
      <c r="H1542" s="23"/>
      <c r="I1542" s="23"/>
      <c r="J1542" s="23"/>
      <c r="K1542" s="23"/>
      <c r="L1542" s="375" t="s">
        <v>7787</v>
      </c>
      <c r="M1542" s="351"/>
      <c r="N1542" s="267">
        <f t="shared" si="247"/>
        <v>0</v>
      </c>
      <c r="O1542" s="268">
        <f t="shared" si="248"/>
        <v>0</v>
      </c>
      <c r="P1542" s="248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2"/>
        <v>0</v>
      </c>
      <c r="AD1542" s="196">
        <f t="shared" si="243"/>
        <v>0</v>
      </c>
      <c r="AE1542" s="196">
        <f t="shared" si="244"/>
        <v>0</v>
      </c>
      <c r="AF1542" s="2">
        <f t="shared" si="245"/>
        <v>0</v>
      </c>
      <c r="AG1542" s="2">
        <f t="shared" si="246"/>
        <v>0</v>
      </c>
    </row>
    <row r="1543" spans="1:33">
      <c r="A1543" s="20" t="s">
        <v>18756</v>
      </c>
      <c r="B1543" s="150"/>
      <c r="C1543" s="21" t="s">
        <v>18850</v>
      </c>
      <c r="D1543" s="109" t="s">
        <v>3137</v>
      </c>
      <c r="E1543" s="109"/>
      <c r="F1543" s="391" t="s">
        <v>18866</v>
      </c>
      <c r="G1543" s="23" t="s">
        <v>18867</v>
      </c>
      <c r="H1543" s="23"/>
      <c r="I1543" s="23"/>
      <c r="J1543" s="23"/>
      <c r="K1543" s="23"/>
      <c r="L1543" s="375" t="s">
        <v>7787</v>
      </c>
      <c r="M1543" s="351"/>
      <c r="N1543" s="267">
        <f t="shared" si="247"/>
        <v>0</v>
      </c>
      <c r="O1543" s="268">
        <f t="shared" si="248"/>
        <v>0</v>
      </c>
      <c r="P1543" s="23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2"/>
        <v>0</v>
      </c>
      <c r="AD1543" s="196">
        <f t="shared" si="243"/>
        <v>0</v>
      </c>
      <c r="AE1543" s="196">
        <f t="shared" si="244"/>
        <v>0</v>
      </c>
      <c r="AF1543" s="2">
        <f t="shared" si="245"/>
        <v>0</v>
      </c>
      <c r="AG1543" s="2">
        <f t="shared" si="246"/>
        <v>0</v>
      </c>
    </row>
    <row r="1544" spans="1:33">
      <c r="A1544" s="20" t="s">
        <v>18906</v>
      </c>
      <c r="B1544" s="150"/>
      <c r="C1544" s="21" t="s">
        <v>18965</v>
      </c>
      <c r="D1544" s="109" t="s">
        <v>3137</v>
      </c>
      <c r="E1544" s="109"/>
      <c r="F1544" s="391" t="s">
        <v>19115</v>
      </c>
      <c r="G1544" s="23" t="s">
        <v>13970</v>
      </c>
      <c r="H1544" s="23"/>
      <c r="I1544" s="23"/>
      <c r="J1544" s="23"/>
      <c r="K1544" s="23"/>
      <c r="L1544" s="375" t="s">
        <v>7787</v>
      </c>
      <c r="M1544" s="351" t="s">
        <v>7787</v>
      </c>
      <c r="N1544" s="267">
        <f t="shared" si="247"/>
        <v>0</v>
      </c>
      <c r="O1544" s="268">
        <f t="shared" si="248"/>
        <v>0</v>
      </c>
      <c r="P1544" s="249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2"/>
        <v>0</v>
      </c>
      <c r="AD1544" s="196">
        <f t="shared" si="243"/>
        <v>0</v>
      </c>
      <c r="AE1544" s="196">
        <f t="shared" si="244"/>
        <v>0</v>
      </c>
      <c r="AF1544" s="2">
        <f t="shared" si="245"/>
        <v>0</v>
      </c>
      <c r="AG1544" s="2">
        <f t="shared" si="246"/>
        <v>0</v>
      </c>
    </row>
    <row r="1545" spans="1:33">
      <c r="A1545" s="20" t="s">
        <v>18907</v>
      </c>
      <c r="B1545" s="150"/>
      <c r="C1545" s="21" t="s">
        <v>18960</v>
      </c>
      <c r="D1545" s="109" t="s">
        <v>3137</v>
      </c>
      <c r="E1545" s="109" t="s">
        <v>24700</v>
      </c>
      <c r="F1545" s="213" t="s">
        <v>19116</v>
      </c>
      <c r="G1545" s="23" t="s">
        <v>18961</v>
      </c>
      <c r="H1545" s="23" t="s">
        <v>13353</v>
      </c>
      <c r="I1545" s="23"/>
      <c r="J1545" s="23"/>
      <c r="K1545" s="23"/>
      <c r="L1545" s="375"/>
      <c r="M1545" s="351" t="s">
        <v>7787</v>
      </c>
      <c r="N1545" s="267">
        <f t="shared" si="247"/>
        <v>0</v>
      </c>
      <c r="O1545" s="268">
        <f t="shared" si="248"/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si="242"/>
        <v>0</v>
      </c>
      <c r="AD1545" s="196">
        <f t="shared" si="243"/>
        <v>0</v>
      </c>
      <c r="AE1545" s="196">
        <f t="shared" si="244"/>
        <v>0</v>
      </c>
      <c r="AF1545" s="2">
        <f t="shared" si="245"/>
        <v>0</v>
      </c>
      <c r="AG1545" s="2">
        <f t="shared" si="246"/>
        <v>0</v>
      </c>
    </row>
    <row r="1546" spans="1:33">
      <c r="A1546" s="20" t="s">
        <v>25434</v>
      </c>
      <c r="B1546" s="150"/>
      <c r="C1546" s="21" t="s">
        <v>24701</v>
      </c>
      <c r="D1546" s="109" t="s">
        <v>4070</v>
      </c>
      <c r="E1546" s="109" t="s">
        <v>24703</v>
      </c>
      <c r="F1546" s="213" t="s">
        <v>24702</v>
      </c>
      <c r="G1546" s="23" t="s">
        <v>24699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49">SUM(L1546:M1546)</f>
        <v>0</v>
      </c>
      <c r="O1546" s="268">
        <f t="shared" ref="O1546" si="250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ref="AC1546:AC1609" si="251">SUM(P1546:AA1546)</f>
        <v>0</v>
      </c>
      <c r="AD1546" s="196">
        <f t="shared" ref="AD1546:AD1609" si="252">SUM(P1546:AB1546)</f>
        <v>0</v>
      </c>
      <c r="AE1546" s="196">
        <f t="shared" ref="AE1546:AE1609" si="253">SUM(AC1546-AD1546)</f>
        <v>0</v>
      </c>
      <c r="AF1546" s="2">
        <f t="shared" ref="AF1546:AF1609" si="254">+AC1546</f>
        <v>0</v>
      </c>
      <c r="AG1546" s="2">
        <f t="shared" ref="AG1546:AG1609" si="255">+AC1546-AF1546</f>
        <v>0</v>
      </c>
    </row>
    <row r="1547" spans="1:33">
      <c r="A1547" s="20" t="s">
        <v>25435</v>
      </c>
      <c r="B1547" s="150"/>
      <c r="C1547" s="21" t="s">
        <v>24701</v>
      </c>
      <c r="D1547" s="109" t="s">
        <v>4070</v>
      </c>
      <c r="E1547" s="109" t="s">
        <v>24748</v>
      </c>
      <c r="F1547" s="213" t="s">
        <v>24702</v>
      </c>
      <c r="G1547" s="23" t="s">
        <v>24409</v>
      </c>
      <c r="H1547" s="23"/>
      <c r="I1547" s="23"/>
      <c r="J1547" s="23"/>
      <c r="K1547" s="23"/>
      <c r="L1547" s="375" t="s">
        <v>7787</v>
      </c>
      <c r="M1547" s="351" t="s">
        <v>45</v>
      </c>
      <c r="N1547" s="267">
        <f t="shared" ref="N1547" si="256">SUM(L1547:M1547)</f>
        <v>0</v>
      </c>
      <c r="O1547" s="268">
        <f t="shared" ref="O1547" si="257">SUM(P1547:Z1547)</f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51"/>
        <v>0</v>
      </c>
      <c r="AD1547" s="196">
        <f t="shared" si="252"/>
        <v>0</v>
      </c>
      <c r="AE1547" s="196">
        <f t="shared" si="253"/>
        <v>0</v>
      </c>
      <c r="AF1547" s="2">
        <f t="shared" si="254"/>
        <v>0</v>
      </c>
      <c r="AG1547" s="2">
        <f t="shared" si="255"/>
        <v>0</v>
      </c>
    </row>
    <row r="1548" spans="1:33">
      <c r="A1548" s="20" t="s">
        <v>18908</v>
      </c>
      <c r="B1548" s="150"/>
      <c r="C1548" s="21" t="s">
        <v>18982</v>
      </c>
      <c r="D1548" s="109" t="s">
        <v>18983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 t="s">
        <v>7787</v>
      </c>
      <c r="N1548" s="267">
        <f t="shared" si="247"/>
        <v>0</v>
      </c>
      <c r="O1548" s="268">
        <f t="shared" si="248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51"/>
        <v>0</v>
      </c>
      <c r="AD1548" s="196">
        <f t="shared" si="252"/>
        <v>0</v>
      </c>
      <c r="AE1548" s="196">
        <f t="shared" si="253"/>
        <v>0</v>
      </c>
      <c r="AF1548" s="2">
        <f t="shared" si="254"/>
        <v>0</v>
      </c>
      <c r="AG1548" s="2">
        <f t="shared" si="255"/>
        <v>0</v>
      </c>
    </row>
    <row r="1549" spans="1:33">
      <c r="A1549" s="20" t="s">
        <v>19902</v>
      </c>
      <c r="B1549" s="150"/>
      <c r="C1549" s="21" t="s">
        <v>18982</v>
      </c>
      <c r="D1549" s="109" t="s">
        <v>8376</v>
      </c>
      <c r="E1549" s="109"/>
      <c r="F1549" s="391" t="s">
        <v>19034</v>
      </c>
      <c r="G1549" s="23" t="s">
        <v>18870</v>
      </c>
      <c r="H1549" s="23"/>
      <c r="I1549" s="23"/>
      <c r="J1549" s="23"/>
      <c r="K1549" s="23"/>
      <c r="L1549" s="375" t="s">
        <v>7787</v>
      </c>
      <c r="M1549" s="351"/>
      <c r="N1549" s="267">
        <f t="shared" si="247"/>
        <v>0</v>
      </c>
      <c r="O1549" s="268">
        <f t="shared" si="248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51"/>
        <v>0</v>
      </c>
      <c r="AD1549" s="196">
        <f t="shared" si="252"/>
        <v>0</v>
      </c>
      <c r="AE1549" s="196">
        <f t="shared" si="253"/>
        <v>0</v>
      </c>
      <c r="AF1549" s="2">
        <f t="shared" si="254"/>
        <v>0</v>
      </c>
      <c r="AG1549" s="2">
        <f t="shared" si="255"/>
        <v>0</v>
      </c>
    </row>
    <row r="1550" spans="1:33">
      <c r="A1550" s="20" t="s">
        <v>18909</v>
      </c>
      <c r="B1550" s="150"/>
      <c r="C1550" s="21" t="s">
        <v>18962</v>
      </c>
      <c r="D1550" s="109" t="s">
        <v>3137</v>
      </c>
      <c r="E1550" s="109"/>
      <c r="F1550" s="391" t="s">
        <v>19117</v>
      </c>
      <c r="G1550" s="23" t="s">
        <v>18963</v>
      </c>
      <c r="H1550" s="23"/>
      <c r="I1550" s="23"/>
      <c r="J1550" s="23"/>
      <c r="K1550" s="23"/>
      <c r="L1550" s="375" t="s">
        <v>7787</v>
      </c>
      <c r="M1550" s="351"/>
      <c r="N1550" s="267">
        <f t="shared" si="247"/>
        <v>0</v>
      </c>
      <c r="O1550" s="268">
        <f t="shared" si="248"/>
        <v>0</v>
      </c>
      <c r="P1550" s="248"/>
      <c r="Q1550" s="239"/>
      <c r="R1550" s="239"/>
      <c r="S1550" s="239"/>
      <c r="T1550" s="239"/>
      <c r="U1550" s="240"/>
      <c r="V1550" s="240"/>
      <c r="W1550" s="240"/>
      <c r="X1550" s="278"/>
      <c r="Y1550" s="237"/>
      <c r="Z1550" s="237"/>
      <c r="AA1550" s="279"/>
      <c r="AB1550" s="238"/>
      <c r="AC1550" s="196">
        <f t="shared" si="251"/>
        <v>0</v>
      </c>
      <c r="AD1550" s="196">
        <f t="shared" si="252"/>
        <v>0</v>
      </c>
      <c r="AE1550" s="196">
        <f t="shared" si="253"/>
        <v>0</v>
      </c>
      <c r="AF1550" s="2">
        <f t="shared" si="254"/>
        <v>0</v>
      </c>
      <c r="AG1550" s="2">
        <f t="shared" si="255"/>
        <v>0</v>
      </c>
    </row>
    <row r="1551" spans="1:33">
      <c r="A1551" s="20" t="s">
        <v>19204</v>
      </c>
      <c r="B1551" s="150"/>
      <c r="C1551" s="21" t="s">
        <v>19189</v>
      </c>
      <c r="D1551" s="109" t="s">
        <v>3137</v>
      </c>
      <c r="E1551" s="109"/>
      <c r="F1551" s="391" t="s">
        <v>19190</v>
      </c>
      <c r="G1551" s="23" t="s">
        <v>14782</v>
      </c>
      <c r="H1551" s="23" t="s">
        <v>13942</v>
      </c>
      <c r="I1551" s="23" t="s">
        <v>14533</v>
      </c>
      <c r="J1551" s="23"/>
      <c r="K1551" s="23"/>
      <c r="L1551" s="375" t="s">
        <v>45</v>
      </c>
      <c r="M1551" s="351" t="s">
        <v>45</v>
      </c>
      <c r="N1551" s="267">
        <f t="shared" si="247"/>
        <v>0</v>
      </c>
      <c r="O1551" s="268">
        <f t="shared" si="248"/>
        <v>200</v>
      </c>
      <c r="P1551" s="248"/>
      <c r="Q1551" s="239"/>
      <c r="R1551" s="239"/>
      <c r="S1551" s="239"/>
      <c r="T1551" s="239"/>
      <c r="U1551" s="240">
        <f>500-300</f>
        <v>200</v>
      </c>
      <c r="V1551" s="240"/>
      <c r="W1551" s="240"/>
      <c r="X1551" s="278"/>
      <c r="Y1551" s="237"/>
      <c r="Z1551" s="237"/>
      <c r="AA1551" s="279"/>
      <c r="AB1551" s="238" t="s">
        <v>26472</v>
      </c>
      <c r="AC1551" s="196">
        <f t="shared" si="251"/>
        <v>200</v>
      </c>
      <c r="AD1551" s="196">
        <f t="shared" si="252"/>
        <v>200</v>
      </c>
      <c r="AE1551" s="196">
        <f t="shared" si="253"/>
        <v>0</v>
      </c>
      <c r="AF1551" s="2">
        <f t="shared" si="254"/>
        <v>200</v>
      </c>
      <c r="AG1551" s="2">
        <f t="shared" si="255"/>
        <v>0</v>
      </c>
    </row>
    <row r="1552" spans="1:33">
      <c r="A1552" s="20" t="s">
        <v>19209</v>
      </c>
      <c r="B1552" s="150"/>
      <c r="C1552" s="21" t="s">
        <v>19257</v>
      </c>
      <c r="D1552" s="109" t="s">
        <v>3137</v>
      </c>
      <c r="E1552" s="109"/>
      <c r="F1552" s="391" t="s">
        <v>19259</v>
      </c>
      <c r="G1552" s="23" t="s">
        <v>13970</v>
      </c>
      <c r="H1552" s="23"/>
      <c r="I1552" s="23"/>
      <c r="J1552" s="23"/>
      <c r="K1552" s="23"/>
      <c r="L1552" s="375" t="s">
        <v>7787</v>
      </c>
      <c r="M1552" s="351" t="s">
        <v>7787</v>
      </c>
      <c r="N1552" s="267">
        <f t="shared" si="247"/>
        <v>0</v>
      </c>
      <c r="O1552" s="268">
        <f t="shared" si="248"/>
        <v>0</v>
      </c>
      <c r="P1552" s="239"/>
      <c r="Q1552" s="239"/>
      <c r="R1552" s="239"/>
      <c r="S1552" s="239"/>
      <c r="T1552" s="239"/>
      <c r="U1552" s="240"/>
      <c r="V1552" s="240"/>
      <c r="W1552" s="240"/>
      <c r="X1552" s="278"/>
      <c r="Y1552" s="248">
        <f>2700+2700+2700+1350+1000-2700-2700-2700-1350-1000</f>
        <v>0</v>
      </c>
      <c r="Z1552" s="237"/>
      <c r="AA1552" s="279"/>
      <c r="AB1552" s="238"/>
      <c r="AC1552" s="196">
        <f t="shared" si="251"/>
        <v>0</v>
      </c>
      <c r="AD1552" s="196">
        <f t="shared" si="252"/>
        <v>0</v>
      </c>
      <c r="AE1552" s="196">
        <f t="shared" si="253"/>
        <v>0</v>
      </c>
      <c r="AF1552" s="2">
        <f t="shared" si="254"/>
        <v>0</v>
      </c>
      <c r="AG1552" s="2">
        <f t="shared" si="255"/>
        <v>0</v>
      </c>
    </row>
    <row r="1553" spans="1:33">
      <c r="A1553" s="20" t="s">
        <v>19903</v>
      </c>
      <c r="B1553" s="150"/>
      <c r="C1553" s="21" t="s">
        <v>19671</v>
      </c>
      <c r="D1553" s="109" t="s">
        <v>3137</v>
      </c>
      <c r="E1553" s="109"/>
      <c r="F1553" s="391" t="s">
        <v>19684</v>
      </c>
      <c r="G1553" s="23" t="s">
        <v>19672</v>
      </c>
      <c r="H1553" s="23"/>
      <c r="I1553" s="23"/>
      <c r="J1553" s="23"/>
      <c r="K1553" s="23"/>
      <c r="L1553" s="375"/>
      <c r="M1553" s="351"/>
      <c r="N1553" s="267">
        <f t="shared" si="247"/>
        <v>0</v>
      </c>
      <c r="O1553" s="268">
        <f t="shared" si="248"/>
        <v>0</v>
      </c>
      <c r="P1553" s="248"/>
      <c r="Q1553" s="248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/>
      <c r="AC1553" s="196">
        <f t="shared" si="251"/>
        <v>0</v>
      </c>
      <c r="AD1553" s="196">
        <f t="shared" si="252"/>
        <v>0</v>
      </c>
      <c r="AE1553" s="196">
        <f t="shared" si="253"/>
        <v>0</v>
      </c>
      <c r="AF1553" s="2">
        <f t="shared" si="254"/>
        <v>0</v>
      </c>
      <c r="AG1553" s="2">
        <f t="shared" si="255"/>
        <v>0</v>
      </c>
    </row>
    <row r="1554" spans="1:33">
      <c r="A1554" s="20" t="s">
        <v>19904</v>
      </c>
      <c r="B1554" s="150"/>
      <c r="C1554" s="21" t="s">
        <v>19586</v>
      </c>
      <c r="D1554" s="109" t="s">
        <v>7761</v>
      </c>
      <c r="E1554" s="109"/>
      <c r="F1554" s="391" t="s">
        <v>19667</v>
      </c>
      <c r="G1554" s="23" t="s">
        <v>15379</v>
      </c>
      <c r="H1554" s="23"/>
      <c r="I1554" s="23"/>
      <c r="J1554" s="23"/>
      <c r="K1554" s="23"/>
      <c r="L1554" s="375">
        <v>230</v>
      </c>
      <c r="M1554" s="351" t="s">
        <v>45</v>
      </c>
      <c r="N1554" s="267">
        <f t="shared" si="247"/>
        <v>230</v>
      </c>
      <c r="O1554" s="268">
        <f t="shared" si="248"/>
        <v>50</v>
      </c>
      <c r="P1554" s="248">
        <f>300-250</f>
        <v>50</v>
      </c>
      <c r="Q1554" s="239"/>
      <c r="R1554" s="239"/>
      <c r="S1554" s="239"/>
      <c r="T1554" s="239"/>
      <c r="U1554" s="240"/>
      <c r="V1554" s="240"/>
      <c r="W1554" s="240"/>
      <c r="X1554" s="278"/>
      <c r="Y1554" s="248"/>
      <c r="Z1554" s="237"/>
      <c r="AA1554" s="279"/>
      <c r="AB1554" s="238" t="s">
        <v>25533</v>
      </c>
      <c r="AC1554" s="196">
        <f t="shared" si="251"/>
        <v>50</v>
      </c>
      <c r="AD1554" s="196">
        <f t="shared" si="252"/>
        <v>50</v>
      </c>
      <c r="AE1554" s="196">
        <f t="shared" si="253"/>
        <v>0</v>
      </c>
      <c r="AF1554" s="2">
        <f t="shared" si="254"/>
        <v>50</v>
      </c>
      <c r="AG1554" s="2">
        <f t="shared" si="255"/>
        <v>0</v>
      </c>
    </row>
    <row r="1555" spans="1:33">
      <c r="A1555" s="20" t="s">
        <v>19905</v>
      </c>
      <c r="B1555" s="150"/>
      <c r="C1555" s="21" t="s">
        <v>19365</v>
      </c>
      <c r="D1555" s="109" t="s">
        <v>19366</v>
      </c>
      <c r="E1555" s="109" t="s">
        <v>3930</v>
      </c>
      <c r="F1555" s="391" t="s">
        <v>19418</v>
      </c>
      <c r="G1555" s="23" t="s">
        <v>19367</v>
      </c>
      <c r="H1555" s="23"/>
      <c r="I1555" s="23"/>
      <c r="J1555" s="23"/>
      <c r="K1555" s="23"/>
      <c r="L1555" s="375" t="s">
        <v>7787</v>
      </c>
      <c r="M1555" s="351"/>
      <c r="N1555" s="267">
        <f t="shared" si="247"/>
        <v>0</v>
      </c>
      <c r="O1555" s="268">
        <f t="shared" si="248"/>
        <v>0</v>
      </c>
      <c r="P1555" s="248"/>
      <c r="Q1555" s="239"/>
      <c r="R1555" s="239"/>
      <c r="S1555" s="240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51"/>
        <v>0</v>
      </c>
      <c r="AD1555" s="196">
        <f t="shared" si="252"/>
        <v>0</v>
      </c>
      <c r="AE1555" s="196">
        <f t="shared" si="253"/>
        <v>0</v>
      </c>
      <c r="AF1555" s="2">
        <f t="shared" si="254"/>
        <v>0</v>
      </c>
      <c r="AG1555" s="2">
        <f t="shared" si="255"/>
        <v>0</v>
      </c>
    </row>
    <row r="1556" spans="1:33">
      <c r="A1556" s="20" t="s">
        <v>20207</v>
      </c>
      <c r="B1556" s="150"/>
      <c r="C1556" s="21" t="s">
        <v>19365</v>
      </c>
      <c r="D1556" s="109" t="s">
        <v>20246</v>
      </c>
      <c r="E1556" s="109" t="s">
        <v>20247</v>
      </c>
      <c r="F1556" s="391" t="s">
        <v>20269</v>
      </c>
      <c r="G1556" s="23" t="s">
        <v>13975</v>
      </c>
      <c r="H1556" s="23"/>
      <c r="I1556" s="23"/>
      <c r="J1556" s="23"/>
      <c r="K1556" s="23"/>
      <c r="L1556" s="375" t="s">
        <v>7787</v>
      </c>
      <c r="M1556" s="351"/>
      <c r="N1556" s="267">
        <f t="shared" si="247"/>
        <v>0</v>
      </c>
      <c r="O1556" s="268">
        <f t="shared" si="248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51"/>
        <v>0</v>
      </c>
      <c r="AD1556" s="196">
        <f t="shared" si="252"/>
        <v>0</v>
      </c>
      <c r="AE1556" s="196">
        <f t="shared" si="253"/>
        <v>0</v>
      </c>
      <c r="AF1556" s="2">
        <f t="shared" si="254"/>
        <v>0</v>
      </c>
      <c r="AG1556" s="2">
        <f t="shared" si="255"/>
        <v>0</v>
      </c>
    </row>
    <row r="1557" spans="1:33">
      <c r="A1557" s="20" t="s">
        <v>19906</v>
      </c>
      <c r="B1557" s="150"/>
      <c r="C1557" s="21" t="s">
        <v>19708</v>
      </c>
      <c r="D1557" s="109" t="s">
        <v>8376</v>
      </c>
      <c r="E1557" s="109"/>
      <c r="F1557" s="391" t="s">
        <v>19729</v>
      </c>
      <c r="G1557" s="23" t="s">
        <v>19709</v>
      </c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7"/>
        <v>0</v>
      </c>
      <c r="O1557" s="268">
        <f t="shared" si="248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51"/>
        <v>0</v>
      </c>
      <c r="AD1557" s="196">
        <f t="shared" si="252"/>
        <v>0</v>
      </c>
      <c r="AE1557" s="196">
        <f t="shared" si="253"/>
        <v>0</v>
      </c>
      <c r="AF1557" s="2">
        <f t="shared" si="254"/>
        <v>0</v>
      </c>
      <c r="AG1557" s="2">
        <f t="shared" si="255"/>
        <v>0</v>
      </c>
    </row>
    <row r="1558" spans="1:33">
      <c r="A1558" s="20" t="s">
        <v>21778</v>
      </c>
      <c r="B1558" s="150"/>
      <c r="C1558" s="21" t="s">
        <v>19708</v>
      </c>
      <c r="D1558" s="109" t="s">
        <v>3137</v>
      </c>
      <c r="E1558" s="109"/>
      <c r="F1558" s="391" t="s">
        <v>19729</v>
      </c>
      <c r="G1558" s="23"/>
      <c r="H1558" s="23"/>
      <c r="I1558" s="23"/>
      <c r="J1558" s="23"/>
      <c r="K1558" s="23"/>
      <c r="L1558" s="375" t="s">
        <v>7787</v>
      </c>
      <c r="M1558" s="351" t="s">
        <v>7787</v>
      </c>
      <c r="N1558" s="267">
        <f t="shared" si="247"/>
        <v>0</v>
      </c>
      <c r="O1558" s="268">
        <f t="shared" si="248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51"/>
        <v>0</v>
      </c>
      <c r="AD1558" s="196">
        <f t="shared" si="252"/>
        <v>0</v>
      </c>
      <c r="AE1558" s="196">
        <f t="shared" si="253"/>
        <v>0</v>
      </c>
      <c r="AF1558" s="2">
        <f t="shared" si="254"/>
        <v>0</v>
      </c>
      <c r="AG1558" s="2">
        <f t="shared" si="255"/>
        <v>0</v>
      </c>
    </row>
    <row r="1559" spans="1:33">
      <c r="A1559" s="20" t="s">
        <v>19907</v>
      </c>
      <c r="B1559" s="150"/>
      <c r="C1559" s="21" t="s">
        <v>19673</v>
      </c>
      <c r="D1559" s="109" t="s">
        <v>3137</v>
      </c>
      <c r="E1559" s="109"/>
      <c r="F1559" s="391" t="s">
        <v>19674</v>
      </c>
      <c r="G1559" s="23" t="s">
        <v>19672</v>
      </c>
      <c r="H1559" s="23" t="s">
        <v>17175</v>
      </c>
      <c r="I1559" s="23"/>
      <c r="J1559" s="23"/>
      <c r="K1559" s="23"/>
      <c r="L1559" s="375"/>
      <c r="M1559" s="351"/>
      <c r="N1559" s="267">
        <f t="shared" si="247"/>
        <v>0</v>
      </c>
      <c r="O1559" s="268">
        <f t="shared" si="248"/>
        <v>0</v>
      </c>
      <c r="P1559" s="248"/>
      <c r="Q1559" s="239"/>
      <c r="R1559" s="239"/>
      <c r="S1559" s="239"/>
      <c r="T1559" s="239"/>
      <c r="U1559" s="240"/>
      <c r="V1559" s="240"/>
      <c r="W1559" s="240"/>
      <c r="X1559" s="278"/>
      <c r="Y1559" s="237"/>
      <c r="Z1559" s="237"/>
      <c r="AA1559" s="279"/>
      <c r="AB1559" s="238"/>
      <c r="AC1559" s="196">
        <f t="shared" si="251"/>
        <v>0</v>
      </c>
      <c r="AD1559" s="196">
        <f t="shared" si="252"/>
        <v>0</v>
      </c>
      <c r="AE1559" s="196">
        <f t="shared" si="253"/>
        <v>0</v>
      </c>
      <c r="AF1559" s="2">
        <f t="shared" si="254"/>
        <v>0</v>
      </c>
      <c r="AG1559" s="2">
        <f t="shared" si="255"/>
        <v>0</v>
      </c>
    </row>
    <row r="1560" spans="1:33">
      <c r="A1560" s="20" t="s">
        <v>19908</v>
      </c>
      <c r="B1560" s="150"/>
      <c r="C1560" s="21" t="s">
        <v>19690</v>
      </c>
      <c r="D1560" s="109" t="s">
        <v>3137</v>
      </c>
      <c r="E1560" s="109"/>
      <c r="F1560" s="391" t="s">
        <v>19694</v>
      </c>
      <c r="G1560" s="23" t="s">
        <v>6133</v>
      </c>
      <c r="H1560" s="23" t="s">
        <v>19691</v>
      </c>
      <c r="I1560" s="23" t="s">
        <v>13934</v>
      </c>
      <c r="J1560" s="23" t="s">
        <v>13942</v>
      </c>
      <c r="K1560" s="23"/>
      <c r="L1560" s="375" t="s">
        <v>45</v>
      </c>
      <c r="M1560" s="351" t="s">
        <v>45</v>
      </c>
      <c r="N1560" s="267">
        <f t="shared" si="247"/>
        <v>0</v>
      </c>
      <c r="O1560" s="268">
        <f t="shared" si="248"/>
        <v>2150</v>
      </c>
      <c r="P1560" s="248"/>
      <c r="Q1560" s="239"/>
      <c r="R1560" s="239"/>
      <c r="S1560" s="239"/>
      <c r="T1560" s="239"/>
      <c r="U1560" s="240">
        <f>2400+3000+3000+1650-2900-3000-2000</f>
        <v>2150</v>
      </c>
      <c r="V1560" s="240"/>
      <c r="W1560" s="240"/>
      <c r="X1560" s="278"/>
      <c r="Y1560" s="237"/>
      <c r="Z1560" s="237"/>
      <c r="AA1560" s="279"/>
      <c r="AB1560" s="238" t="s">
        <v>26812</v>
      </c>
      <c r="AC1560" s="196">
        <f t="shared" si="251"/>
        <v>2150</v>
      </c>
      <c r="AD1560" s="196">
        <f t="shared" si="252"/>
        <v>2150</v>
      </c>
      <c r="AE1560" s="196">
        <f t="shared" si="253"/>
        <v>0</v>
      </c>
      <c r="AF1560" s="2">
        <f t="shared" si="254"/>
        <v>2150</v>
      </c>
      <c r="AG1560" s="2">
        <f t="shared" si="255"/>
        <v>0</v>
      </c>
    </row>
    <row r="1561" spans="1:33">
      <c r="A1561" s="20" t="s">
        <v>19909</v>
      </c>
      <c r="B1561" s="150"/>
      <c r="C1561" s="21" t="s">
        <v>19467</v>
      </c>
      <c r="D1561" s="109" t="s">
        <v>3137</v>
      </c>
      <c r="E1561" s="109" t="s">
        <v>19468</v>
      </c>
      <c r="F1561" s="391" t="s">
        <v>11714</v>
      </c>
      <c r="G1561" s="23" t="s">
        <v>6133</v>
      </c>
      <c r="H1561" s="23"/>
      <c r="I1561" s="23"/>
      <c r="J1561" s="23"/>
      <c r="K1561" s="23"/>
      <c r="L1561" s="375" t="s">
        <v>7787</v>
      </c>
      <c r="M1561" s="351" t="s">
        <v>7787</v>
      </c>
      <c r="N1561" s="267">
        <f t="shared" si="247"/>
        <v>0</v>
      </c>
      <c r="O1561" s="268">
        <f t="shared" si="248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51"/>
        <v>0</v>
      </c>
      <c r="AD1561" s="196">
        <f t="shared" si="252"/>
        <v>0</v>
      </c>
      <c r="AE1561" s="196">
        <f t="shared" si="253"/>
        <v>0</v>
      </c>
      <c r="AF1561" s="2">
        <f t="shared" si="254"/>
        <v>0</v>
      </c>
      <c r="AG1561" s="2">
        <f t="shared" si="255"/>
        <v>0</v>
      </c>
    </row>
    <row r="1562" spans="1:33">
      <c r="A1562" s="20" t="s">
        <v>19958</v>
      </c>
      <c r="B1562" s="150"/>
      <c r="C1562" s="21" t="s">
        <v>20019</v>
      </c>
      <c r="D1562" s="109" t="s">
        <v>3137</v>
      </c>
      <c r="E1562" s="109"/>
      <c r="F1562" s="391" t="s">
        <v>20027</v>
      </c>
      <c r="G1562" s="23" t="s">
        <v>20020</v>
      </c>
      <c r="H1562" s="23"/>
      <c r="I1562" s="23"/>
      <c r="J1562" s="23"/>
      <c r="K1562" s="23"/>
      <c r="L1562" s="375" t="s">
        <v>7787</v>
      </c>
      <c r="M1562" s="351"/>
      <c r="N1562" s="267">
        <f t="shared" si="247"/>
        <v>0</v>
      </c>
      <c r="O1562" s="268">
        <f t="shared" si="248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51"/>
        <v>0</v>
      </c>
      <c r="AD1562" s="196">
        <f t="shared" si="252"/>
        <v>0</v>
      </c>
      <c r="AE1562" s="196">
        <f t="shared" si="253"/>
        <v>0</v>
      </c>
      <c r="AF1562" s="2">
        <f t="shared" si="254"/>
        <v>0</v>
      </c>
      <c r="AG1562" s="2">
        <f t="shared" si="255"/>
        <v>0</v>
      </c>
    </row>
    <row r="1563" spans="1:33">
      <c r="A1563" s="20" t="s">
        <v>19910</v>
      </c>
      <c r="B1563" s="150"/>
      <c r="C1563" s="21" t="s">
        <v>19843</v>
      </c>
      <c r="D1563" s="109" t="s">
        <v>3137</v>
      </c>
      <c r="E1563" s="109"/>
      <c r="F1563" s="391" t="s">
        <v>19844</v>
      </c>
      <c r="G1563" s="23" t="s">
        <v>17836</v>
      </c>
      <c r="H1563" s="23" t="s">
        <v>13495</v>
      </c>
      <c r="I1563" s="23" t="s">
        <v>14398</v>
      </c>
      <c r="J1563" s="23"/>
      <c r="K1563" s="23"/>
      <c r="L1563" s="375" t="s">
        <v>7787</v>
      </c>
      <c r="M1563" s="351" t="s">
        <v>7787</v>
      </c>
      <c r="N1563" s="267">
        <f t="shared" si="247"/>
        <v>0</v>
      </c>
      <c r="O1563" s="268">
        <f t="shared" si="248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51"/>
        <v>0</v>
      </c>
      <c r="AD1563" s="196">
        <f t="shared" si="252"/>
        <v>0</v>
      </c>
      <c r="AE1563" s="196">
        <f t="shared" si="253"/>
        <v>0</v>
      </c>
      <c r="AF1563" s="2">
        <f t="shared" si="254"/>
        <v>0</v>
      </c>
      <c r="AG1563" s="2">
        <f t="shared" si="255"/>
        <v>0</v>
      </c>
    </row>
    <row r="1564" spans="1:33">
      <c r="A1564" s="20" t="s">
        <v>20067</v>
      </c>
      <c r="B1564" s="150"/>
      <c r="C1564" s="21" t="s">
        <v>20114</v>
      </c>
      <c r="D1564" s="109" t="s">
        <v>3137</v>
      </c>
      <c r="E1564" s="109"/>
      <c r="F1564" s="391" t="s">
        <v>20115</v>
      </c>
      <c r="G1564" s="23" t="s">
        <v>6133</v>
      </c>
      <c r="H1564" s="23"/>
      <c r="I1564" s="23"/>
      <c r="J1564" s="23"/>
      <c r="K1564" s="23"/>
      <c r="L1564" s="375" t="s">
        <v>7787</v>
      </c>
      <c r="M1564" s="351"/>
      <c r="N1564" s="267">
        <f t="shared" si="247"/>
        <v>0</v>
      </c>
      <c r="O1564" s="268">
        <f t="shared" si="248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51"/>
        <v>0</v>
      </c>
      <c r="AD1564" s="196">
        <f t="shared" si="252"/>
        <v>0</v>
      </c>
      <c r="AE1564" s="196">
        <f t="shared" si="253"/>
        <v>0</v>
      </c>
      <c r="AF1564" s="2">
        <f t="shared" si="254"/>
        <v>0</v>
      </c>
      <c r="AG1564" s="2">
        <f t="shared" si="255"/>
        <v>0</v>
      </c>
    </row>
    <row r="1565" spans="1:33">
      <c r="A1565" s="20" t="s">
        <v>20208</v>
      </c>
      <c r="B1565" s="150"/>
      <c r="C1565" s="21" t="s">
        <v>20114</v>
      </c>
      <c r="D1565" s="109" t="s">
        <v>20418</v>
      </c>
      <c r="E1565" s="109" t="s">
        <v>20419</v>
      </c>
      <c r="F1565" s="391" t="s">
        <v>20115</v>
      </c>
      <c r="G1565" s="23" t="s">
        <v>20420</v>
      </c>
      <c r="H1565" s="23"/>
      <c r="I1565" s="23"/>
      <c r="J1565" s="23"/>
      <c r="K1565" s="23"/>
      <c r="L1565" s="375" t="s">
        <v>7787</v>
      </c>
      <c r="M1565" s="351"/>
      <c r="N1565" s="267">
        <f t="shared" si="247"/>
        <v>0</v>
      </c>
      <c r="O1565" s="268">
        <f t="shared" si="248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51"/>
        <v>0</v>
      </c>
      <c r="AD1565" s="196">
        <f t="shared" si="252"/>
        <v>0</v>
      </c>
      <c r="AE1565" s="196">
        <f t="shared" si="253"/>
        <v>0</v>
      </c>
      <c r="AF1565" s="2">
        <f t="shared" si="254"/>
        <v>0</v>
      </c>
      <c r="AG1565" s="2">
        <f t="shared" si="255"/>
        <v>0</v>
      </c>
    </row>
    <row r="1566" spans="1:33">
      <c r="A1566" s="20" t="s">
        <v>20068</v>
      </c>
      <c r="B1566" s="150"/>
      <c r="C1566" s="21" t="s">
        <v>20088</v>
      </c>
      <c r="D1566" s="109" t="s">
        <v>3137</v>
      </c>
      <c r="E1566" s="109"/>
      <c r="F1566" s="391" t="s">
        <v>20111</v>
      </c>
      <c r="G1566" s="23" t="s">
        <v>13899</v>
      </c>
      <c r="H1566" s="23"/>
      <c r="I1566" s="23"/>
      <c r="J1566" s="23"/>
      <c r="K1566" s="23"/>
      <c r="L1566" s="375" t="s">
        <v>7787</v>
      </c>
      <c r="M1566" s="351"/>
      <c r="N1566" s="267">
        <f t="shared" si="247"/>
        <v>0</v>
      </c>
      <c r="O1566" s="268">
        <f t="shared" si="248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51"/>
        <v>0</v>
      </c>
      <c r="AD1566" s="196">
        <f t="shared" si="252"/>
        <v>0</v>
      </c>
      <c r="AE1566" s="196">
        <f t="shared" si="253"/>
        <v>0</v>
      </c>
      <c r="AF1566" s="2">
        <f t="shared" si="254"/>
        <v>0</v>
      </c>
      <c r="AG1566" s="2">
        <f t="shared" si="255"/>
        <v>0</v>
      </c>
    </row>
    <row r="1567" spans="1:33">
      <c r="A1567" s="20" t="s">
        <v>20209</v>
      </c>
      <c r="B1567" s="150"/>
      <c r="C1567" s="21" t="s">
        <v>20311</v>
      </c>
      <c r="D1567" s="109" t="s">
        <v>3137</v>
      </c>
      <c r="E1567" s="109"/>
      <c r="F1567" s="391" t="s">
        <v>20316</v>
      </c>
      <c r="G1567" s="23" t="s">
        <v>20312</v>
      </c>
      <c r="H1567" s="23"/>
      <c r="I1567" s="23"/>
      <c r="J1567" s="23"/>
      <c r="K1567" s="23"/>
      <c r="L1567" s="375" t="s">
        <v>7787</v>
      </c>
      <c r="M1567" s="351"/>
      <c r="N1567" s="267">
        <f t="shared" si="247"/>
        <v>0</v>
      </c>
      <c r="O1567" s="268">
        <f t="shared" si="248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51"/>
        <v>0</v>
      </c>
      <c r="AD1567" s="196">
        <f t="shared" si="252"/>
        <v>0</v>
      </c>
      <c r="AE1567" s="196">
        <f t="shared" si="253"/>
        <v>0</v>
      </c>
      <c r="AF1567" s="2">
        <f t="shared" si="254"/>
        <v>0</v>
      </c>
      <c r="AG1567" s="2">
        <f t="shared" si="255"/>
        <v>0</v>
      </c>
    </row>
    <row r="1568" spans="1:33">
      <c r="A1568" s="20" t="s">
        <v>20210</v>
      </c>
      <c r="B1568" s="150"/>
      <c r="C1568" s="21" t="s">
        <v>20284</v>
      </c>
      <c r="D1568" s="109" t="s">
        <v>3137</v>
      </c>
      <c r="E1568" s="109"/>
      <c r="F1568" s="391" t="s">
        <v>20286</v>
      </c>
      <c r="G1568" s="23" t="s">
        <v>17522</v>
      </c>
      <c r="H1568" s="23"/>
      <c r="I1568" s="23"/>
      <c r="J1568" s="23"/>
      <c r="K1568" s="23"/>
      <c r="L1568" s="375" t="s">
        <v>7787</v>
      </c>
      <c r="M1568" s="351" t="s">
        <v>7787</v>
      </c>
      <c r="N1568" s="267">
        <f t="shared" si="247"/>
        <v>0</v>
      </c>
      <c r="O1568" s="268">
        <f t="shared" si="248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51"/>
        <v>0</v>
      </c>
      <c r="AD1568" s="196">
        <f t="shared" si="252"/>
        <v>0</v>
      </c>
      <c r="AE1568" s="196">
        <f t="shared" si="253"/>
        <v>0</v>
      </c>
      <c r="AF1568" s="2">
        <f t="shared" si="254"/>
        <v>0</v>
      </c>
      <c r="AG1568" s="2">
        <f t="shared" si="255"/>
        <v>0</v>
      </c>
    </row>
    <row r="1569" spans="1:33">
      <c r="A1569" s="20" t="s">
        <v>20211</v>
      </c>
      <c r="B1569" s="150"/>
      <c r="C1569" s="21" t="s">
        <v>20282</v>
      </c>
      <c r="D1569" s="109" t="s">
        <v>3137</v>
      </c>
      <c r="E1569" s="109"/>
      <c r="F1569" s="391" t="s">
        <v>20285</v>
      </c>
      <c r="G1569" s="23" t="s">
        <v>17522</v>
      </c>
      <c r="H1569" s="23" t="s">
        <v>20406</v>
      </c>
      <c r="I1569" s="23" t="s">
        <v>13942</v>
      </c>
      <c r="J1569" s="23"/>
      <c r="K1569" s="23"/>
      <c r="L1569" s="375" t="s">
        <v>7787</v>
      </c>
      <c r="M1569" s="351"/>
      <c r="N1569" s="267">
        <f t="shared" si="247"/>
        <v>0</v>
      </c>
      <c r="O1569" s="268">
        <f t="shared" si="248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51"/>
        <v>0</v>
      </c>
      <c r="AD1569" s="196">
        <f t="shared" si="252"/>
        <v>0</v>
      </c>
      <c r="AE1569" s="196">
        <f t="shared" si="253"/>
        <v>0</v>
      </c>
      <c r="AF1569" s="2">
        <f t="shared" si="254"/>
        <v>0</v>
      </c>
      <c r="AG1569" s="2">
        <f t="shared" si="255"/>
        <v>0</v>
      </c>
    </row>
    <row r="1570" spans="1:33">
      <c r="A1570" s="20" t="s">
        <v>20519</v>
      </c>
      <c r="B1570" s="150"/>
      <c r="C1570" s="21" t="s">
        <v>20912</v>
      </c>
      <c r="D1570" s="109" t="s">
        <v>3137</v>
      </c>
      <c r="E1570" s="109" t="s">
        <v>20913</v>
      </c>
      <c r="F1570" s="391" t="s">
        <v>20915</v>
      </c>
      <c r="G1570" s="23" t="s">
        <v>13301</v>
      </c>
      <c r="H1570" s="23"/>
      <c r="I1570" s="23"/>
      <c r="J1570" s="23"/>
      <c r="K1570" s="23"/>
      <c r="L1570" s="375" t="s">
        <v>7787</v>
      </c>
      <c r="M1570" s="351"/>
      <c r="N1570" s="267">
        <f t="shared" si="247"/>
        <v>0</v>
      </c>
      <c r="O1570" s="268">
        <f t="shared" si="248"/>
        <v>0</v>
      </c>
      <c r="P1570" s="248"/>
      <c r="Q1570" s="239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51"/>
        <v>0</v>
      </c>
      <c r="AD1570" s="196">
        <f t="shared" si="252"/>
        <v>0</v>
      </c>
      <c r="AE1570" s="196">
        <f t="shared" si="253"/>
        <v>0</v>
      </c>
      <c r="AF1570" s="2">
        <f t="shared" si="254"/>
        <v>0</v>
      </c>
      <c r="AG1570" s="2">
        <f t="shared" si="255"/>
        <v>0</v>
      </c>
    </row>
    <row r="1571" spans="1:33">
      <c r="A1571" s="20" t="s">
        <v>20520</v>
      </c>
      <c r="B1571" s="150"/>
      <c r="C1571" s="21" t="s">
        <v>20975</v>
      </c>
      <c r="D1571" s="109" t="s">
        <v>3137</v>
      </c>
      <c r="E1571" s="109"/>
      <c r="F1571" s="391" t="s">
        <v>20978</v>
      </c>
      <c r="G1571" s="23" t="s">
        <v>20977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si="247"/>
        <v>0</v>
      </c>
      <c r="O1571" s="268">
        <f t="shared" si="248"/>
        <v>0</v>
      </c>
      <c r="P1571" s="248"/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/>
      <c r="AC1571" s="196">
        <f t="shared" si="251"/>
        <v>0</v>
      </c>
      <c r="AD1571" s="196">
        <f t="shared" si="252"/>
        <v>0</v>
      </c>
      <c r="AE1571" s="196">
        <f t="shared" si="253"/>
        <v>0</v>
      </c>
      <c r="AF1571" s="2">
        <f t="shared" si="254"/>
        <v>0</v>
      </c>
      <c r="AG1571" s="2">
        <f t="shared" si="255"/>
        <v>0</v>
      </c>
    </row>
    <row r="1572" spans="1:33">
      <c r="A1572" s="20" t="s">
        <v>26016</v>
      </c>
      <c r="B1572" s="150"/>
      <c r="C1572" s="21" t="s">
        <v>25891</v>
      </c>
      <c r="D1572" s="109" t="s">
        <v>4070</v>
      </c>
      <c r="E1572" s="109" t="s">
        <v>25887</v>
      </c>
      <c r="F1572" s="391" t="s">
        <v>25892</v>
      </c>
      <c r="G1572" s="23" t="s">
        <v>25893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11550</v>
      </c>
      <c r="P1572" s="248">
        <f>1000-950+10000-8700-1300+2000+2000+7500</f>
        <v>11550</v>
      </c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 t="s">
        <v>26558</v>
      </c>
      <c r="AC1572" s="196">
        <f t="shared" si="251"/>
        <v>11550</v>
      </c>
      <c r="AD1572" s="196">
        <f t="shared" si="252"/>
        <v>11550</v>
      </c>
      <c r="AE1572" s="196">
        <f t="shared" si="253"/>
        <v>0</v>
      </c>
      <c r="AF1572" s="2">
        <f t="shared" si="254"/>
        <v>11550</v>
      </c>
      <c r="AG1572" s="2">
        <f t="shared" si="255"/>
        <v>0</v>
      </c>
    </row>
    <row r="1573" spans="1:33">
      <c r="A1573" s="20" t="s">
        <v>26268</v>
      </c>
      <c r="B1573" s="150"/>
      <c r="C1573" s="21" t="s">
        <v>25891</v>
      </c>
      <c r="D1573" s="109" t="s">
        <v>4070</v>
      </c>
      <c r="E1573" s="109" t="s">
        <v>26299</v>
      </c>
      <c r="F1573" s="391" t="s">
        <v>25892</v>
      </c>
      <c r="G1573" s="23" t="s">
        <v>25893</v>
      </c>
      <c r="H1573" s="23"/>
      <c r="I1573" s="23"/>
      <c r="J1573" s="23"/>
      <c r="K1573" s="23"/>
      <c r="L1573" s="375" t="s">
        <v>7787</v>
      </c>
      <c r="M1573" s="351" t="s">
        <v>7787</v>
      </c>
      <c r="N1573" s="267">
        <f t="shared" ref="N1573" si="260">SUM(L1573:M1573)</f>
        <v>0</v>
      </c>
      <c r="O1573" s="268">
        <f t="shared" ref="O1573" si="261">SUM(P1573:Z1573)</f>
        <v>0</v>
      </c>
      <c r="P1573" s="248"/>
      <c r="Q1573" s="248"/>
      <c r="R1573" s="239"/>
      <c r="S1573" s="239"/>
      <c r="T1573" s="239"/>
      <c r="U1573" s="240"/>
      <c r="V1573" s="240"/>
      <c r="W1573" s="240"/>
      <c r="X1573" s="278"/>
      <c r="Y1573" s="237"/>
      <c r="Z1573" s="237"/>
      <c r="AA1573" s="279"/>
      <c r="AB1573" s="238"/>
      <c r="AC1573" s="196">
        <f t="shared" si="251"/>
        <v>0</v>
      </c>
      <c r="AD1573" s="196">
        <f t="shared" si="252"/>
        <v>0</v>
      </c>
      <c r="AE1573" s="196">
        <f t="shared" si="253"/>
        <v>0</v>
      </c>
      <c r="AF1573" s="2">
        <f t="shared" si="254"/>
        <v>0</v>
      </c>
      <c r="AG1573" s="2">
        <f t="shared" si="255"/>
        <v>0</v>
      </c>
    </row>
    <row r="1574" spans="1:33">
      <c r="A1574" s="20" t="s">
        <v>20212</v>
      </c>
      <c r="B1574" s="150"/>
      <c r="C1574" s="21" t="s">
        <v>20440</v>
      </c>
      <c r="D1574" s="109" t="s">
        <v>3137</v>
      </c>
      <c r="E1574" s="109"/>
      <c r="F1574" s="391" t="s">
        <v>20447</v>
      </c>
      <c r="G1574" s="23" t="s">
        <v>20441</v>
      </c>
      <c r="H1574" s="23"/>
      <c r="I1574" s="23"/>
      <c r="J1574" s="23"/>
      <c r="K1574" s="23"/>
      <c r="L1574" s="375" t="s">
        <v>27511</v>
      </c>
      <c r="M1574" s="351" t="s">
        <v>7787</v>
      </c>
      <c r="N1574" s="267">
        <f t="shared" si="247"/>
        <v>0</v>
      </c>
      <c r="O1574" s="268">
        <f t="shared" si="248"/>
        <v>50</v>
      </c>
      <c r="P1574" s="248"/>
      <c r="Q1574" s="239"/>
      <c r="R1574" s="239"/>
      <c r="S1574" s="239"/>
      <c r="T1574" s="239"/>
      <c r="U1574" s="240">
        <f>250-200</f>
        <v>50</v>
      </c>
      <c r="V1574" s="240"/>
      <c r="W1574" s="240"/>
      <c r="X1574" s="278"/>
      <c r="Y1574" s="237"/>
      <c r="Z1574" s="237"/>
      <c r="AA1574" s="279"/>
      <c r="AB1574" s="238" t="s">
        <v>27506</v>
      </c>
      <c r="AC1574" s="196">
        <f t="shared" si="251"/>
        <v>50</v>
      </c>
      <c r="AD1574" s="196">
        <f t="shared" si="252"/>
        <v>50</v>
      </c>
      <c r="AE1574" s="196">
        <f t="shared" si="253"/>
        <v>0</v>
      </c>
      <c r="AF1574" s="2">
        <f t="shared" si="254"/>
        <v>50</v>
      </c>
      <c r="AG1574" s="2">
        <f t="shared" si="255"/>
        <v>0</v>
      </c>
    </row>
    <row r="1575" spans="1:33">
      <c r="A1575" s="20" t="s">
        <v>20069</v>
      </c>
      <c r="B1575" s="150"/>
      <c r="C1575" s="21" t="s">
        <v>20055</v>
      </c>
      <c r="D1575" s="109" t="s">
        <v>3137</v>
      </c>
      <c r="E1575" s="109"/>
      <c r="F1575" s="391" t="s">
        <v>20086</v>
      </c>
      <c r="G1575" s="23" t="s">
        <v>20085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7"/>
        <v>0</v>
      </c>
      <c r="O1575" s="268">
        <f t="shared" si="248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51"/>
        <v>0</v>
      </c>
      <c r="AD1575" s="196">
        <f t="shared" si="252"/>
        <v>0</v>
      </c>
      <c r="AE1575" s="196">
        <f t="shared" si="253"/>
        <v>0</v>
      </c>
      <c r="AF1575" s="2">
        <f t="shared" si="254"/>
        <v>0</v>
      </c>
      <c r="AG1575" s="2">
        <f t="shared" si="255"/>
        <v>0</v>
      </c>
    </row>
    <row r="1576" spans="1:33">
      <c r="A1576" s="20" t="s">
        <v>20070</v>
      </c>
      <c r="B1576" s="150"/>
      <c r="C1576" s="21" t="s">
        <v>20121</v>
      </c>
      <c r="D1576" s="109" t="s">
        <v>3137</v>
      </c>
      <c r="E1576" s="109"/>
      <c r="F1576" s="391" t="s">
        <v>20123</v>
      </c>
      <c r="G1576" s="23" t="s">
        <v>20122</v>
      </c>
      <c r="H1576" s="23"/>
      <c r="I1576" s="23"/>
      <c r="J1576" s="23"/>
      <c r="K1576" s="23"/>
      <c r="L1576" s="375" t="s">
        <v>7787</v>
      </c>
      <c r="M1576" s="351" t="s">
        <v>7787</v>
      </c>
      <c r="N1576" s="267">
        <f t="shared" si="247"/>
        <v>0</v>
      </c>
      <c r="O1576" s="268">
        <f t="shared" si="248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51"/>
        <v>0</v>
      </c>
      <c r="AD1576" s="196">
        <f t="shared" si="252"/>
        <v>0</v>
      </c>
      <c r="AE1576" s="196">
        <f t="shared" si="253"/>
        <v>0</v>
      </c>
      <c r="AF1576" s="2">
        <f t="shared" si="254"/>
        <v>0</v>
      </c>
      <c r="AG1576" s="2">
        <f t="shared" si="255"/>
        <v>0</v>
      </c>
    </row>
    <row r="1577" spans="1:33">
      <c r="A1577" s="20" t="s">
        <v>20213</v>
      </c>
      <c r="B1577" s="150"/>
      <c r="C1577" s="21" t="s">
        <v>20173</v>
      </c>
      <c r="D1577" s="109" t="s">
        <v>3137</v>
      </c>
      <c r="E1577" s="109"/>
      <c r="F1577" s="391" t="s">
        <v>20241</v>
      </c>
      <c r="G1577" s="23" t="s">
        <v>18312</v>
      </c>
      <c r="H1577" s="23" t="s">
        <v>17175</v>
      </c>
      <c r="I1577" s="23"/>
      <c r="J1577" s="23"/>
      <c r="K1577" s="23"/>
      <c r="L1577" s="375" t="s">
        <v>7787</v>
      </c>
      <c r="M1577" s="351" t="s">
        <v>7787</v>
      </c>
      <c r="N1577" s="267">
        <f t="shared" si="247"/>
        <v>0</v>
      </c>
      <c r="O1577" s="268">
        <f t="shared" si="248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51"/>
        <v>0</v>
      </c>
      <c r="AD1577" s="196">
        <f t="shared" si="252"/>
        <v>0</v>
      </c>
      <c r="AE1577" s="196">
        <f t="shared" si="253"/>
        <v>0</v>
      </c>
      <c r="AF1577" s="2">
        <f t="shared" si="254"/>
        <v>0</v>
      </c>
      <c r="AG1577" s="2">
        <f t="shared" si="255"/>
        <v>0</v>
      </c>
    </row>
    <row r="1578" spans="1:33">
      <c r="A1578" s="20" t="s">
        <v>20214</v>
      </c>
      <c r="B1578" s="150"/>
      <c r="C1578" s="21" t="s">
        <v>20248</v>
      </c>
      <c r="D1578" s="109" t="s">
        <v>3137</v>
      </c>
      <c r="E1578" s="109" t="s">
        <v>20249</v>
      </c>
      <c r="F1578" s="391" t="s">
        <v>20252</v>
      </c>
      <c r="G1578" s="23" t="s">
        <v>6133</v>
      </c>
      <c r="H1578" s="23"/>
      <c r="I1578" s="23"/>
      <c r="J1578" s="23"/>
      <c r="K1578" s="23"/>
      <c r="L1578" s="375" t="s">
        <v>7787</v>
      </c>
      <c r="M1578" s="351"/>
      <c r="N1578" s="267">
        <f t="shared" si="247"/>
        <v>0</v>
      </c>
      <c r="O1578" s="268">
        <f t="shared" si="248"/>
        <v>0</v>
      </c>
      <c r="P1578" s="248"/>
      <c r="Q1578" s="239"/>
      <c r="R1578" s="239"/>
      <c r="S1578" s="239"/>
      <c r="T1578" s="239"/>
      <c r="U1578" s="240"/>
      <c r="V1578" s="240"/>
      <c r="W1578" s="240"/>
      <c r="X1578" s="278"/>
      <c r="Y1578" s="237"/>
      <c r="Z1578" s="237"/>
      <c r="AA1578" s="279"/>
      <c r="AB1578" s="238"/>
      <c r="AC1578" s="196">
        <f t="shared" si="251"/>
        <v>0</v>
      </c>
      <c r="AD1578" s="196">
        <f t="shared" si="252"/>
        <v>0</v>
      </c>
      <c r="AE1578" s="196">
        <f t="shared" si="253"/>
        <v>0</v>
      </c>
      <c r="AF1578" s="2">
        <f t="shared" si="254"/>
        <v>0</v>
      </c>
      <c r="AG1578" s="2">
        <f t="shared" si="255"/>
        <v>0</v>
      </c>
    </row>
    <row r="1579" spans="1:33">
      <c r="A1579" s="20" t="s">
        <v>20215</v>
      </c>
      <c r="B1579" s="150"/>
      <c r="C1579" s="21" t="s">
        <v>20295</v>
      </c>
      <c r="D1579" s="109" t="s">
        <v>3137</v>
      </c>
      <c r="E1579" s="109"/>
      <c r="F1579" s="391" t="s">
        <v>20303</v>
      </c>
      <c r="G1579" s="23" t="s">
        <v>20296</v>
      </c>
      <c r="H1579" s="23" t="s">
        <v>23234</v>
      </c>
      <c r="I1579" s="23" t="s">
        <v>23731</v>
      </c>
      <c r="J1579" s="23" t="s">
        <v>24323</v>
      </c>
      <c r="K1579" s="23"/>
      <c r="L1579" s="375" t="s">
        <v>27747</v>
      </c>
      <c r="M1579" s="351" t="s">
        <v>45</v>
      </c>
      <c r="N1579" s="267">
        <f t="shared" si="247"/>
        <v>0</v>
      </c>
      <c r="O1579" s="268">
        <f t="shared" si="248"/>
        <v>1350</v>
      </c>
      <c r="P1579" s="248"/>
      <c r="Q1579" s="239"/>
      <c r="R1579" s="239"/>
      <c r="S1579" s="239"/>
      <c r="T1579" s="239"/>
      <c r="U1579" s="239">
        <f>2800-1200-250</f>
        <v>1350</v>
      </c>
      <c r="V1579" s="240"/>
      <c r="W1579" s="240"/>
      <c r="X1579" s="278"/>
      <c r="Y1579" s="237"/>
      <c r="Z1579" s="237"/>
      <c r="AA1579" s="279"/>
      <c r="AB1579" s="238" t="s">
        <v>27738</v>
      </c>
      <c r="AC1579" s="196">
        <f t="shared" si="251"/>
        <v>1350</v>
      </c>
      <c r="AD1579" s="196">
        <f t="shared" si="252"/>
        <v>1350</v>
      </c>
      <c r="AE1579" s="196">
        <f t="shared" si="253"/>
        <v>0</v>
      </c>
      <c r="AF1579" s="2">
        <f t="shared" si="254"/>
        <v>1350</v>
      </c>
      <c r="AG1579" s="2">
        <f t="shared" si="255"/>
        <v>0</v>
      </c>
    </row>
    <row r="1580" spans="1:33">
      <c r="A1580" s="20" t="s">
        <v>21573</v>
      </c>
      <c r="B1580" s="150"/>
      <c r="C1580" s="21" t="s">
        <v>21647</v>
      </c>
      <c r="D1580" s="109" t="s">
        <v>3137</v>
      </c>
      <c r="E1580" s="109"/>
      <c r="F1580" s="391" t="s">
        <v>21656</v>
      </c>
      <c r="G1580" s="23" t="s">
        <v>21648</v>
      </c>
      <c r="H1580" s="23"/>
      <c r="I1580" s="23"/>
      <c r="J1580" s="23"/>
      <c r="K1580" s="23"/>
      <c r="L1580" s="375" t="s">
        <v>7787</v>
      </c>
      <c r="M1580" s="351"/>
      <c r="N1580" s="267">
        <f t="shared" ref="N1580:N1645" si="262">SUM(L1580:M1580)</f>
        <v>0</v>
      </c>
      <c r="O1580" s="268">
        <f t="shared" ref="O1580:O1645" si="263">SUM(P1580:Z1580)</f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51"/>
        <v>0</v>
      </c>
      <c r="AD1580" s="196">
        <f t="shared" si="252"/>
        <v>0</v>
      </c>
      <c r="AE1580" s="196">
        <f t="shared" si="253"/>
        <v>0</v>
      </c>
      <c r="AF1580" s="2">
        <f t="shared" si="254"/>
        <v>0</v>
      </c>
      <c r="AG1580" s="2">
        <f t="shared" si="255"/>
        <v>0</v>
      </c>
    </row>
    <row r="1581" spans="1:33">
      <c r="A1581" s="20" t="s">
        <v>20521</v>
      </c>
      <c r="B1581" s="150"/>
      <c r="C1581" s="21" t="s">
        <v>20664</v>
      </c>
      <c r="D1581" s="109" t="s">
        <v>3137</v>
      </c>
      <c r="E1581" s="109"/>
      <c r="F1581" s="391" t="s">
        <v>20684</v>
      </c>
      <c r="G1581" s="23" t="s">
        <v>20312</v>
      </c>
      <c r="H1581" s="23"/>
      <c r="I1581" s="23"/>
      <c r="J1581" s="23"/>
      <c r="K1581" s="23"/>
      <c r="L1581" s="375" t="s">
        <v>7787</v>
      </c>
      <c r="M1581" s="351" t="s">
        <v>7787</v>
      </c>
      <c r="N1581" s="267">
        <f t="shared" si="262"/>
        <v>0</v>
      </c>
      <c r="O1581" s="268">
        <f t="shared" si="263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51"/>
        <v>0</v>
      </c>
      <c r="AD1581" s="196">
        <f t="shared" si="252"/>
        <v>0</v>
      </c>
      <c r="AE1581" s="196">
        <f t="shared" si="253"/>
        <v>0</v>
      </c>
      <c r="AF1581" s="2">
        <f t="shared" si="254"/>
        <v>0</v>
      </c>
      <c r="AG1581" s="2">
        <f t="shared" si="255"/>
        <v>0</v>
      </c>
    </row>
    <row r="1582" spans="1:33">
      <c r="A1582" s="20" t="s">
        <v>20216</v>
      </c>
      <c r="B1582" s="150"/>
      <c r="C1582" s="21" t="s">
        <v>20436</v>
      </c>
      <c r="D1582" s="109" t="s">
        <v>3137</v>
      </c>
      <c r="E1582" s="109"/>
      <c r="F1582" s="391" t="s">
        <v>20448</v>
      </c>
      <c r="G1582" s="23" t="s">
        <v>20437</v>
      </c>
      <c r="H1582" s="23" t="s">
        <v>17175</v>
      </c>
      <c r="I1582" s="23"/>
      <c r="J1582" s="23"/>
      <c r="K1582" s="23"/>
      <c r="L1582" s="375"/>
      <c r="M1582" s="351" t="s">
        <v>7787</v>
      </c>
      <c r="N1582" s="267">
        <f t="shared" si="262"/>
        <v>0</v>
      </c>
      <c r="O1582" s="268">
        <f t="shared" si="263"/>
        <v>0</v>
      </c>
      <c r="P1582" s="248"/>
      <c r="Q1582" s="239"/>
      <c r="R1582" s="239"/>
      <c r="S1582" s="239"/>
      <c r="T1582" s="239"/>
      <c r="U1582" s="240"/>
      <c r="V1582" s="240"/>
      <c r="W1582" s="240"/>
      <c r="X1582" s="278"/>
      <c r="Y1582" s="237"/>
      <c r="Z1582" s="237"/>
      <c r="AA1582" s="279"/>
      <c r="AB1582" s="238"/>
      <c r="AC1582" s="196">
        <f t="shared" si="251"/>
        <v>0</v>
      </c>
      <c r="AD1582" s="196">
        <f t="shared" si="252"/>
        <v>0</v>
      </c>
      <c r="AE1582" s="196">
        <f t="shared" si="253"/>
        <v>0</v>
      </c>
      <c r="AF1582" s="2">
        <f t="shared" si="254"/>
        <v>0</v>
      </c>
      <c r="AG1582" s="2">
        <f t="shared" si="255"/>
        <v>0</v>
      </c>
    </row>
    <row r="1583" spans="1:33">
      <c r="A1583" s="20" t="s">
        <v>20217</v>
      </c>
      <c r="B1583" s="150"/>
      <c r="C1583" s="21" t="s">
        <v>20331</v>
      </c>
      <c r="D1583" s="109" t="s">
        <v>3137</v>
      </c>
      <c r="E1583" s="109"/>
      <c r="F1583" s="391" t="s">
        <v>19694</v>
      </c>
      <c r="G1583" s="23" t="s">
        <v>17522</v>
      </c>
      <c r="H1583" s="23" t="s">
        <v>20332</v>
      </c>
      <c r="I1583" s="23" t="s">
        <v>14533</v>
      </c>
      <c r="J1583" s="23" t="s">
        <v>13942</v>
      </c>
      <c r="K1583" s="23" t="s">
        <v>22823</v>
      </c>
      <c r="L1583" s="375" t="s">
        <v>45</v>
      </c>
      <c r="M1583" s="351" t="s">
        <v>45</v>
      </c>
      <c r="N1583" s="267">
        <f t="shared" si="262"/>
        <v>0</v>
      </c>
      <c r="O1583" s="268">
        <f t="shared" si="263"/>
        <v>0</v>
      </c>
      <c r="P1583" s="239"/>
      <c r="Q1583" s="240"/>
      <c r="R1583" s="447"/>
      <c r="S1583" s="239"/>
      <c r="T1583" s="239"/>
      <c r="U1583" s="447"/>
      <c r="V1583" s="240"/>
      <c r="W1583" s="240"/>
      <c r="X1583" s="278"/>
      <c r="Y1583" s="240"/>
      <c r="Z1583" s="237"/>
      <c r="AA1583" s="279"/>
      <c r="AB1583" s="238"/>
      <c r="AC1583" s="196">
        <f t="shared" si="251"/>
        <v>0</v>
      </c>
      <c r="AD1583" s="196">
        <f t="shared" si="252"/>
        <v>0</v>
      </c>
      <c r="AE1583" s="196">
        <f t="shared" si="253"/>
        <v>0</v>
      </c>
      <c r="AF1583" s="2">
        <f t="shared" si="254"/>
        <v>0</v>
      </c>
      <c r="AG1583" s="2">
        <f t="shared" si="255"/>
        <v>0</v>
      </c>
    </row>
    <row r="1584" spans="1:33">
      <c r="A1584" s="20" t="s">
        <v>25475</v>
      </c>
      <c r="B1584" s="150"/>
      <c r="C1584" s="21" t="s">
        <v>25399</v>
      </c>
      <c r="D1584" s="109" t="s">
        <v>4070</v>
      </c>
      <c r="E1584" s="109"/>
      <c r="F1584" s="391" t="s">
        <v>25400</v>
      </c>
      <c r="G1584" s="23" t="s">
        <v>21255</v>
      </c>
      <c r="H1584" s="23" t="s">
        <v>25401</v>
      </c>
      <c r="I1584" s="23" t="s">
        <v>25402</v>
      </c>
      <c r="J1584" s="23" t="s">
        <v>25220</v>
      </c>
      <c r="K1584" s="23" t="s">
        <v>25403</v>
      </c>
      <c r="L1584" s="375" t="s">
        <v>27423</v>
      </c>
      <c r="M1584" s="351" t="s">
        <v>7787</v>
      </c>
      <c r="N1584" s="267">
        <f t="shared" ref="N1584" si="264">SUM(L1584:M1584)</f>
        <v>0</v>
      </c>
      <c r="O1584" s="268">
        <f t="shared" ref="O1584" si="265">SUM(P1584:Z1584)</f>
        <v>700</v>
      </c>
      <c r="P1584" s="239">
        <f>950-500+2150-2000</f>
        <v>600</v>
      </c>
      <c r="Q1584" s="448"/>
      <c r="R1584" s="448"/>
      <c r="S1584" s="239"/>
      <c r="T1584" s="239"/>
      <c r="U1584" s="447">
        <f>1100-1000</f>
        <v>100</v>
      </c>
      <c r="V1584" s="240"/>
      <c r="W1584" s="240"/>
      <c r="X1584" s="278"/>
      <c r="Y1584" s="244"/>
      <c r="Z1584" s="237"/>
      <c r="AA1584" s="279"/>
      <c r="AB1584" s="238" t="s">
        <v>27413</v>
      </c>
      <c r="AC1584" s="196">
        <f t="shared" si="251"/>
        <v>700</v>
      </c>
      <c r="AD1584" s="196">
        <f t="shared" si="252"/>
        <v>700</v>
      </c>
      <c r="AE1584" s="196">
        <f t="shared" si="253"/>
        <v>0</v>
      </c>
      <c r="AF1584" s="2">
        <f t="shared" si="254"/>
        <v>700</v>
      </c>
      <c r="AG1584" s="2">
        <f t="shared" si="255"/>
        <v>0</v>
      </c>
    </row>
    <row r="1585" spans="1:33">
      <c r="A1585" s="20" t="s">
        <v>20218</v>
      </c>
      <c r="B1585" s="150"/>
      <c r="C1585" s="21" t="s">
        <v>20360</v>
      </c>
      <c r="D1585" s="109" t="s">
        <v>3137</v>
      </c>
      <c r="E1585" s="109" t="s">
        <v>20884</v>
      </c>
      <c r="F1585" s="391" t="s">
        <v>20373</v>
      </c>
      <c r="G1585" s="23" t="s">
        <v>20370</v>
      </c>
      <c r="H1585" s="23" t="s">
        <v>13301</v>
      </c>
      <c r="I1585" s="23" t="s">
        <v>6133</v>
      </c>
      <c r="J1585" s="23"/>
      <c r="K1585" s="23"/>
      <c r="L1585" s="375" t="s">
        <v>45</v>
      </c>
      <c r="M1585" s="351" t="s">
        <v>7787</v>
      </c>
      <c r="N1585" s="267">
        <f t="shared" si="262"/>
        <v>0</v>
      </c>
      <c r="O1585" s="268">
        <f t="shared" si="263"/>
        <v>450</v>
      </c>
      <c r="P1585" s="248"/>
      <c r="Q1585" s="248"/>
      <c r="R1585" s="239"/>
      <c r="S1585" s="239"/>
      <c r="T1585" s="239"/>
      <c r="U1585" s="240">
        <f>2200-1750</f>
        <v>450</v>
      </c>
      <c r="V1585" s="240"/>
      <c r="W1585" s="240"/>
      <c r="X1585" s="278"/>
      <c r="Y1585" s="248"/>
      <c r="Z1585" s="237"/>
      <c r="AA1585" s="279"/>
      <c r="AB1585" s="238" t="s">
        <v>25109</v>
      </c>
      <c r="AC1585" s="196">
        <f t="shared" si="251"/>
        <v>450</v>
      </c>
      <c r="AD1585" s="196">
        <f t="shared" si="252"/>
        <v>450</v>
      </c>
      <c r="AE1585" s="196">
        <f t="shared" si="253"/>
        <v>0</v>
      </c>
      <c r="AF1585" s="2">
        <f t="shared" si="254"/>
        <v>450</v>
      </c>
      <c r="AG1585" s="2">
        <f t="shared" si="255"/>
        <v>0</v>
      </c>
    </row>
    <row r="1586" spans="1:33">
      <c r="A1586" s="20" t="s">
        <v>20522</v>
      </c>
      <c r="B1586" s="150"/>
      <c r="C1586" s="21" t="s">
        <v>20360</v>
      </c>
      <c r="D1586" s="109" t="s">
        <v>20917</v>
      </c>
      <c r="E1586" s="109" t="s">
        <v>20884</v>
      </c>
      <c r="F1586" s="391" t="s">
        <v>20373</v>
      </c>
      <c r="G1586" s="23" t="s">
        <v>13932</v>
      </c>
      <c r="H1586" s="23"/>
      <c r="I1586" s="23"/>
      <c r="J1586" s="23"/>
      <c r="K1586" s="23"/>
      <c r="L1586" s="375"/>
      <c r="M1586" s="351"/>
      <c r="N1586" s="267">
        <f t="shared" si="262"/>
        <v>0</v>
      </c>
      <c r="O1586" s="268">
        <f t="shared" si="263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48"/>
      <c r="Z1586" s="237"/>
      <c r="AA1586" s="279"/>
      <c r="AB1586" s="238"/>
      <c r="AC1586" s="196">
        <f t="shared" si="251"/>
        <v>0</v>
      </c>
      <c r="AD1586" s="196">
        <f t="shared" si="252"/>
        <v>0</v>
      </c>
      <c r="AE1586" s="196">
        <f t="shared" si="253"/>
        <v>0</v>
      </c>
      <c r="AF1586" s="2">
        <f t="shared" si="254"/>
        <v>0</v>
      </c>
      <c r="AG1586" s="2">
        <f t="shared" si="255"/>
        <v>0</v>
      </c>
    </row>
    <row r="1587" spans="1:33">
      <c r="A1587" s="20" t="s">
        <v>20523</v>
      </c>
      <c r="B1587" s="150"/>
      <c r="C1587" s="21" t="s">
        <v>20631</v>
      </c>
      <c r="D1587" s="109" t="s">
        <v>3137</v>
      </c>
      <c r="E1587" s="109" t="s">
        <v>27039</v>
      </c>
      <c r="F1587" s="391" t="s">
        <v>20635</v>
      </c>
      <c r="G1587" s="23" t="s">
        <v>20632</v>
      </c>
      <c r="H1587" s="23" t="s">
        <v>13495</v>
      </c>
      <c r="I1587" s="23" t="s">
        <v>27040</v>
      </c>
      <c r="J1587" s="23"/>
      <c r="K1587" s="23"/>
      <c r="L1587" s="375"/>
      <c r="M1587" s="351" t="s">
        <v>7787</v>
      </c>
      <c r="N1587" s="267">
        <f t="shared" si="262"/>
        <v>0</v>
      </c>
      <c r="O1587" s="268">
        <f t="shared" si="263"/>
        <v>0</v>
      </c>
      <c r="P1587" s="248"/>
      <c r="Q1587" s="248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51"/>
        <v>0</v>
      </c>
      <c r="AD1587" s="196">
        <f t="shared" si="252"/>
        <v>0</v>
      </c>
      <c r="AE1587" s="196">
        <f t="shared" si="253"/>
        <v>0</v>
      </c>
      <c r="AF1587" s="2">
        <f t="shared" si="254"/>
        <v>0</v>
      </c>
      <c r="AG1587" s="2">
        <f t="shared" si="255"/>
        <v>0</v>
      </c>
    </row>
    <row r="1588" spans="1:33">
      <c r="A1588" s="20" t="s">
        <v>20524</v>
      </c>
      <c r="B1588" s="150"/>
      <c r="C1588" s="21" t="s">
        <v>20526</v>
      </c>
      <c r="D1588" s="109" t="s">
        <v>3137</v>
      </c>
      <c r="E1588" s="109"/>
      <c r="F1588" s="391" t="s">
        <v>20685</v>
      </c>
      <c r="G1588" s="23" t="s">
        <v>6133</v>
      </c>
      <c r="H1588" s="23" t="s">
        <v>17522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2"/>
        <v>0</v>
      </c>
      <c r="O1588" s="268">
        <f t="shared" si="263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51"/>
        <v>0</v>
      </c>
      <c r="AD1588" s="196">
        <f t="shared" si="252"/>
        <v>0</v>
      </c>
      <c r="AE1588" s="196">
        <f t="shared" si="253"/>
        <v>0</v>
      </c>
      <c r="AF1588" s="2">
        <f t="shared" si="254"/>
        <v>0</v>
      </c>
      <c r="AG1588" s="2">
        <f t="shared" si="255"/>
        <v>0</v>
      </c>
    </row>
    <row r="1589" spans="1:33">
      <c r="A1589" s="20" t="s">
        <v>20219</v>
      </c>
      <c r="B1589" s="150"/>
      <c r="C1589" s="21" t="s">
        <v>20438</v>
      </c>
      <c r="D1589" s="109" t="s">
        <v>3136</v>
      </c>
      <c r="E1589" s="109"/>
      <c r="F1589" s="391" t="s">
        <v>20449</v>
      </c>
      <c r="G1589" s="23" t="s">
        <v>20439</v>
      </c>
      <c r="H1589" s="23" t="s">
        <v>20695</v>
      </c>
      <c r="I1589" s="23"/>
      <c r="J1589" s="23"/>
      <c r="K1589" s="23"/>
      <c r="L1589" s="375" t="s">
        <v>7787</v>
      </c>
      <c r="M1589" s="351" t="s">
        <v>7787</v>
      </c>
      <c r="N1589" s="267">
        <f t="shared" si="262"/>
        <v>0</v>
      </c>
      <c r="O1589" s="268">
        <f t="shared" si="263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51"/>
        <v>0</v>
      </c>
      <c r="AD1589" s="196">
        <f t="shared" si="252"/>
        <v>0</v>
      </c>
      <c r="AE1589" s="196">
        <f t="shared" si="253"/>
        <v>0</v>
      </c>
      <c r="AF1589" s="2">
        <f t="shared" si="254"/>
        <v>0</v>
      </c>
      <c r="AG1589" s="2">
        <f t="shared" si="255"/>
        <v>0</v>
      </c>
    </row>
    <row r="1590" spans="1:33">
      <c r="A1590" s="20" t="s">
        <v>20220</v>
      </c>
      <c r="B1590" s="150"/>
      <c r="C1590" s="21" t="s">
        <v>20376</v>
      </c>
      <c r="D1590" s="109" t="s">
        <v>3088</v>
      </c>
      <c r="E1590" s="109"/>
      <c r="F1590" s="391" t="s">
        <v>20378</v>
      </c>
      <c r="G1590" s="23" t="s">
        <v>20377</v>
      </c>
      <c r="H1590" s="23"/>
      <c r="I1590" s="23"/>
      <c r="J1590" s="23"/>
      <c r="K1590" s="23"/>
      <c r="L1590" s="375" t="s">
        <v>7787</v>
      </c>
      <c r="M1590" s="351" t="s">
        <v>7787</v>
      </c>
      <c r="N1590" s="267">
        <f t="shared" si="262"/>
        <v>0</v>
      </c>
      <c r="O1590" s="268">
        <f t="shared" si="263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51"/>
        <v>0</v>
      </c>
      <c r="AD1590" s="196">
        <f t="shared" si="252"/>
        <v>0</v>
      </c>
      <c r="AE1590" s="196">
        <f t="shared" si="253"/>
        <v>0</v>
      </c>
      <c r="AF1590" s="2">
        <f t="shared" si="254"/>
        <v>0</v>
      </c>
      <c r="AG1590" s="2">
        <f t="shared" si="255"/>
        <v>0</v>
      </c>
    </row>
    <row r="1591" spans="1:33">
      <c r="A1591" s="20" t="s">
        <v>21393</v>
      </c>
      <c r="B1591" s="150"/>
      <c r="C1591" s="21" t="s">
        <v>20376</v>
      </c>
      <c r="D1591" s="109" t="s">
        <v>3137</v>
      </c>
      <c r="E1591" s="109"/>
      <c r="F1591" s="391" t="s">
        <v>20378</v>
      </c>
      <c r="G1591" s="23" t="s">
        <v>16623</v>
      </c>
      <c r="H1591" s="23" t="s">
        <v>6133</v>
      </c>
      <c r="I1591" s="23"/>
      <c r="J1591" s="23"/>
      <c r="K1591" s="23"/>
      <c r="L1591" s="375" t="s">
        <v>7787</v>
      </c>
      <c r="M1591" s="351" t="s">
        <v>7787</v>
      </c>
      <c r="N1591" s="267">
        <f t="shared" si="262"/>
        <v>0</v>
      </c>
      <c r="O1591" s="268">
        <f t="shared" si="263"/>
        <v>0</v>
      </c>
      <c r="P1591" s="248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51"/>
        <v>0</v>
      </c>
      <c r="AD1591" s="196">
        <f t="shared" si="252"/>
        <v>0</v>
      </c>
      <c r="AE1591" s="196">
        <f t="shared" si="253"/>
        <v>0</v>
      </c>
      <c r="AF1591" s="2">
        <f t="shared" si="254"/>
        <v>0</v>
      </c>
      <c r="AG1591" s="2">
        <f t="shared" si="255"/>
        <v>0</v>
      </c>
    </row>
    <row r="1592" spans="1:33">
      <c r="A1592" s="20" t="s">
        <v>20221</v>
      </c>
      <c r="B1592" s="150"/>
      <c r="C1592" s="21" t="s">
        <v>20374</v>
      </c>
      <c r="D1592" s="109" t="s">
        <v>3137</v>
      </c>
      <c r="E1592" s="109"/>
      <c r="F1592" s="391" t="s">
        <v>20379</v>
      </c>
      <c r="G1592" s="23" t="s">
        <v>20375</v>
      </c>
      <c r="H1592" s="23" t="s">
        <v>13905</v>
      </c>
      <c r="I1592" s="23"/>
      <c r="J1592" s="23"/>
      <c r="K1592" s="23"/>
      <c r="L1592" s="375" t="s">
        <v>7787</v>
      </c>
      <c r="M1592" s="351"/>
      <c r="N1592" s="267">
        <f t="shared" si="262"/>
        <v>0</v>
      </c>
      <c r="O1592" s="268">
        <f t="shared" si="263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51"/>
        <v>0</v>
      </c>
      <c r="AD1592" s="196">
        <f t="shared" si="252"/>
        <v>0</v>
      </c>
      <c r="AE1592" s="196">
        <f t="shared" si="253"/>
        <v>0</v>
      </c>
      <c r="AF1592" s="2">
        <f t="shared" si="254"/>
        <v>0</v>
      </c>
      <c r="AG1592" s="2">
        <f t="shared" si="255"/>
        <v>0</v>
      </c>
    </row>
    <row r="1593" spans="1:33">
      <c r="A1593" s="20" t="s">
        <v>20222</v>
      </c>
      <c r="B1593" s="150"/>
      <c r="C1593" s="21" t="s">
        <v>20395</v>
      </c>
      <c r="D1593" s="109" t="s">
        <v>3137</v>
      </c>
      <c r="E1593" s="109" t="s">
        <v>24177</v>
      </c>
      <c r="F1593" s="391" t="s">
        <v>20408</v>
      </c>
      <c r="G1593" s="23" t="s">
        <v>20414</v>
      </c>
      <c r="H1593" s="23" t="s">
        <v>15230</v>
      </c>
      <c r="I1593" s="23"/>
      <c r="J1593" s="23"/>
      <c r="K1593" s="23"/>
      <c r="L1593" s="375"/>
      <c r="M1593" s="351" t="s">
        <v>7787</v>
      </c>
      <c r="N1593" s="267">
        <f t="shared" si="262"/>
        <v>0</v>
      </c>
      <c r="O1593" s="268">
        <f t="shared" si="263"/>
        <v>0</v>
      </c>
      <c r="P1593" s="239"/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/>
      <c r="AC1593" s="196">
        <f t="shared" si="251"/>
        <v>0</v>
      </c>
      <c r="AD1593" s="196">
        <f t="shared" si="252"/>
        <v>0</v>
      </c>
      <c r="AE1593" s="196">
        <f t="shared" si="253"/>
        <v>0</v>
      </c>
      <c r="AF1593" s="2">
        <f t="shared" si="254"/>
        <v>0</v>
      </c>
      <c r="AG1593" s="2">
        <f t="shared" si="255"/>
        <v>0</v>
      </c>
    </row>
    <row r="1594" spans="1:33">
      <c r="A1594" s="20" t="s">
        <v>21394</v>
      </c>
      <c r="B1594" s="150"/>
      <c r="C1594" s="21" t="s">
        <v>20617</v>
      </c>
      <c r="D1594" s="109" t="s">
        <v>3137</v>
      </c>
      <c r="E1594" s="109"/>
      <c r="F1594" s="391" t="s">
        <v>20627</v>
      </c>
      <c r="G1594" s="23" t="s">
        <v>20618</v>
      </c>
      <c r="H1594" s="23" t="s">
        <v>20637</v>
      </c>
      <c r="I1594" s="23"/>
      <c r="J1594" s="23"/>
      <c r="K1594" s="23"/>
      <c r="L1594" s="375" t="s">
        <v>27847</v>
      </c>
      <c r="M1594" s="351" t="s">
        <v>7787</v>
      </c>
      <c r="N1594" s="267">
        <f t="shared" si="262"/>
        <v>0</v>
      </c>
      <c r="O1594" s="268">
        <f t="shared" si="263"/>
        <v>600</v>
      </c>
      <c r="P1594" s="248">
        <v>600</v>
      </c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 t="s">
        <v>27840</v>
      </c>
      <c r="AC1594" s="196">
        <f t="shared" si="251"/>
        <v>600</v>
      </c>
      <c r="AD1594" s="196">
        <f t="shared" si="252"/>
        <v>600</v>
      </c>
      <c r="AE1594" s="196">
        <f t="shared" si="253"/>
        <v>0</v>
      </c>
      <c r="AF1594" s="2">
        <f t="shared" si="254"/>
        <v>600</v>
      </c>
      <c r="AG1594" s="2">
        <f t="shared" si="255"/>
        <v>0</v>
      </c>
    </row>
    <row r="1595" spans="1:33">
      <c r="A1595" s="20" t="s">
        <v>1845</v>
      </c>
      <c r="B1595" s="150"/>
      <c r="C1595" s="21" t="s">
        <v>766</v>
      </c>
      <c r="D1595" s="109" t="s">
        <v>13319</v>
      </c>
      <c r="E1595" s="109"/>
      <c r="F1595" s="391" t="s">
        <v>4580</v>
      </c>
      <c r="G1595" s="23"/>
      <c r="H1595" s="23"/>
      <c r="I1595" s="23"/>
      <c r="J1595" s="23"/>
      <c r="K1595" s="23"/>
      <c r="L1595" s="350"/>
      <c r="M1595" s="351"/>
      <c r="N1595" s="267">
        <f t="shared" si="262"/>
        <v>0</v>
      </c>
      <c r="O1595" s="268">
        <f t="shared" si="263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51"/>
        <v>0</v>
      </c>
      <c r="AD1595" s="196">
        <f t="shared" si="252"/>
        <v>0</v>
      </c>
      <c r="AE1595" s="196">
        <f t="shared" si="253"/>
        <v>0</v>
      </c>
      <c r="AF1595" s="2">
        <f t="shared" si="254"/>
        <v>0</v>
      </c>
      <c r="AG1595" s="2">
        <f t="shared" si="255"/>
        <v>0</v>
      </c>
    </row>
    <row r="1596" spans="1:33">
      <c r="A1596" s="20" t="s">
        <v>21395</v>
      </c>
      <c r="B1596" s="150"/>
      <c r="C1596" s="21" t="s">
        <v>20541</v>
      </c>
      <c r="D1596" s="109" t="s">
        <v>3137</v>
      </c>
      <c r="E1596" s="109"/>
      <c r="F1596" s="391" t="s">
        <v>20551</v>
      </c>
      <c r="G1596" s="23" t="s">
        <v>20550</v>
      </c>
      <c r="H1596" s="23"/>
      <c r="I1596" s="23"/>
      <c r="J1596" s="23"/>
      <c r="K1596" s="23"/>
      <c r="L1596" s="375" t="s">
        <v>27721</v>
      </c>
      <c r="M1596" s="351" t="s">
        <v>7787</v>
      </c>
      <c r="N1596" s="267">
        <f t="shared" si="262"/>
        <v>0</v>
      </c>
      <c r="O1596" s="268">
        <f t="shared" si="263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51"/>
        <v>0</v>
      </c>
      <c r="AD1596" s="196">
        <f t="shared" si="252"/>
        <v>0</v>
      </c>
      <c r="AE1596" s="196">
        <f t="shared" si="253"/>
        <v>0</v>
      </c>
      <c r="AF1596" s="2">
        <f t="shared" si="254"/>
        <v>0</v>
      </c>
      <c r="AG1596" s="2">
        <f t="shared" si="255"/>
        <v>0</v>
      </c>
    </row>
    <row r="1597" spans="1:33">
      <c r="A1597" s="20" t="s">
        <v>21396</v>
      </c>
      <c r="B1597" s="150"/>
      <c r="C1597" s="21" t="s">
        <v>20541</v>
      </c>
      <c r="D1597" s="109" t="s">
        <v>20584</v>
      </c>
      <c r="E1597" s="109" t="s">
        <v>20583</v>
      </c>
      <c r="F1597" s="391" t="s">
        <v>20551</v>
      </c>
      <c r="G1597" s="23" t="s">
        <v>20585</v>
      </c>
      <c r="H1597" s="23"/>
      <c r="I1597" s="23"/>
      <c r="J1597" s="23"/>
      <c r="K1597" s="23"/>
      <c r="L1597" s="375" t="s">
        <v>7787</v>
      </c>
      <c r="M1597" s="351"/>
      <c r="N1597" s="267">
        <f t="shared" si="262"/>
        <v>0</v>
      </c>
      <c r="O1597" s="268">
        <f t="shared" si="263"/>
        <v>0</v>
      </c>
      <c r="P1597" s="239"/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/>
      <c r="AC1597" s="196">
        <f t="shared" si="251"/>
        <v>0</v>
      </c>
      <c r="AD1597" s="196">
        <f t="shared" si="252"/>
        <v>0</v>
      </c>
      <c r="AE1597" s="196">
        <f t="shared" si="253"/>
        <v>0</v>
      </c>
      <c r="AF1597" s="2">
        <f t="shared" si="254"/>
        <v>0</v>
      </c>
      <c r="AG1597" s="2">
        <f t="shared" si="255"/>
        <v>0</v>
      </c>
    </row>
    <row r="1598" spans="1:33">
      <c r="A1598" s="20" t="s">
        <v>23916</v>
      </c>
      <c r="B1598" s="150"/>
      <c r="C1598" s="21" t="s">
        <v>20541</v>
      </c>
      <c r="D1598" s="109" t="s">
        <v>3137</v>
      </c>
      <c r="E1598" s="109"/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2"/>
        <v>0</v>
      </c>
      <c r="O1598" s="268">
        <f t="shared" si="263"/>
        <v>200</v>
      </c>
      <c r="P1598" s="239">
        <f>950-750</f>
        <v>200</v>
      </c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 t="s">
        <v>27716</v>
      </c>
      <c r="AC1598" s="196">
        <f t="shared" si="251"/>
        <v>200</v>
      </c>
      <c r="AD1598" s="196">
        <f t="shared" si="252"/>
        <v>200</v>
      </c>
      <c r="AE1598" s="196">
        <f t="shared" si="253"/>
        <v>0</v>
      </c>
      <c r="AF1598" s="2">
        <f t="shared" si="254"/>
        <v>200</v>
      </c>
      <c r="AG1598" s="2">
        <f t="shared" si="255"/>
        <v>0</v>
      </c>
    </row>
    <row r="1599" spans="1:33">
      <c r="A1599" s="20" t="s">
        <v>23994</v>
      </c>
      <c r="B1599" s="150"/>
      <c r="C1599" s="21" t="s">
        <v>20541</v>
      </c>
      <c r="D1599" s="109" t="s">
        <v>23973</v>
      </c>
      <c r="E1599" s="109" t="s">
        <v>23974</v>
      </c>
      <c r="F1599" s="391" t="s">
        <v>23979</v>
      </c>
      <c r="G1599" s="23" t="s">
        <v>20550</v>
      </c>
      <c r="H1599" s="23"/>
      <c r="I1599" s="23"/>
      <c r="J1599" s="23"/>
      <c r="K1599" s="23"/>
      <c r="L1599" s="375"/>
      <c r="M1599" s="351"/>
      <c r="N1599" s="267">
        <f t="shared" si="262"/>
        <v>0</v>
      </c>
      <c r="O1599" s="268">
        <f t="shared" si="263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51"/>
        <v>0</v>
      </c>
      <c r="AD1599" s="196">
        <f t="shared" si="252"/>
        <v>0</v>
      </c>
      <c r="AE1599" s="196">
        <f t="shared" si="253"/>
        <v>0</v>
      </c>
      <c r="AF1599" s="2">
        <f t="shared" si="254"/>
        <v>0</v>
      </c>
      <c r="AG1599" s="2">
        <f t="shared" si="255"/>
        <v>0</v>
      </c>
    </row>
    <row r="1600" spans="1:33">
      <c r="A1600" s="20" t="s">
        <v>21397</v>
      </c>
      <c r="B1600" s="150"/>
      <c r="C1600" s="21" t="s">
        <v>20724</v>
      </c>
      <c r="D1600" s="109" t="s">
        <v>3137</v>
      </c>
      <c r="E1600" s="109"/>
      <c r="F1600" s="391" t="s">
        <v>20729</v>
      </c>
      <c r="G1600" s="23" t="s">
        <v>20375</v>
      </c>
      <c r="H1600" s="23" t="s">
        <v>19265</v>
      </c>
      <c r="I1600" s="23" t="s">
        <v>24307</v>
      </c>
      <c r="J1600" s="23"/>
      <c r="K1600" s="23"/>
      <c r="L1600" s="375" t="s">
        <v>7787</v>
      </c>
      <c r="M1600" s="351" t="s">
        <v>7787</v>
      </c>
      <c r="N1600" s="267">
        <f t="shared" si="262"/>
        <v>0</v>
      </c>
      <c r="O1600" s="268">
        <f t="shared" si="263"/>
        <v>0</v>
      </c>
      <c r="P1600" s="239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51"/>
        <v>0</v>
      </c>
      <c r="AD1600" s="196">
        <f t="shared" si="252"/>
        <v>0</v>
      </c>
      <c r="AE1600" s="196">
        <f t="shared" si="253"/>
        <v>0</v>
      </c>
      <c r="AF1600" s="2">
        <f t="shared" si="254"/>
        <v>0</v>
      </c>
      <c r="AG1600" s="2">
        <f t="shared" si="255"/>
        <v>0</v>
      </c>
    </row>
    <row r="1601" spans="1:33">
      <c r="A1601" s="20" t="s">
        <v>21398</v>
      </c>
      <c r="B1601" s="150"/>
      <c r="C1601" s="21" t="s">
        <v>20530</v>
      </c>
      <c r="D1601" s="109" t="s">
        <v>20531</v>
      </c>
      <c r="E1601" s="109" t="s">
        <v>20549</v>
      </c>
      <c r="F1601" s="391" t="s">
        <v>20686</v>
      </c>
      <c r="G1601" s="23" t="s">
        <v>20532</v>
      </c>
      <c r="H1601" s="23"/>
      <c r="I1601" s="23"/>
      <c r="J1601" s="23"/>
      <c r="K1601" s="23"/>
      <c r="L1601" s="375" t="s">
        <v>7787</v>
      </c>
      <c r="M1601" s="351" t="s">
        <v>7787</v>
      </c>
      <c r="N1601" s="267">
        <f t="shared" si="262"/>
        <v>0</v>
      </c>
      <c r="O1601" s="268">
        <f t="shared" si="263"/>
        <v>0</v>
      </c>
      <c r="P1601" s="240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51"/>
        <v>0</v>
      </c>
      <c r="AD1601" s="196">
        <f t="shared" si="252"/>
        <v>0</v>
      </c>
      <c r="AE1601" s="196">
        <f t="shared" si="253"/>
        <v>0</v>
      </c>
      <c r="AF1601" s="2">
        <f t="shared" si="254"/>
        <v>0</v>
      </c>
      <c r="AG1601" s="2">
        <f t="shared" si="255"/>
        <v>0</v>
      </c>
    </row>
    <row r="1602" spans="1:33">
      <c r="A1602" s="20" t="s">
        <v>20223</v>
      </c>
      <c r="B1602" s="150"/>
      <c r="C1602" s="21" t="s">
        <v>20455</v>
      </c>
      <c r="D1602" s="109" t="s">
        <v>3137</v>
      </c>
      <c r="E1602" s="109"/>
      <c r="F1602" s="391" t="s">
        <v>20468</v>
      </c>
      <c r="G1602" s="23" t="s">
        <v>13942</v>
      </c>
      <c r="H1602" s="23"/>
      <c r="I1602" s="23"/>
      <c r="J1602" s="23"/>
      <c r="K1602" s="23"/>
      <c r="L1602" s="375" t="s">
        <v>7787</v>
      </c>
      <c r="M1602" s="351"/>
      <c r="N1602" s="267">
        <f t="shared" si="262"/>
        <v>0</v>
      </c>
      <c r="O1602" s="268">
        <f t="shared" si="263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51"/>
        <v>0</v>
      </c>
      <c r="AD1602" s="196">
        <f t="shared" si="252"/>
        <v>0</v>
      </c>
      <c r="AE1602" s="196">
        <f t="shared" si="253"/>
        <v>0</v>
      </c>
      <c r="AF1602" s="2">
        <f t="shared" si="254"/>
        <v>0</v>
      </c>
      <c r="AG1602" s="2">
        <f t="shared" si="255"/>
        <v>0</v>
      </c>
    </row>
    <row r="1603" spans="1:33">
      <c r="A1603" s="20" t="s">
        <v>20224</v>
      </c>
      <c r="B1603" s="150"/>
      <c r="C1603" s="21" t="s">
        <v>20452</v>
      </c>
      <c r="D1603" s="109" t="s">
        <v>3137</v>
      </c>
      <c r="E1603" s="109"/>
      <c r="F1603" s="391" t="s">
        <v>20464</v>
      </c>
      <c r="G1603" s="23" t="s">
        <v>17522</v>
      </c>
      <c r="H1603" s="23"/>
      <c r="I1603" s="23"/>
      <c r="J1603" s="23"/>
      <c r="K1603" s="23"/>
      <c r="L1603" s="375" t="s">
        <v>7787</v>
      </c>
      <c r="M1603" s="351" t="s">
        <v>7787</v>
      </c>
      <c r="N1603" s="267">
        <f t="shared" si="262"/>
        <v>0</v>
      </c>
      <c r="O1603" s="268">
        <f t="shared" si="263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51"/>
        <v>0</v>
      </c>
      <c r="AD1603" s="196">
        <f t="shared" si="252"/>
        <v>0</v>
      </c>
      <c r="AE1603" s="196">
        <f t="shared" si="253"/>
        <v>0</v>
      </c>
      <c r="AF1603" s="2">
        <f t="shared" si="254"/>
        <v>0</v>
      </c>
      <c r="AG1603" s="2">
        <f t="shared" si="255"/>
        <v>0</v>
      </c>
    </row>
    <row r="1604" spans="1:33">
      <c r="A1604" s="20" t="s">
        <v>20225</v>
      </c>
      <c r="B1604" s="150"/>
      <c r="C1604" s="21" t="s">
        <v>20453</v>
      </c>
      <c r="D1604" s="109" t="s">
        <v>3137</v>
      </c>
      <c r="E1604" s="109"/>
      <c r="F1604" s="391" t="s">
        <v>20465</v>
      </c>
      <c r="G1604" s="23" t="s">
        <v>6133</v>
      </c>
      <c r="H1604" s="23"/>
      <c r="I1604" s="23"/>
      <c r="J1604" s="23"/>
      <c r="K1604" s="23"/>
      <c r="L1604" s="350"/>
      <c r="M1604" s="351"/>
      <c r="N1604" s="267">
        <f t="shared" si="262"/>
        <v>0</v>
      </c>
      <c r="O1604" s="268">
        <f t="shared" si="263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51"/>
        <v>0</v>
      </c>
      <c r="AD1604" s="196">
        <f t="shared" si="252"/>
        <v>0</v>
      </c>
      <c r="AE1604" s="196">
        <f t="shared" si="253"/>
        <v>0</v>
      </c>
      <c r="AF1604" s="2">
        <f t="shared" si="254"/>
        <v>0</v>
      </c>
      <c r="AG1604" s="2">
        <f t="shared" si="255"/>
        <v>0</v>
      </c>
    </row>
    <row r="1605" spans="1:33">
      <c r="A1605" s="20" t="s">
        <v>21399</v>
      </c>
      <c r="B1605" s="150"/>
      <c r="C1605" s="21" t="s">
        <v>20708</v>
      </c>
      <c r="D1605" s="109" t="s">
        <v>3137</v>
      </c>
      <c r="E1605" s="109" t="s">
        <v>3126</v>
      </c>
      <c r="F1605" s="391" t="s">
        <v>20709</v>
      </c>
      <c r="G1605" s="23" t="s">
        <v>20707</v>
      </c>
      <c r="H1605" s="23"/>
      <c r="I1605" s="23"/>
      <c r="J1605" s="23"/>
      <c r="K1605" s="23"/>
      <c r="L1605" s="350"/>
      <c r="M1605" s="351"/>
      <c r="N1605" s="267">
        <f t="shared" si="262"/>
        <v>0</v>
      </c>
      <c r="O1605" s="268">
        <f t="shared" si="263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51"/>
        <v>0</v>
      </c>
      <c r="AD1605" s="196">
        <f t="shared" si="252"/>
        <v>0</v>
      </c>
      <c r="AE1605" s="196">
        <f t="shared" si="253"/>
        <v>0</v>
      </c>
      <c r="AF1605" s="2">
        <f t="shared" si="254"/>
        <v>0</v>
      </c>
      <c r="AG1605" s="2">
        <f t="shared" si="255"/>
        <v>0</v>
      </c>
    </row>
    <row r="1606" spans="1:33">
      <c r="A1606" s="20" t="s">
        <v>21400</v>
      </c>
      <c r="B1606" s="150"/>
      <c r="C1606" s="21" t="s">
        <v>20772</v>
      </c>
      <c r="D1606" s="109" t="s">
        <v>4070</v>
      </c>
      <c r="E1606" s="109" t="s">
        <v>14268</v>
      </c>
      <c r="F1606" s="391" t="s">
        <v>20773</v>
      </c>
      <c r="G1606" s="23" t="s">
        <v>20774</v>
      </c>
      <c r="H1606" s="23"/>
      <c r="I1606" s="23"/>
      <c r="J1606" s="23"/>
      <c r="K1606" s="23"/>
      <c r="L1606" s="350"/>
      <c r="M1606" s="351"/>
      <c r="N1606" s="267">
        <f t="shared" si="262"/>
        <v>0</v>
      </c>
      <c r="O1606" s="268">
        <f t="shared" si="263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7"/>
      <c r="Z1606" s="237"/>
      <c r="AA1606" s="279"/>
      <c r="AB1606" s="238"/>
      <c r="AC1606" s="196">
        <f t="shared" si="251"/>
        <v>0</v>
      </c>
      <c r="AD1606" s="196">
        <f t="shared" si="252"/>
        <v>0</v>
      </c>
      <c r="AE1606" s="196">
        <f t="shared" si="253"/>
        <v>0</v>
      </c>
      <c r="AF1606" s="2">
        <f t="shared" si="254"/>
        <v>0</v>
      </c>
      <c r="AG1606" s="2">
        <f t="shared" si="255"/>
        <v>0</v>
      </c>
    </row>
    <row r="1607" spans="1:33">
      <c r="A1607" s="20" t="s">
        <v>21401</v>
      </c>
      <c r="B1607" s="150"/>
      <c r="C1607" s="21" t="s">
        <v>20672</v>
      </c>
      <c r="D1607" s="109" t="s">
        <v>3137</v>
      </c>
      <c r="E1607" s="109" t="s">
        <v>20884</v>
      </c>
      <c r="F1607" s="391" t="s">
        <v>20687</v>
      </c>
      <c r="G1607" s="23" t="s">
        <v>6133</v>
      </c>
      <c r="H1607" s="23" t="s">
        <v>13301</v>
      </c>
      <c r="I1607" s="23"/>
      <c r="J1607" s="23"/>
      <c r="K1607" s="23"/>
      <c r="L1607" s="375" t="s">
        <v>7787</v>
      </c>
      <c r="M1607" s="351" t="s">
        <v>7787</v>
      </c>
      <c r="N1607" s="267">
        <f t="shared" si="262"/>
        <v>0</v>
      </c>
      <c r="O1607" s="268">
        <f t="shared" si="263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9"/>
      <c r="Z1607" s="237"/>
      <c r="AA1607" s="279"/>
      <c r="AB1607" s="238"/>
      <c r="AC1607" s="196">
        <f t="shared" si="251"/>
        <v>0</v>
      </c>
      <c r="AD1607" s="196">
        <f t="shared" si="252"/>
        <v>0</v>
      </c>
      <c r="AE1607" s="196">
        <f t="shared" si="253"/>
        <v>0</v>
      </c>
      <c r="AF1607" s="2">
        <f t="shared" si="254"/>
        <v>0</v>
      </c>
      <c r="AG1607" s="2">
        <f t="shared" si="255"/>
        <v>0</v>
      </c>
    </row>
    <row r="1608" spans="1:33">
      <c r="A1608" s="20" t="s">
        <v>21402</v>
      </c>
      <c r="B1608" s="150"/>
      <c r="C1608" s="21" t="s">
        <v>20678</v>
      </c>
      <c r="D1608" s="109" t="s">
        <v>20679</v>
      </c>
      <c r="E1608" s="109" t="s">
        <v>20680</v>
      </c>
      <c r="F1608" s="391" t="s">
        <v>20687</v>
      </c>
      <c r="G1608" s="23" t="s">
        <v>6133</v>
      </c>
      <c r="H1608" s="23"/>
      <c r="I1608" s="23"/>
      <c r="J1608" s="23"/>
      <c r="K1608" s="23"/>
      <c r="L1608" s="375" t="s">
        <v>7787</v>
      </c>
      <c r="M1608" s="351"/>
      <c r="N1608" s="267">
        <f t="shared" si="262"/>
        <v>0</v>
      </c>
      <c r="O1608" s="268">
        <f t="shared" si="263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51"/>
        <v>0</v>
      </c>
      <c r="AD1608" s="196">
        <f t="shared" si="252"/>
        <v>0</v>
      </c>
      <c r="AE1608" s="196">
        <f t="shared" si="253"/>
        <v>0</v>
      </c>
      <c r="AF1608" s="2">
        <f t="shared" si="254"/>
        <v>0</v>
      </c>
      <c r="AG1608" s="2">
        <f t="shared" si="255"/>
        <v>0</v>
      </c>
    </row>
    <row r="1609" spans="1:33">
      <c r="A1609" s="20" t="s">
        <v>21403</v>
      </c>
      <c r="B1609" s="150"/>
      <c r="C1609" s="21" t="s">
        <v>20682</v>
      </c>
      <c r="D1609" s="109" t="s">
        <v>3137</v>
      </c>
      <c r="E1609" s="109"/>
      <c r="F1609" s="391" t="s">
        <v>20694</v>
      </c>
      <c r="G1609" s="23" t="s">
        <v>20683</v>
      </c>
      <c r="H1609" s="23"/>
      <c r="I1609" s="23"/>
      <c r="J1609" s="23"/>
      <c r="K1609" s="23"/>
      <c r="L1609" s="375" t="s">
        <v>7787</v>
      </c>
      <c r="M1609" s="351"/>
      <c r="N1609" s="267">
        <f t="shared" si="262"/>
        <v>0</v>
      </c>
      <c r="O1609" s="268">
        <f t="shared" si="263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si="251"/>
        <v>0</v>
      </c>
      <c r="AD1609" s="196">
        <f t="shared" si="252"/>
        <v>0</v>
      </c>
      <c r="AE1609" s="196">
        <f t="shared" si="253"/>
        <v>0</v>
      </c>
      <c r="AF1609" s="2">
        <f t="shared" si="254"/>
        <v>0</v>
      </c>
      <c r="AG1609" s="2">
        <f t="shared" si="255"/>
        <v>0</v>
      </c>
    </row>
    <row r="1610" spans="1:33">
      <c r="A1610" s="20" t="s">
        <v>21404</v>
      </c>
      <c r="B1610" s="150"/>
      <c r="C1610" s="21" t="s">
        <v>20693</v>
      </c>
      <c r="D1610" s="109" t="s">
        <v>3137</v>
      </c>
      <c r="E1610" s="109" t="s">
        <v>20884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 t="s">
        <v>7787</v>
      </c>
      <c r="N1610" s="267">
        <f t="shared" si="262"/>
        <v>0</v>
      </c>
      <c r="O1610" s="268">
        <f t="shared" si="263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ref="AC1610:AC1673" si="266">SUM(P1610:AA1610)</f>
        <v>0</v>
      </c>
      <c r="AD1610" s="196">
        <f t="shared" ref="AD1610:AD1673" si="267">SUM(P1610:AB1610)</f>
        <v>0</v>
      </c>
      <c r="AE1610" s="196">
        <f t="shared" ref="AE1610:AE1673" si="268">SUM(AC1610-AD1610)</f>
        <v>0</v>
      </c>
      <c r="AF1610" s="2">
        <f t="shared" ref="AF1610:AF1673" si="269">+AC1610</f>
        <v>0</v>
      </c>
      <c r="AG1610" s="2">
        <f t="shared" ref="AG1610:AG1673" si="270">+AC1610-AF1610</f>
        <v>0</v>
      </c>
    </row>
    <row r="1611" spans="1:33">
      <c r="A1611" s="20" t="s">
        <v>21405</v>
      </c>
      <c r="B1611" s="150"/>
      <c r="C1611" s="21" t="s">
        <v>20681</v>
      </c>
      <c r="D1611" s="109" t="s">
        <v>7551</v>
      </c>
      <c r="E1611" s="109" t="s">
        <v>20680</v>
      </c>
      <c r="F1611" s="391" t="s">
        <v>20688</v>
      </c>
      <c r="G1611" s="23" t="s">
        <v>6133</v>
      </c>
      <c r="H1611" s="23"/>
      <c r="I1611" s="23"/>
      <c r="J1611" s="23"/>
      <c r="K1611" s="23"/>
      <c r="L1611" s="375" t="s">
        <v>7787</v>
      </c>
      <c r="M1611" s="351"/>
      <c r="N1611" s="267">
        <f t="shared" si="262"/>
        <v>0</v>
      </c>
      <c r="O1611" s="268">
        <f t="shared" si="263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6"/>
        <v>0</v>
      </c>
      <c r="AD1611" s="196">
        <f t="shared" si="267"/>
        <v>0</v>
      </c>
      <c r="AE1611" s="196">
        <f t="shared" si="268"/>
        <v>0</v>
      </c>
      <c r="AF1611" s="2">
        <f t="shared" si="269"/>
        <v>0</v>
      </c>
      <c r="AG1611" s="2">
        <f t="shared" si="270"/>
        <v>0</v>
      </c>
    </row>
    <row r="1612" spans="1:33">
      <c r="A1612" s="20" t="s">
        <v>1846</v>
      </c>
      <c r="B1612" s="150"/>
      <c r="C1612" s="21" t="s">
        <v>767</v>
      </c>
      <c r="D1612" s="109" t="s">
        <v>13319</v>
      </c>
      <c r="E1612" s="109"/>
      <c r="F1612" s="391" t="s">
        <v>15055</v>
      </c>
      <c r="G1612" s="23"/>
      <c r="H1612" s="23"/>
      <c r="I1612" s="23"/>
      <c r="J1612" s="23"/>
      <c r="K1612" s="23"/>
      <c r="L1612" s="375"/>
      <c r="M1612" s="351"/>
      <c r="N1612" s="267">
        <f t="shared" si="262"/>
        <v>0</v>
      </c>
      <c r="O1612" s="268">
        <f t="shared" si="263"/>
        <v>0</v>
      </c>
      <c r="P1612" s="239"/>
      <c r="Q1612" s="239"/>
      <c r="R1612" s="239"/>
      <c r="S1612" s="239"/>
      <c r="T1612" s="239"/>
      <c r="U1612" s="240"/>
      <c r="V1612" s="240"/>
      <c r="W1612" s="240"/>
      <c r="X1612" s="278"/>
      <c r="Y1612" s="237"/>
      <c r="Z1612" s="237"/>
      <c r="AA1612" s="279"/>
      <c r="AB1612" s="238"/>
      <c r="AC1612" s="196">
        <f t="shared" si="266"/>
        <v>0</v>
      </c>
      <c r="AD1612" s="196">
        <f t="shared" si="267"/>
        <v>0</v>
      </c>
      <c r="AE1612" s="196">
        <f t="shared" si="268"/>
        <v>0</v>
      </c>
      <c r="AF1612" s="2">
        <f t="shared" si="269"/>
        <v>0</v>
      </c>
      <c r="AG1612" s="2">
        <f t="shared" si="270"/>
        <v>0</v>
      </c>
    </row>
    <row r="1613" spans="1:33">
      <c r="A1613" s="20" t="s">
        <v>21406</v>
      </c>
      <c r="B1613" s="150"/>
      <c r="C1613" s="21" t="s">
        <v>20776</v>
      </c>
      <c r="D1613" s="109" t="s">
        <v>3137</v>
      </c>
      <c r="E1613" s="109" t="s">
        <v>20884</v>
      </c>
      <c r="F1613" s="391" t="s">
        <v>20778</v>
      </c>
      <c r="G1613" s="23" t="s">
        <v>13301</v>
      </c>
      <c r="H1613" s="23"/>
      <c r="I1613" s="23"/>
      <c r="J1613" s="23"/>
      <c r="K1613" s="23"/>
      <c r="L1613" s="375" t="s">
        <v>45</v>
      </c>
      <c r="M1613" s="351" t="s">
        <v>45</v>
      </c>
      <c r="N1613" s="267">
        <f t="shared" si="262"/>
        <v>0</v>
      </c>
      <c r="O1613" s="268">
        <f t="shared" si="263"/>
        <v>0</v>
      </c>
      <c r="P1613" s="240"/>
      <c r="Q1613" s="237"/>
      <c r="R1613" s="239"/>
      <c r="S1613" s="239"/>
      <c r="T1613" s="239"/>
      <c r="U1613" s="240"/>
      <c r="V1613" s="237"/>
      <c r="W1613" s="240"/>
      <c r="X1613" s="278"/>
      <c r="Y1613" s="237"/>
      <c r="Z1613" s="237"/>
      <c r="AA1613" s="279"/>
      <c r="AB1613" s="238"/>
      <c r="AC1613" s="196">
        <f t="shared" si="266"/>
        <v>0</v>
      </c>
      <c r="AD1613" s="196">
        <f t="shared" si="267"/>
        <v>0</v>
      </c>
      <c r="AE1613" s="196">
        <f t="shared" si="268"/>
        <v>0</v>
      </c>
      <c r="AF1613" s="2">
        <f t="shared" si="269"/>
        <v>0</v>
      </c>
      <c r="AG1613" s="2">
        <f t="shared" si="270"/>
        <v>0</v>
      </c>
    </row>
    <row r="1614" spans="1:33">
      <c r="A1614" s="20" t="s">
        <v>21407</v>
      </c>
      <c r="B1614" s="150"/>
      <c r="C1614" s="21" t="s">
        <v>20802</v>
      </c>
      <c r="D1614" s="109" t="s">
        <v>3137</v>
      </c>
      <c r="E1614" s="109"/>
      <c r="F1614" s="391" t="s">
        <v>20828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/>
      <c r="N1614" s="267">
        <f t="shared" si="262"/>
        <v>0</v>
      </c>
      <c r="O1614" s="268">
        <f t="shared" si="263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6"/>
        <v>0</v>
      </c>
      <c r="AD1614" s="196">
        <f t="shared" si="267"/>
        <v>0</v>
      </c>
      <c r="AE1614" s="196">
        <f t="shared" si="268"/>
        <v>0</v>
      </c>
      <c r="AF1614" s="2">
        <f t="shared" si="269"/>
        <v>0</v>
      </c>
      <c r="AG1614" s="2">
        <f t="shared" si="270"/>
        <v>0</v>
      </c>
    </row>
    <row r="1615" spans="1:33">
      <c r="A1615" s="20" t="s">
        <v>21408</v>
      </c>
      <c r="B1615" s="150"/>
      <c r="C1615" s="21" t="s">
        <v>20723</v>
      </c>
      <c r="D1615" s="109" t="s">
        <v>3137</v>
      </c>
      <c r="E1615" s="109"/>
      <c r="F1615" s="391" t="s">
        <v>20800</v>
      </c>
      <c r="G1615" s="23" t="s">
        <v>17522</v>
      </c>
      <c r="H1615" s="23"/>
      <c r="I1615" s="23"/>
      <c r="J1615" s="23"/>
      <c r="K1615" s="23"/>
      <c r="L1615" s="375" t="s">
        <v>7787</v>
      </c>
      <c r="M1615" s="351" t="s">
        <v>7787</v>
      </c>
      <c r="N1615" s="267">
        <f t="shared" si="262"/>
        <v>0</v>
      </c>
      <c r="O1615" s="268">
        <f t="shared" si="263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7"/>
      <c r="Z1615" s="237"/>
      <c r="AA1615" s="279"/>
      <c r="AB1615" s="238"/>
      <c r="AC1615" s="196">
        <f t="shared" si="266"/>
        <v>0</v>
      </c>
      <c r="AD1615" s="196">
        <f t="shared" si="267"/>
        <v>0</v>
      </c>
      <c r="AE1615" s="196">
        <f t="shared" si="268"/>
        <v>0</v>
      </c>
      <c r="AF1615" s="2">
        <f t="shared" si="269"/>
        <v>0</v>
      </c>
      <c r="AG1615" s="2">
        <f t="shared" si="270"/>
        <v>0</v>
      </c>
    </row>
    <row r="1616" spans="1:33">
      <c r="A1616" s="20" t="s">
        <v>21409</v>
      </c>
      <c r="B1616" s="150"/>
      <c r="C1616" s="21" t="s">
        <v>20845</v>
      </c>
      <c r="D1616" s="109" t="s">
        <v>3137</v>
      </c>
      <c r="E1616" s="109" t="s">
        <v>20884</v>
      </c>
      <c r="F1616" s="391" t="s">
        <v>20863</v>
      </c>
      <c r="G1616" s="23" t="s">
        <v>17522</v>
      </c>
      <c r="H1616" s="23"/>
      <c r="I1616" s="23"/>
      <c r="J1616" s="23"/>
      <c r="K1616" s="23"/>
      <c r="L1616" s="375"/>
      <c r="M1616" s="351"/>
      <c r="N1616" s="267">
        <f t="shared" si="262"/>
        <v>0</v>
      </c>
      <c r="O1616" s="268">
        <f t="shared" si="263"/>
        <v>0</v>
      </c>
      <c r="P1616" s="239"/>
      <c r="Q1616" s="239"/>
      <c r="R1616" s="239"/>
      <c r="S1616" s="239"/>
      <c r="T1616" s="239"/>
      <c r="U1616" s="240"/>
      <c r="V1616" s="240"/>
      <c r="W1616" s="240"/>
      <c r="X1616" s="278"/>
      <c r="Y1616" s="239"/>
      <c r="Z1616" s="237"/>
      <c r="AA1616" s="279"/>
      <c r="AB1616" s="238" t="s">
        <v>21234</v>
      </c>
      <c r="AC1616" s="196">
        <f t="shared" si="266"/>
        <v>0</v>
      </c>
      <c r="AD1616" s="196">
        <f t="shared" si="267"/>
        <v>0</v>
      </c>
      <c r="AE1616" s="196">
        <f t="shared" si="268"/>
        <v>0</v>
      </c>
      <c r="AF1616" s="2">
        <f t="shared" si="269"/>
        <v>0</v>
      </c>
      <c r="AG1616" s="2">
        <f t="shared" si="270"/>
        <v>0</v>
      </c>
    </row>
    <row r="1617" spans="1:33">
      <c r="A1617" s="20" t="s">
        <v>21410</v>
      </c>
      <c r="B1617" s="150"/>
      <c r="C1617" s="21" t="s">
        <v>21253</v>
      </c>
      <c r="D1617" s="109" t="s">
        <v>4070</v>
      </c>
      <c r="E1617" s="109" t="s">
        <v>21256</v>
      </c>
      <c r="F1617" s="391" t="s">
        <v>21254</v>
      </c>
      <c r="G1617" s="23" t="s">
        <v>21255</v>
      </c>
      <c r="H1617" s="23" t="s">
        <v>21811</v>
      </c>
      <c r="I1617" s="23"/>
      <c r="J1617" s="23"/>
      <c r="K1617" s="23"/>
      <c r="L1617" s="375"/>
      <c r="M1617" s="351" t="s">
        <v>7787</v>
      </c>
      <c r="N1617" s="267">
        <f t="shared" si="262"/>
        <v>0</v>
      </c>
      <c r="O1617" s="268">
        <f t="shared" si="263"/>
        <v>0</v>
      </c>
      <c r="P1617" s="239"/>
      <c r="Q1617" s="241"/>
      <c r="R1617" s="239"/>
      <c r="S1617" s="239"/>
      <c r="T1617" s="239"/>
      <c r="U1617" s="240"/>
      <c r="V1617" s="240"/>
      <c r="W1617" s="240"/>
      <c r="X1617" s="278"/>
      <c r="Y1617" s="241"/>
      <c r="Z1617" s="237"/>
      <c r="AA1617" s="279"/>
      <c r="AB1617" s="238"/>
      <c r="AC1617" s="196">
        <f t="shared" si="266"/>
        <v>0</v>
      </c>
      <c r="AD1617" s="196">
        <f t="shared" si="267"/>
        <v>0</v>
      </c>
      <c r="AE1617" s="196">
        <f t="shared" si="268"/>
        <v>0</v>
      </c>
      <c r="AF1617" s="2">
        <f t="shared" si="269"/>
        <v>0</v>
      </c>
      <c r="AG1617" s="2">
        <f t="shared" si="270"/>
        <v>0</v>
      </c>
    </row>
    <row r="1618" spans="1:33">
      <c r="A1618" s="20" t="s">
        <v>21411</v>
      </c>
      <c r="B1618" s="150"/>
      <c r="C1618" s="21" t="s">
        <v>20870</v>
      </c>
      <c r="D1618" s="109" t="s">
        <v>3137</v>
      </c>
      <c r="E1618" s="109" t="s">
        <v>26589</v>
      </c>
      <c r="F1618" s="391" t="s">
        <v>20901</v>
      </c>
      <c r="G1618" s="23" t="s">
        <v>20871</v>
      </c>
      <c r="H1618" s="23" t="s">
        <v>20918</v>
      </c>
      <c r="I1618" s="23" t="s">
        <v>26356</v>
      </c>
      <c r="J1618" s="23"/>
      <c r="K1618" s="23"/>
      <c r="L1618" s="375" t="s">
        <v>7787</v>
      </c>
      <c r="M1618" s="351"/>
      <c r="N1618" s="267">
        <f t="shared" si="262"/>
        <v>0</v>
      </c>
      <c r="O1618" s="268">
        <f t="shared" si="263"/>
        <v>0</v>
      </c>
      <c r="P1618" s="239"/>
      <c r="Q1618" s="239"/>
      <c r="R1618" s="239"/>
      <c r="S1618" s="239"/>
      <c r="T1618" s="239"/>
      <c r="U1618" s="240"/>
      <c r="V1618" s="240"/>
      <c r="W1618" s="240"/>
      <c r="X1618" s="278"/>
      <c r="Y1618" s="243"/>
      <c r="Z1618" s="237"/>
      <c r="AA1618" s="279"/>
      <c r="AB1618" s="238"/>
      <c r="AC1618" s="196">
        <f t="shared" si="266"/>
        <v>0</v>
      </c>
      <c r="AD1618" s="196">
        <f t="shared" si="267"/>
        <v>0</v>
      </c>
      <c r="AE1618" s="196">
        <f t="shared" si="268"/>
        <v>0</v>
      </c>
      <c r="AF1618" s="2">
        <f t="shared" si="269"/>
        <v>0</v>
      </c>
      <c r="AG1618" s="2">
        <f t="shared" si="270"/>
        <v>0</v>
      </c>
    </row>
    <row r="1619" spans="1:33">
      <c r="A1619" s="20" t="s">
        <v>27050</v>
      </c>
      <c r="B1619" s="150"/>
      <c r="C1619" s="21" t="s">
        <v>26586</v>
      </c>
      <c r="D1619" s="109" t="s">
        <v>4070</v>
      </c>
      <c r="E1619" s="109" t="s">
        <v>26585</v>
      </c>
      <c r="F1619" s="391" t="s">
        <v>26587</v>
      </c>
      <c r="G1619" s="23" t="s">
        <v>8671</v>
      </c>
      <c r="H1619" s="23" t="s">
        <v>26588</v>
      </c>
      <c r="I1619" s="23" t="s">
        <v>5334</v>
      </c>
      <c r="J1619" s="23"/>
      <c r="K1619" s="23"/>
      <c r="L1619" s="375" t="s">
        <v>7787</v>
      </c>
      <c r="M1619" s="351"/>
      <c r="N1619" s="267">
        <f t="shared" ref="N1619" si="271">SUM(L1619:M1619)</f>
        <v>0</v>
      </c>
      <c r="O1619" s="268">
        <f t="shared" ref="O1619" si="272">SUM(P1619:Z1619)</f>
        <v>2100</v>
      </c>
      <c r="P1619" s="239"/>
      <c r="Q1619" s="239"/>
      <c r="R1619" s="239"/>
      <c r="S1619" s="239"/>
      <c r="T1619" s="239"/>
      <c r="U1619" s="240">
        <f>2550-1450+3000-2000</f>
        <v>2100</v>
      </c>
      <c r="V1619" s="240"/>
      <c r="W1619" s="240"/>
      <c r="X1619" s="278"/>
      <c r="Y1619" s="243"/>
      <c r="Z1619" s="237"/>
      <c r="AA1619" s="279"/>
      <c r="AB1619" s="238" t="s">
        <v>27342</v>
      </c>
      <c r="AC1619" s="196">
        <f t="shared" si="266"/>
        <v>2100</v>
      </c>
      <c r="AD1619" s="196">
        <f t="shared" si="267"/>
        <v>2100</v>
      </c>
      <c r="AE1619" s="196">
        <f t="shared" si="268"/>
        <v>0</v>
      </c>
      <c r="AF1619" s="2">
        <f t="shared" si="269"/>
        <v>2100</v>
      </c>
      <c r="AG1619" s="2">
        <f t="shared" si="270"/>
        <v>0</v>
      </c>
    </row>
    <row r="1620" spans="1:33">
      <c r="A1620" s="20" t="s">
        <v>21412</v>
      </c>
      <c r="B1620" s="150"/>
      <c r="C1620" s="21" t="s">
        <v>20916</v>
      </c>
      <c r="D1620" s="109" t="s">
        <v>3137</v>
      </c>
      <c r="E1620" s="109"/>
      <c r="F1620" s="391" t="s">
        <v>20694</v>
      </c>
      <c r="G1620" s="23" t="s">
        <v>14533</v>
      </c>
      <c r="H1620" s="23" t="s">
        <v>16630</v>
      </c>
      <c r="I1620" s="23" t="s">
        <v>13888</v>
      </c>
      <c r="J1620" s="23" t="s">
        <v>6133</v>
      </c>
      <c r="K1620" s="23" t="s">
        <v>13214</v>
      </c>
      <c r="L1620" s="375"/>
      <c r="M1620" s="351" t="s">
        <v>7787</v>
      </c>
      <c r="N1620" s="267">
        <f t="shared" si="262"/>
        <v>0</v>
      </c>
      <c r="O1620" s="268">
        <f t="shared" si="263"/>
        <v>0</v>
      </c>
      <c r="P1620" s="239"/>
      <c r="Q1620" s="239"/>
      <c r="R1620" s="239"/>
      <c r="S1620" s="239"/>
      <c r="T1620" s="239"/>
      <c r="U1620" s="240"/>
      <c r="V1620" s="240"/>
      <c r="W1620" s="240"/>
      <c r="X1620" s="278"/>
      <c r="Y1620" s="239"/>
      <c r="Z1620" s="237"/>
      <c r="AA1620" s="279"/>
      <c r="AB1620" s="238"/>
      <c r="AC1620" s="196">
        <f t="shared" si="266"/>
        <v>0</v>
      </c>
      <c r="AD1620" s="196">
        <f t="shared" si="267"/>
        <v>0</v>
      </c>
      <c r="AE1620" s="196">
        <f t="shared" si="268"/>
        <v>0</v>
      </c>
      <c r="AF1620" s="2">
        <f t="shared" si="269"/>
        <v>0</v>
      </c>
      <c r="AG1620" s="2">
        <f t="shared" si="270"/>
        <v>0</v>
      </c>
    </row>
    <row r="1621" spans="1:33">
      <c r="A1621" s="20" t="s">
        <v>21413</v>
      </c>
      <c r="B1621" s="150"/>
      <c r="C1621" s="21" t="s">
        <v>20919</v>
      </c>
      <c r="D1621" s="109" t="s">
        <v>7761</v>
      </c>
      <c r="E1621" s="109"/>
      <c r="F1621" s="391" t="s">
        <v>20969</v>
      </c>
      <c r="G1621" s="23" t="s">
        <v>20920</v>
      </c>
      <c r="H1621" s="23" t="s">
        <v>23181</v>
      </c>
      <c r="I1621" s="23"/>
      <c r="J1621" s="23"/>
      <c r="K1621" s="23"/>
      <c r="L1621" s="375"/>
      <c r="M1621" s="351" t="s">
        <v>7787</v>
      </c>
      <c r="N1621" s="267">
        <f t="shared" si="262"/>
        <v>0</v>
      </c>
      <c r="O1621" s="268">
        <f t="shared" si="263"/>
        <v>200</v>
      </c>
      <c r="P1621" s="239">
        <f>300-100</f>
        <v>200</v>
      </c>
      <c r="Q1621" s="239"/>
      <c r="R1621" s="239"/>
      <c r="S1621" s="239"/>
      <c r="T1621" s="239"/>
      <c r="U1621" s="240"/>
      <c r="V1621" s="240"/>
      <c r="W1621" s="240"/>
      <c r="X1621" s="278"/>
      <c r="Y1621" s="243"/>
      <c r="Z1621" s="237"/>
      <c r="AA1621" s="279"/>
      <c r="AB1621" s="238" t="s">
        <v>23182</v>
      </c>
      <c r="AC1621" s="196">
        <f t="shared" si="266"/>
        <v>200</v>
      </c>
      <c r="AD1621" s="196">
        <f t="shared" si="267"/>
        <v>200</v>
      </c>
      <c r="AE1621" s="196">
        <f t="shared" si="268"/>
        <v>0</v>
      </c>
      <c r="AF1621" s="2">
        <f t="shared" si="269"/>
        <v>200</v>
      </c>
      <c r="AG1621" s="2">
        <f t="shared" si="270"/>
        <v>0</v>
      </c>
    </row>
    <row r="1622" spans="1:33">
      <c r="A1622" s="20" t="s">
        <v>21414</v>
      </c>
      <c r="B1622" s="150"/>
      <c r="C1622" s="21" t="s">
        <v>21321</v>
      </c>
      <c r="D1622" s="109" t="s">
        <v>3137</v>
      </c>
      <c r="E1622" s="109" t="s">
        <v>20884</v>
      </c>
      <c r="F1622" s="391" t="s">
        <v>20800</v>
      </c>
      <c r="G1622" s="23" t="s">
        <v>17522</v>
      </c>
      <c r="H1622" s="23" t="s">
        <v>21811</v>
      </c>
      <c r="I1622" s="23"/>
      <c r="J1622" s="23"/>
      <c r="K1622" s="23"/>
      <c r="L1622" s="375" t="s">
        <v>7787</v>
      </c>
      <c r="M1622" s="351" t="s">
        <v>7787</v>
      </c>
      <c r="N1622" s="267">
        <f t="shared" si="262"/>
        <v>0</v>
      </c>
      <c r="O1622" s="268">
        <f t="shared" si="263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6"/>
        <v>0</v>
      </c>
      <c r="AD1622" s="196">
        <f t="shared" si="267"/>
        <v>0</v>
      </c>
      <c r="AE1622" s="196">
        <f t="shared" si="268"/>
        <v>0</v>
      </c>
      <c r="AF1622" s="2">
        <f t="shared" si="269"/>
        <v>0</v>
      </c>
      <c r="AG1622" s="2">
        <f t="shared" si="270"/>
        <v>0</v>
      </c>
    </row>
    <row r="1623" spans="1:33">
      <c r="A1623" s="20" t="s">
        <v>21415</v>
      </c>
      <c r="B1623" s="150"/>
      <c r="C1623" s="21" t="s">
        <v>21322</v>
      </c>
      <c r="D1623" s="109" t="s">
        <v>3137</v>
      </c>
      <c r="E1623" s="109" t="s">
        <v>21661</v>
      </c>
      <c r="F1623" s="391" t="s">
        <v>20800</v>
      </c>
      <c r="G1623" s="23" t="s">
        <v>17522</v>
      </c>
      <c r="H1623" s="23"/>
      <c r="I1623" s="23"/>
      <c r="J1623" s="23"/>
      <c r="K1623" s="23"/>
      <c r="L1623" s="375" t="s">
        <v>7787</v>
      </c>
      <c r="M1623" s="351"/>
      <c r="N1623" s="267">
        <f t="shared" si="262"/>
        <v>0</v>
      </c>
      <c r="O1623" s="268">
        <f t="shared" si="263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6"/>
        <v>0</v>
      </c>
      <c r="AD1623" s="196">
        <f t="shared" si="267"/>
        <v>0</v>
      </c>
      <c r="AE1623" s="196">
        <f t="shared" si="268"/>
        <v>0</v>
      </c>
      <c r="AF1623" s="2">
        <f t="shared" si="269"/>
        <v>0</v>
      </c>
      <c r="AG1623" s="2">
        <f t="shared" si="270"/>
        <v>0</v>
      </c>
    </row>
    <row r="1624" spans="1:33">
      <c r="A1624" s="20" t="s">
        <v>21568</v>
      </c>
      <c r="B1624" s="150"/>
      <c r="C1624" s="21" t="s">
        <v>21620</v>
      </c>
      <c r="D1624" s="109" t="s">
        <v>3137</v>
      </c>
      <c r="E1624" s="109"/>
      <c r="F1624" s="391" t="s">
        <v>21626</v>
      </c>
      <c r="G1624" s="23" t="s">
        <v>21622</v>
      </c>
      <c r="H1624" s="23" t="s">
        <v>21654</v>
      </c>
      <c r="I1624" s="23"/>
      <c r="J1624" s="23"/>
      <c r="K1624" s="23"/>
      <c r="L1624" s="375"/>
      <c r="M1624" s="351"/>
      <c r="N1624" s="267">
        <f t="shared" si="262"/>
        <v>0</v>
      </c>
      <c r="O1624" s="268">
        <f t="shared" si="263"/>
        <v>0</v>
      </c>
      <c r="P1624" s="239"/>
      <c r="Q1624" s="239"/>
      <c r="R1624" s="239"/>
      <c r="S1624" s="239"/>
      <c r="T1624" s="239"/>
      <c r="U1624" s="240"/>
      <c r="V1624" s="240"/>
      <c r="W1624" s="240"/>
      <c r="X1624" s="278"/>
      <c r="Y1624" s="239"/>
      <c r="Z1624" s="237"/>
      <c r="AA1624" s="279"/>
      <c r="AB1624" s="238"/>
      <c r="AC1624" s="196">
        <f t="shared" si="266"/>
        <v>0</v>
      </c>
      <c r="AD1624" s="196">
        <f t="shared" si="267"/>
        <v>0</v>
      </c>
      <c r="AE1624" s="196">
        <f t="shared" si="268"/>
        <v>0</v>
      </c>
      <c r="AF1624" s="2">
        <f t="shared" si="269"/>
        <v>0</v>
      </c>
      <c r="AG1624" s="2">
        <f t="shared" si="270"/>
        <v>0</v>
      </c>
    </row>
    <row r="1625" spans="1:33">
      <c r="A1625" s="20" t="s">
        <v>21570</v>
      </c>
      <c r="B1625" s="150"/>
      <c r="C1625" s="21" t="s">
        <v>21621</v>
      </c>
      <c r="D1625" s="109" t="s">
        <v>3137</v>
      </c>
      <c r="E1625" s="109"/>
      <c r="F1625" s="391" t="s">
        <v>21640</v>
      </c>
      <c r="G1625" s="23" t="s">
        <v>21622</v>
      </c>
      <c r="H1625" s="23" t="s">
        <v>21654</v>
      </c>
      <c r="I1625" s="23"/>
      <c r="J1625" s="23"/>
      <c r="K1625" s="23"/>
      <c r="L1625" s="375" t="s">
        <v>27951</v>
      </c>
      <c r="M1625" s="351" t="s">
        <v>45</v>
      </c>
      <c r="N1625" s="267">
        <f t="shared" si="262"/>
        <v>0</v>
      </c>
      <c r="O1625" s="268">
        <f t="shared" si="263"/>
        <v>200</v>
      </c>
      <c r="P1625" s="240"/>
      <c r="Q1625" s="239"/>
      <c r="R1625" s="239"/>
      <c r="S1625" s="239"/>
      <c r="T1625" s="239"/>
      <c r="U1625" s="240">
        <f>700-500</f>
        <v>200</v>
      </c>
      <c r="V1625" s="240"/>
      <c r="W1625" s="240"/>
      <c r="X1625" s="278"/>
      <c r="Y1625" s="239"/>
      <c r="Z1625" s="237"/>
      <c r="AA1625" s="279"/>
      <c r="AB1625" s="238" t="s">
        <v>27944</v>
      </c>
      <c r="AC1625" s="196">
        <f t="shared" si="266"/>
        <v>200</v>
      </c>
      <c r="AD1625" s="196">
        <f t="shared" si="267"/>
        <v>200</v>
      </c>
      <c r="AE1625" s="196">
        <f t="shared" si="268"/>
        <v>0</v>
      </c>
      <c r="AF1625" s="2">
        <f t="shared" si="269"/>
        <v>200</v>
      </c>
      <c r="AG1625" s="2">
        <f t="shared" si="270"/>
        <v>0</v>
      </c>
    </row>
    <row r="1626" spans="1:33">
      <c r="A1626" s="20" t="s">
        <v>21416</v>
      </c>
      <c r="B1626" s="150"/>
      <c r="C1626" s="21" t="s">
        <v>20880</v>
      </c>
      <c r="D1626" s="109" t="s">
        <v>3941</v>
      </c>
      <c r="E1626" s="109" t="s">
        <v>20881</v>
      </c>
      <c r="F1626" s="391" t="s">
        <v>20900</v>
      </c>
      <c r="G1626" s="23" t="s">
        <v>20882</v>
      </c>
      <c r="H1626" s="23"/>
      <c r="I1626" s="23"/>
      <c r="J1626" s="23"/>
      <c r="K1626" s="23"/>
      <c r="L1626" s="375" t="s">
        <v>7787</v>
      </c>
      <c r="M1626" s="351"/>
      <c r="N1626" s="267">
        <f t="shared" si="262"/>
        <v>0</v>
      </c>
      <c r="O1626" s="268">
        <f t="shared" si="263"/>
        <v>0</v>
      </c>
      <c r="P1626" s="239"/>
      <c r="Q1626" s="239"/>
      <c r="R1626" s="239"/>
      <c r="S1626" s="239"/>
      <c r="T1626" s="239"/>
      <c r="U1626" s="240"/>
      <c r="V1626" s="240"/>
      <c r="W1626" s="240"/>
      <c r="X1626" s="278"/>
      <c r="Y1626" s="239"/>
      <c r="Z1626" s="237"/>
      <c r="AA1626" s="279"/>
      <c r="AB1626" s="238"/>
      <c r="AC1626" s="196">
        <f t="shared" si="266"/>
        <v>0</v>
      </c>
      <c r="AD1626" s="196">
        <f t="shared" si="267"/>
        <v>0</v>
      </c>
      <c r="AE1626" s="196">
        <f t="shared" si="268"/>
        <v>0</v>
      </c>
      <c r="AF1626" s="2">
        <f t="shared" si="269"/>
        <v>0</v>
      </c>
      <c r="AG1626" s="2">
        <f t="shared" si="270"/>
        <v>0</v>
      </c>
    </row>
    <row r="1627" spans="1:33">
      <c r="A1627" s="20" t="s">
        <v>21417</v>
      </c>
      <c r="B1627" s="150"/>
      <c r="C1627" s="21" t="s">
        <v>21008</v>
      </c>
      <c r="D1627" s="109" t="s">
        <v>3137</v>
      </c>
      <c r="E1627" s="109"/>
      <c r="F1627" s="391" t="s">
        <v>21040</v>
      </c>
      <c r="G1627" s="23" t="s">
        <v>13888</v>
      </c>
      <c r="H1627" s="23"/>
      <c r="I1627" s="23"/>
      <c r="J1627" s="23"/>
      <c r="K1627" s="23"/>
      <c r="L1627" s="375"/>
      <c r="M1627" s="351" t="s">
        <v>45</v>
      </c>
      <c r="N1627" s="267">
        <f t="shared" si="262"/>
        <v>0</v>
      </c>
      <c r="O1627" s="268">
        <f t="shared" si="263"/>
        <v>150</v>
      </c>
      <c r="P1627" s="240"/>
      <c r="Q1627" s="239"/>
      <c r="R1627" s="240"/>
      <c r="S1627" s="239"/>
      <c r="T1627" s="239"/>
      <c r="U1627" s="240">
        <f>3700-2000-1500+2400+1400-1500-1500+1100-1950</f>
        <v>150</v>
      </c>
      <c r="V1627" s="240"/>
      <c r="W1627" s="240"/>
      <c r="X1627" s="278"/>
      <c r="Y1627" s="240"/>
      <c r="Z1627" s="237"/>
      <c r="AA1627" s="240"/>
      <c r="AB1627" s="238" t="s">
        <v>27309</v>
      </c>
      <c r="AC1627" s="196">
        <f t="shared" si="266"/>
        <v>150</v>
      </c>
      <c r="AD1627" s="196">
        <f t="shared" si="267"/>
        <v>150</v>
      </c>
      <c r="AE1627" s="196">
        <f t="shared" si="268"/>
        <v>0</v>
      </c>
      <c r="AF1627" s="2">
        <f t="shared" si="269"/>
        <v>150</v>
      </c>
      <c r="AG1627" s="2">
        <f t="shared" si="270"/>
        <v>0</v>
      </c>
    </row>
    <row r="1628" spans="1:33">
      <c r="A1628" s="20" t="s">
        <v>21418</v>
      </c>
      <c r="B1628" s="150"/>
      <c r="C1628" s="21" t="s">
        <v>21010</v>
      </c>
      <c r="D1628" s="109" t="s">
        <v>7761</v>
      </c>
      <c r="E1628" s="109"/>
      <c r="F1628" s="391" t="s">
        <v>21039</v>
      </c>
      <c r="G1628" s="23" t="s">
        <v>21011</v>
      </c>
      <c r="H1628" s="23"/>
      <c r="I1628" s="23"/>
      <c r="J1628" s="23"/>
      <c r="K1628" s="23"/>
      <c r="L1628" s="375" t="s">
        <v>7787</v>
      </c>
      <c r="M1628" s="351"/>
      <c r="N1628" s="267">
        <f t="shared" si="262"/>
        <v>0</v>
      </c>
      <c r="O1628" s="268">
        <f t="shared" si="263"/>
        <v>0</v>
      </c>
      <c r="P1628" s="239"/>
      <c r="Q1628" s="239"/>
      <c r="R1628" s="239"/>
      <c r="S1628" s="239"/>
      <c r="T1628" s="239"/>
      <c r="U1628" s="240"/>
      <c r="V1628" s="240"/>
      <c r="W1628" s="240"/>
      <c r="X1628" s="278"/>
      <c r="Y1628" s="239"/>
      <c r="Z1628" s="237"/>
      <c r="AA1628" s="279"/>
      <c r="AB1628" s="238"/>
      <c r="AC1628" s="196">
        <f t="shared" si="266"/>
        <v>0</v>
      </c>
      <c r="AD1628" s="196">
        <f t="shared" si="267"/>
        <v>0</v>
      </c>
      <c r="AE1628" s="196">
        <f t="shared" si="268"/>
        <v>0</v>
      </c>
      <c r="AF1628" s="2">
        <f t="shared" si="269"/>
        <v>0</v>
      </c>
      <c r="AG1628" s="2">
        <f t="shared" si="270"/>
        <v>0</v>
      </c>
    </row>
    <row r="1629" spans="1:33">
      <c r="A1629" s="20" t="s">
        <v>21419</v>
      </c>
      <c r="B1629" s="150"/>
      <c r="C1629" s="21" t="s">
        <v>21281</v>
      </c>
      <c r="D1629" s="109" t="s">
        <v>3137</v>
      </c>
      <c r="E1629" s="109"/>
      <c r="F1629" s="391" t="s">
        <v>21285</v>
      </c>
      <c r="G1629" s="23" t="s">
        <v>21282</v>
      </c>
      <c r="H1629" s="23"/>
      <c r="I1629" s="23"/>
      <c r="J1629" s="23"/>
      <c r="K1629" s="23"/>
      <c r="L1629" s="375" t="s">
        <v>7787</v>
      </c>
      <c r="M1629" s="351" t="s">
        <v>45</v>
      </c>
      <c r="N1629" s="267">
        <f t="shared" si="262"/>
        <v>0</v>
      </c>
      <c r="O1629" s="268">
        <f t="shared" si="263"/>
        <v>0</v>
      </c>
      <c r="P1629" s="239"/>
      <c r="Q1629" s="239"/>
      <c r="R1629" s="239"/>
      <c r="S1629" s="239"/>
      <c r="T1629" s="239"/>
      <c r="U1629" s="240"/>
      <c r="V1629" s="239"/>
      <c r="W1629" s="240"/>
      <c r="X1629" s="278"/>
      <c r="Y1629" s="239"/>
      <c r="Z1629" s="237"/>
      <c r="AA1629" s="279"/>
      <c r="AB1629" s="238"/>
      <c r="AC1629" s="196">
        <f t="shared" si="266"/>
        <v>0</v>
      </c>
      <c r="AD1629" s="196">
        <f t="shared" si="267"/>
        <v>0</v>
      </c>
      <c r="AE1629" s="196">
        <f t="shared" si="268"/>
        <v>0</v>
      </c>
      <c r="AF1629" s="2">
        <f t="shared" si="269"/>
        <v>0</v>
      </c>
      <c r="AG1629" s="2">
        <f t="shared" si="270"/>
        <v>0</v>
      </c>
    </row>
    <row r="1630" spans="1:33">
      <c r="A1630" s="20" t="s">
        <v>21420</v>
      </c>
      <c r="B1630" s="150"/>
      <c r="C1630" s="21" t="s">
        <v>21153</v>
      </c>
      <c r="D1630" s="109" t="s">
        <v>3137</v>
      </c>
      <c r="E1630" s="109"/>
      <c r="F1630" s="391" t="s">
        <v>21163</v>
      </c>
      <c r="G1630" s="23" t="s">
        <v>21164</v>
      </c>
      <c r="H1630" s="23"/>
      <c r="I1630" s="23"/>
      <c r="J1630" s="23"/>
      <c r="K1630" s="23"/>
      <c r="L1630" s="375" t="s">
        <v>7787</v>
      </c>
      <c r="M1630" s="351"/>
      <c r="N1630" s="267">
        <f t="shared" si="262"/>
        <v>0</v>
      </c>
      <c r="O1630" s="268">
        <f t="shared" si="263"/>
        <v>0</v>
      </c>
      <c r="P1630" s="239"/>
      <c r="Q1630" s="239"/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/>
      <c r="AC1630" s="196">
        <f t="shared" si="266"/>
        <v>0</v>
      </c>
      <c r="AD1630" s="196">
        <f t="shared" si="267"/>
        <v>0</v>
      </c>
      <c r="AE1630" s="196">
        <f t="shared" si="268"/>
        <v>0</v>
      </c>
      <c r="AF1630" s="2">
        <f t="shared" si="269"/>
        <v>0</v>
      </c>
      <c r="AG1630" s="2">
        <f t="shared" si="270"/>
        <v>0</v>
      </c>
    </row>
    <row r="1631" spans="1:33">
      <c r="A1631" s="20" t="s">
        <v>21421</v>
      </c>
      <c r="B1631" s="150"/>
      <c r="C1631" s="21" t="s">
        <v>21083</v>
      </c>
      <c r="D1631" s="109" t="s">
        <v>3137</v>
      </c>
      <c r="E1631" s="109"/>
      <c r="F1631" s="391" t="s">
        <v>21084</v>
      </c>
      <c r="G1631" s="23" t="s">
        <v>17522</v>
      </c>
      <c r="H1631" s="23" t="s">
        <v>6133</v>
      </c>
      <c r="I1631" s="23"/>
      <c r="J1631" s="23"/>
      <c r="K1631" s="23"/>
      <c r="L1631" s="375" t="s">
        <v>7787</v>
      </c>
      <c r="M1631" s="351" t="s">
        <v>45</v>
      </c>
      <c r="N1631" s="267">
        <f t="shared" si="262"/>
        <v>0</v>
      </c>
      <c r="O1631" s="268">
        <f t="shared" si="263"/>
        <v>250</v>
      </c>
      <c r="P1631" s="239"/>
      <c r="Q1631" s="239">
        <f>300-50</f>
        <v>250</v>
      </c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 t="s">
        <v>26081</v>
      </c>
      <c r="AC1631" s="196">
        <f t="shared" si="266"/>
        <v>250</v>
      </c>
      <c r="AD1631" s="196">
        <f t="shared" si="267"/>
        <v>250</v>
      </c>
      <c r="AE1631" s="196">
        <f t="shared" si="268"/>
        <v>0</v>
      </c>
      <c r="AF1631" s="2">
        <f t="shared" si="269"/>
        <v>250</v>
      </c>
      <c r="AG1631" s="2">
        <f t="shared" si="270"/>
        <v>0</v>
      </c>
    </row>
    <row r="1632" spans="1:33">
      <c r="A1632" s="20" t="s">
        <v>21422</v>
      </c>
      <c r="B1632" s="150"/>
      <c r="C1632" s="21" t="s">
        <v>21062</v>
      </c>
      <c r="D1632" s="109" t="s">
        <v>21063</v>
      </c>
      <c r="E1632" s="109"/>
      <c r="F1632" s="391" t="s">
        <v>21175</v>
      </c>
      <c r="G1632" s="23" t="s">
        <v>21064</v>
      </c>
      <c r="H1632" s="23"/>
      <c r="I1632" s="23"/>
      <c r="J1632" s="23"/>
      <c r="K1632" s="23"/>
      <c r="L1632" s="375" t="s">
        <v>45</v>
      </c>
      <c r="M1632" s="351"/>
      <c r="N1632" s="267">
        <f t="shared" si="262"/>
        <v>0</v>
      </c>
      <c r="O1632" s="268">
        <f t="shared" si="263"/>
        <v>0</v>
      </c>
      <c r="P1632" s="239"/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/>
      <c r="AC1632" s="196">
        <f t="shared" si="266"/>
        <v>0</v>
      </c>
      <c r="AD1632" s="196">
        <f t="shared" si="267"/>
        <v>0</v>
      </c>
      <c r="AE1632" s="196">
        <f t="shared" si="268"/>
        <v>0</v>
      </c>
      <c r="AF1632" s="2">
        <f t="shared" si="269"/>
        <v>0</v>
      </c>
      <c r="AG1632" s="2">
        <f t="shared" si="270"/>
        <v>0</v>
      </c>
    </row>
    <row r="1633" spans="1:33">
      <c r="A1633" s="20" t="s">
        <v>21423</v>
      </c>
      <c r="B1633" s="150"/>
      <c r="C1633" s="21" t="s">
        <v>21323</v>
      </c>
      <c r="D1633" s="109" t="s">
        <v>3137</v>
      </c>
      <c r="E1633" s="109"/>
      <c r="F1633" s="391" t="s">
        <v>21340</v>
      </c>
      <c r="G1633" s="23" t="s">
        <v>20439</v>
      </c>
      <c r="H1633" s="23"/>
      <c r="I1633" s="23"/>
      <c r="J1633" s="23"/>
      <c r="K1633" s="23"/>
      <c r="L1633" s="375" t="s">
        <v>45</v>
      </c>
      <c r="M1633" s="351" t="s">
        <v>45</v>
      </c>
      <c r="N1633" s="267">
        <f t="shared" si="262"/>
        <v>0</v>
      </c>
      <c r="O1633" s="268">
        <f t="shared" si="263"/>
        <v>150</v>
      </c>
      <c r="P1633" s="239">
        <f>750+1050+300-1300+100+1400-2000+2500-2500+400+1550-300-1700+2900-1500-1000-500</f>
        <v>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26101</v>
      </c>
      <c r="AC1633" s="196">
        <f t="shared" si="266"/>
        <v>150</v>
      </c>
      <c r="AD1633" s="196">
        <f t="shared" si="267"/>
        <v>150</v>
      </c>
      <c r="AE1633" s="196">
        <f t="shared" si="268"/>
        <v>0</v>
      </c>
      <c r="AF1633" s="2">
        <f t="shared" si="269"/>
        <v>150</v>
      </c>
      <c r="AG1633" s="2">
        <f t="shared" si="270"/>
        <v>0</v>
      </c>
    </row>
    <row r="1634" spans="1:33">
      <c r="A1634" s="20" t="s">
        <v>21424</v>
      </c>
      <c r="B1634" s="150"/>
      <c r="C1634" s="21" t="s">
        <v>21183</v>
      </c>
      <c r="D1634" s="109" t="s">
        <v>21184</v>
      </c>
      <c r="E1634" s="109" t="s">
        <v>24712</v>
      </c>
      <c r="F1634" s="391" t="s">
        <v>21232</v>
      </c>
      <c r="G1634" s="23" t="s">
        <v>20243</v>
      </c>
      <c r="H1634" s="23" t="s">
        <v>24463</v>
      </c>
      <c r="I1634" s="23"/>
      <c r="J1634" s="23"/>
      <c r="K1634" s="23"/>
      <c r="L1634" s="375" t="s">
        <v>45</v>
      </c>
      <c r="M1634" s="351" t="s">
        <v>45</v>
      </c>
      <c r="N1634" s="267">
        <f t="shared" si="262"/>
        <v>0</v>
      </c>
      <c r="O1634" s="268">
        <f t="shared" si="263"/>
        <v>2150</v>
      </c>
      <c r="P1634" s="239">
        <f>350+750-500+550-500+2000-500</f>
        <v>2150</v>
      </c>
      <c r="Q1634" s="239"/>
      <c r="R1634" s="239"/>
      <c r="S1634" s="239"/>
      <c r="T1634" s="239"/>
      <c r="U1634" s="240"/>
      <c r="V1634" s="240"/>
      <c r="W1634" s="240"/>
      <c r="X1634" s="278"/>
      <c r="Y1634" s="239"/>
      <c r="Z1634" s="237"/>
      <c r="AA1634" s="279"/>
      <c r="AB1634" s="238" t="s">
        <v>25679</v>
      </c>
      <c r="AC1634" s="196">
        <f t="shared" si="266"/>
        <v>2150</v>
      </c>
      <c r="AD1634" s="196">
        <f t="shared" si="267"/>
        <v>2150</v>
      </c>
      <c r="AE1634" s="196">
        <f t="shared" si="268"/>
        <v>0</v>
      </c>
      <c r="AF1634" s="2">
        <f t="shared" si="269"/>
        <v>2150</v>
      </c>
      <c r="AG1634" s="2">
        <f t="shared" si="270"/>
        <v>0</v>
      </c>
    </row>
    <row r="1635" spans="1:33">
      <c r="A1635" s="20" t="s">
        <v>21425</v>
      </c>
      <c r="B1635" s="150"/>
      <c r="C1635" s="21" t="s">
        <v>21186</v>
      </c>
      <c r="D1635" s="109" t="s">
        <v>3137</v>
      </c>
      <c r="E1635" s="109"/>
      <c r="F1635" s="391" t="s">
        <v>21187</v>
      </c>
      <c r="G1635" s="23" t="s">
        <v>13301</v>
      </c>
      <c r="H1635" s="23"/>
      <c r="I1635" s="23"/>
      <c r="J1635" s="23"/>
      <c r="K1635" s="23"/>
      <c r="L1635" s="375">
        <v>1450</v>
      </c>
      <c r="M1635" s="351" t="s">
        <v>45</v>
      </c>
      <c r="N1635" s="267">
        <f t="shared" si="262"/>
        <v>1450</v>
      </c>
      <c r="O1635" s="268">
        <f t="shared" si="263"/>
        <v>1250</v>
      </c>
      <c r="P1635" s="239"/>
      <c r="Q1635" s="239"/>
      <c r="R1635" s="239"/>
      <c r="S1635" s="239"/>
      <c r="T1635" s="239"/>
      <c r="U1635" s="239">
        <v>1250</v>
      </c>
      <c r="V1635" s="240"/>
      <c r="W1635" s="240"/>
      <c r="X1635" s="278"/>
      <c r="Y1635" s="239"/>
      <c r="Z1635" s="237"/>
      <c r="AA1635" s="279"/>
      <c r="AB1635" s="238" t="s">
        <v>28025</v>
      </c>
      <c r="AC1635" s="196">
        <f t="shared" si="266"/>
        <v>1250</v>
      </c>
      <c r="AD1635" s="196">
        <f t="shared" si="267"/>
        <v>1250</v>
      </c>
      <c r="AE1635" s="196">
        <f t="shared" si="268"/>
        <v>0</v>
      </c>
      <c r="AF1635" s="2">
        <f t="shared" si="269"/>
        <v>1250</v>
      </c>
      <c r="AG1635" s="2">
        <f t="shared" si="270"/>
        <v>0</v>
      </c>
    </row>
    <row r="1636" spans="1:33">
      <c r="A1636" s="20" t="s">
        <v>22710</v>
      </c>
      <c r="B1636" s="150"/>
      <c r="C1636" s="21" t="s">
        <v>21186</v>
      </c>
      <c r="D1636" s="109" t="s">
        <v>3133</v>
      </c>
      <c r="E1636" s="109"/>
      <c r="F1636" s="391" t="s">
        <v>21187</v>
      </c>
      <c r="G1636" s="23" t="s">
        <v>21583</v>
      </c>
      <c r="H1636" s="23" t="s">
        <v>25876</v>
      </c>
      <c r="I1636" s="23"/>
      <c r="J1636" s="23"/>
      <c r="K1636" s="23"/>
      <c r="L1636" s="375" t="s">
        <v>27445</v>
      </c>
      <c r="M1636" s="351" t="s">
        <v>45</v>
      </c>
      <c r="N1636" s="267">
        <f t="shared" si="262"/>
        <v>0</v>
      </c>
      <c r="O1636" s="268">
        <f t="shared" si="263"/>
        <v>1250</v>
      </c>
      <c r="P1636" s="239">
        <f>1700+2650-2500-1050+1000+1400+1000+2100+2250-3300-3000+1000-3000+3950+2550+500-6000</f>
        <v>1250</v>
      </c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 t="s">
        <v>27444</v>
      </c>
      <c r="AC1636" s="196">
        <f t="shared" si="266"/>
        <v>1250</v>
      </c>
      <c r="AD1636" s="196">
        <f t="shared" si="267"/>
        <v>1250</v>
      </c>
      <c r="AE1636" s="196">
        <f t="shared" si="268"/>
        <v>0</v>
      </c>
      <c r="AF1636" s="2">
        <f t="shared" si="269"/>
        <v>1250</v>
      </c>
      <c r="AG1636" s="2">
        <f t="shared" si="270"/>
        <v>0</v>
      </c>
    </row>
    <row r="1637" spans="1:33">
      <c r="A1637" s="20" t="s">
        <v>21426</v>
      </c>
      <c r="B1637" s="150"/>
      <c r="C1637" s="21" t="s">
        <v>21189</v>
      </c>
      <c r="D1637" s="109" t="s">
        <v>3137</v>
      </c>
      <c r="E1637" s="109"/>
      <c r="F1637" s="391" t="s">
        <v>21191</v>
      </c>
      <c r="G1637" s="23" t="s">
        <v>21190</v>
      </c>
      <c r="H1637" s="23"/>
      <c r="I1637" s="23"/>
      <c r="J1637" s="23"/>
      <c r="K1637" s="23"/>
      <c r="L1637" s="375"/>
      <c r="M1637" s="351" t="s">
        <v>7787</v>
      </c>
      <c r="N1637" s="267">
        <f t="shared" si="262"/>
        <v>0</v>
      </c>
      <c r="O1637" s="268">
        <f t="shared" si="263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9"/>
      <c r="Z1637" s="237"/>
      <c r="AA1637" s="279"/>
      <c r="AB1637" s="238"/>
      <c r="AC1637" s="196">
        <f t="shared" si="266"/>
        <v>0</v>
      </c>
      <c r="AD1637" s="196">
        <f t="shared" si="267"/>
        <v>0</v>
      </c>
      <c r="AE1637" s="196">
        <f t="shared" si="268"/>
        <v>0</v>
      </c>
      <c r="AF1637" s="2">
        <f t="shared" si="269"/>
        <v>0</v>
      </c>
      <c r="AG1637" s="2">
        <f t="shared" si="270"/>
        <v>0</v>
      </c>
    </row>
    <row r="1638" spans="1:33">
      <c r="A1638" s="20" t="s">
        <v>1847</v>
      </c>
      <c r="B1638" s="150"/>
      <c r="C1638" s="21" t="s">
        <v>768</v>
      </c>
      <c r="D1638" s="109" t="s">
        <v>13878</v>
      </c>
      <c r="E1638" s="109"/>
      <c r="F1638" s="391" t="s">
        <v>15056</v>
      </c>
      <c r="G1638" s="23" t="s">
        <v>15057</v>
      </c>
      <c r="H1638" s="23"/>
      <c r="I1638" s="23"/>
      <c r="J1638" s="23"/>
      <c r="K1638" s="23"/>
      <c r="L1638" s="375" t="s">
        <v>7787</v>
      </c>
      <c r="M1638" s="351"/>
      <c r="N1638" s="267">
        <f t="shared" si="262"/>
        <v>0</v>
      </c>
      <c r="O1638" s="268">
        <f t="shared" si="263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7"/>
      <c r="Z1638" s="237"/>
      <c r="AA1638" s="285"/>
      <c r="AB1638" s="238"/>
      <c r="AC1638" s="196">
        <f t="shared" si="266"/>
        <v>0</v>
      </c>
      <c r="AD1638" s="196">
        <f t="shared" si="267"/>
        <v>0</v>
      </c>
      <c r="AE1638" s="196">
        <f t="shared" si="268"/>
        <v>0</v>
      </c>
      <c r="AF1638" s="2">
        <f t="shared" si="269"/>
        <v>0</v>
      </c>
      <c r="AG1638" s="2">
        <f t="shared" si="270"/>
        <v>0</v>
      </c>
    </row>
    <row r="1639" spans="1:33">
      <c r="A1639" s="20" t="s">
        <v>21427</v>
      </c>
      <c r="B1639" s="150"/>
      <c r="C1639" s="21" t="s">
        <v>21146</v>
      </c>
      <c r="D1639" s="109" t="s">
        <v>3137</v>
      </c>
      <c r="E1639" s="109"/>
      <c r="F1639" s="391" t="s">
        <v>21176</v>
      </c>
      <c r="G1639" s="23" t="s">
        <v>21147</v>
      </c>
      <c r="H1639" s="23"/>
      <c r="I1639" s="23"/>
      <c r="J1639" s="23"/>
      <c r="K1639" s="23"/>
      <c r="L1639" s="375" t="s">
        <v>7787</v>
      </c>
      <c r="M1639" s="351" t="s">
        <v>7787</v>
      </c>
      <c r="N1639" s="267">
        <f t="shared" si="262"/>
        <v>0</v>
      </c>
      <c r="O1639" s="268">
        <f t="shared" si="263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9"/>
      <c r="Z1639" s="237"/>
      <c r="AA1639" s="285"/>
      <c r="AB1639" s="238"/>
      <c r="AC1639" s="196">
        <f t="shared" si="266"/>
        <v>0</v>
      </c>
      <c r="AD1639" s="196">
        <f t="shared" si="267"/>
        <v>0</v>
      </c>
      <c r="AE1639" s="196">
        <f t="shared" si="268"/>
        <v>0</v>
      </c>
      <c r="AF1639" s="2">
        <f t="shared" si="269"/>
        <v>0</v>
      </c>
      <c r="AG1639" s="2">
        <f t="shared" si="270"/>
        <v>0</v>
      </c>
    </row>
    <row r="1640" spans="1:33">
      <c r="A1640" s="20" t="s">
        <v>21428</v>
      </c>
      <c r="B1640" s="150"/>
      <c r="C1640" s="21" t="s">
        <v>21224</v>
      </c>
      <c r="D1640" s="109" t="s">
        <v>7761</v>
      </c>
      <c r="E1640" s="109"/>
      <c r="F1640" s="391" t="s">
        <v>21229</v>
      </c>
      <c r="G1640" s="23" t="s">
        <v>21225</v>
      </c>
      <c r="H1640" s="23"/>
      <c r="I1640" s="23"/>
      <c r="J1640" s="23"/>
      <c r="K1640" s="23"/>
      <c r="L1640" s="375"/>
      <c r="M1640" s="351" t="s">
        <v>7787</v>
      </c>
      <c r="N1640" s="267">
        <f t="shared" si="262"/>
        <v>0</v>
      </c>
      <c r="O1640" s="268">
        <f t="shared" si="263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7"/>
      <c r="Z1640" s="237"/>
      <c r="AA1640" s="285"/>
      <c r="AB1640" s="238"/>
      <c r="AC1640" s="196">
        <f t="shared" si="266"/>
        <v>0</v>
      </c>
      <c r="AD1640" s="196">
        <f t="shared" si="267"/>
        <v>0</v>
      </c>
      <c r="AE1640" s="196">
        <f t="shared" si="268"/>
        <v>0</v>
      </c>
      <c r="AF1640" s="2">
        <f t="shared" si="269"/>
        <v>0</v>
      </c>
      <c r="AG1640" s="2">
        <f t="shared" si="270"/>
        <v>0</v>
      </c>
    </row>
    <row r="1641" spans="1:33">
      <c r="A1641" s="20" t="s">
        <v>21429</v>
      </c>
      <c r="B1641" s="150"/>
      <c r="C1641" s="21" t="s">
        <v>21167</v>
      </c>
      <c r="D1641" s="109" t="s">
        <v>7761</v>
      </c>
      <c r="E1641" s="109"/>
      <c r="F1641" s="391" t="s">
        <v>21168</v>
      </c>
      <c r="G1641" s="23" t="s">
        <v>18870</v>
      </c>
      <c r="H1641" s="23"/>
      <c r="I1641" s="23"/>
      <c r="J1641" s="23"/>
      <c r="K1641" s="23"/>
      <c r="L1641" s="375" t="s">
        <v>7787</v>
      </c>
      <c r="M1641" s="351" t="s">
        <v>7787</v>
      </c>
      <c r="N1641" s="267">
        <f t="shared" si="262"/>
        <v>0</v>
      </c>
      <c r="O1641" s="268">
        <f t="shared" si="263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9"/>
      <c r="Z1641" s="237"/>
      <c r="AA1641" s="285"/>
      <c r="AB1641" s="238"/>
      <c r="AC1641" s="196">
        <f t="shared" si="266"/>
        <v>0</v>
      </c>
      <c r="AD1641" s="196">
        <f t="shared" si="267"/>
        <v>0</v>
      </c>
      <c r="AE1641" s="196">
        <f t="shared" si="268"/>
        <v>0</v>
      </c>
      <c r="AF1641" s="2">
        <f t="shared" si="269"/>
        <v>0</v>
      </c>
      <c r="AG1641" s="2">
        <f t="shared" si="270"/>
        <v>0</v>
      </c>
    </row>
    <row r="1642" spans="1:33">
      <c r="A1642" s="20" t="s">
        <v>21430</v>
      </c>
      <c r="B1642" s="150"/>
      <c r="C1642" s="21" t="s">
        <v>21236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 t="s">
        <v>7787</v>
      </c>
      <c r="M1642" s="351"/>
      <c r="N1642" s="267">
        <f t="shared" si="262"/>
        <v>0</v>
      </c>
      <c r="O1642" s="268">
        <f t="shared" si="263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6"/>
        <v>0</v>
      </c>
      <c r="AD1642" s="196">
        <f t="shared" si="267"/>
        <v>0</v>
      </c>
      <c r="AE1642" s="196">
        <f t="shared" si="268"/>
        <v>0</v>
      </c>
      <c r="AF1642" s="2">
        <f t="shared" si="269"/>
        <v>0</v>
      </c>
      <c r="AG1642" s="2">
        <f t="shared" si="270"/>
        <v>0</v>
      </c>
    </row>
    <row r="1643" spans="1:33">
      <c r="A1643" s="20" t="s">
        <v>21431</v>
      </c>
      <c r="B1643" s="150"/>
      <c r="C1643" s="21" t="s">
        <v>21235</v>
      </c>
      <c r="D1643" s="109" t="s">
        <v>3137</v>
      </c>
      <c r="E1643" s="109"/>
      <c r="F1643" s="391" t="s">
        <v>21250</v>
      </c>
      <c r="G1643" s="23" t="s">
        <v>17522</v>
      </c>
      <c r="H1643" s="23"/>
      <c r="I1643" s="23"/>
      <c r="J1643" s="23"/>
      <c r="K1643" s="23"/>
      <c r="L1643" s="375"/>
      <c r="M1643" s="351"/>
      <c r="N1643" s="267">
        <f t="shared" si="262"/>
        <v>0</v>
      </c>
      <c r="O1643" s="268">
        <f t="shared" si="263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6"/>
        <v>0</v>
      </c>
      <c r="AD1643" s="196">
        <f t="shared" si="267"/>
        <v>0</v>
      </c>
      <c r="AE1643" s="196">
        <f t="shared" si="268"/>
        <v>0</v>
      </c>
      <c r="AF1643" s="2">
        <f t="shared" si="269"/>
        <v>0</v>
      </c>
      <c r="AG1643" s="2">
        <f t="shared" si="270"/>
        <v>0</v>
      </c>
    </row>
    <row r="1644" spans="1:33">
      <c r="A1644" s="20" t="s">
        <v>1848</v>
      </c>
      <c r="B1644" s="150"/>
      <c r="C1644" s="21" t="s">
        <v>769</v>
      </c>
      <c r="D1644" s="109" t="s">
        <v>15010</v>
      </c>
      <c r="E1644" s="109"/>
      <c r="F1644" s="391" t="s">
        <v>15058</v>
      </c>
      <c r="G1644" s="23" t="s">
        <v>15059</v>
      </c>
      <c r="H1644" s="23" t="s">
        <v>15060</v>
      </c>
      <c r="I1644" s="23"/>
      <c r="J1644" s="23"/>
      <c r="K1644" s="23"/>
      <c r="L1644" s="375" t="s">
        <v>7787</v>
      </c>
      <c r="M1644" s="351" t="s">
        <v>7787</v>
      </c>
      <c r="N1644" s="267">
        <f t="shared" si="262"/>
        <v>0</v>
      </c>
      <c r="O1644" s="268">
        <f t="shared" si="263"/>
        <v>0</v>
      </c>
      <c r="P1644" s="239"/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/>
      <c r="AC1644" s="196">
        <f t="shared" si="266"/>
        <v>0</v>
      </c>
      <c r="AD1644" s="196">
        <f t="shared" si="267"/>
        <v>0</v>
      </c>
      <c r="AE1644" s="196">
        <f t="shared" si="268"/>
        <v>0</v>
      </c>
      <c r="AF1644" s="2">
        <f t="shared" si="269"/>
        <v>0</v>
      </c>
      <c r="AG1644" s="2">
        <f t="shared" si="270"/>
        <v>0</v>
      </c>
    </row>
    <row r="1645" spans="1:33">
      <c r="A1645" s="20" t="s">
        <v>21432</v>
      </c>
      <c r="B1645" s="150"/>
      <c r="C1645" s="21" t="s">
        <v>21286</v>
      </c>
      <c r="D1645" s="109" t="s">
        <v>3137</v>
      </c>
      <c r="E1645" s="109"/>
      <c r="F1645" s="391" t="s">
        <v>21299</v>
      </c>
      <c r="G1645" s="23" t="s">
        <v>18312</v>
      </c>
      <c r="H1645" s="23"/>
      <c r="I1645" s="23"/>
      <c r="J1645" s="23"/>
      <c r="K1645" s="23"/>
      <c r="L1645" s="375" t="s">
        <v>45</v>
      </c>
      <c r="M1645" s="351" t="s">
        <v>45</v>
      </c>
      <c r="N1645" s="267">
        <f t="shared" si="262"/>
        <v>0</v>
      </c>
      <c r="O1645" s="268">
        <f t="shared" si="263"/>
        <v>50</v>
      </c>
      <c r="P1645" s="239">
        <f>1050-1000</f>
        <v>50</v>
      </c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 t="s">
        <v>25763</v>
      </c>
      <c r="AC1645" s="196">
        <f t="shared" si="266"/>
        <v>50</v>
      </c>
      <c r="AD1645" s="196">
        <f t="shared" si="267"/>
        <v>50</v>
      </c>
      <c r="AE1645" s="196">
        <f t="shared" si="268"/>
        <v>0</v>
      </c>
      <c r="AF1645" s="2">
        <f t="shared" si="269"/>
        <v>50</v>
      </c>
      <c r="AG1645" s="2">
        <f t="shared" si="270"/>
        <v>0</v>
      </c>
    </row>
    <row r="1646" spans="1:33">
      <c r="A1646" s="20" t="s">
        <v>21911</v>
      </c>
      <c r="B1646" s="150"/>
      <c r="C1646" s="21" t="s">
        <v>21286</v>
      </c>
      <c r="D1646" s="109" t="s">
        <v>21867</v>
      </c>
      <c r="E1646" s="109" t="s">
        <v>21868</v>
      </c>
      <c r="F1646" s="391" t="s">
        <v>21299</v>
      </c>
      <c r="G1646" s="23" t="s">
        <v>21869</v>
      </c>
      <c r="H1646" s="23"/>
      <c r="I1646" s="23"/>
      <c r="J1646" s="23"/>
      <c r="K1646" s="23"/>
      <c r="L1646" s="375" t="s">
        <v>7787</v>
      </c>
      <c r="M1646" s="351" t="s">
        <v>7787</v>
      </c>
      <c r="N1646" s="267">
        <f t="shared" ref="N1646:N1712" si="273">SUM(L1646:M1646)</f>
        <v>0</v>
      </c>
      <c r="O1646" s="268">
        <f t="shared" ref="O1646:O1712" si="274">SUM(P1646:Z1646)</f>
        <v>0</v>
      </c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6"/>
        <v>0</v>
      </c>
      <c r="AD1646" s="196">
        <f t="shared" si="267"/>
        <v>0</v>
      </c>
      <c r="AE1646" s="196">
        <f t="shared" si="268"/>
        <v>0</v>
      </c>
      <c r="AF1646" s="2">
        <f t="shared" si="269"/>
        <v>0</v>
      </c>
      <c r="AG1646" s="2">
        <f t="shared" si="270"/>
        <v>0</v>
      </c>
    </row>
    <row r="1647" spans="1:33">
      <c r="A1647" s="20" t="s">
        <v>24193</v>
      </c>
      <c r="B1647" s="150"/>
      <c r="C1647" s="21" t="s">
        <v>24215</v>
      </c>
      <c r="D1647" s="109" t="s">
        <v>3137</v>
      </c>
      <c r="E1647" s="109" t="s">
        <v>24217</v>
      </c>
      <c r="F1647" s="391" t="s">
        <v>24218</v>
      </c>
      <c r="G1647" s="23" t="s">
        <v>24216</v>
      </c>
      <c r="H1647" s="23"/>
      <c r="I1647" s="23"/>
      <c r="J1647" s="23"/>
      <c r="K1647" s="23"/>
      <c r="L1647" s="375"/>
      <c r="M1647" s="351"/>
      <c r="N1647" s="267"/>
      <c r="O1647" s="268"/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6"/>
        <v>0</v>
      </c>
      <c r="AD1647" s="196">
        <f t="shared" si="267"/>
        <v>0</v>
      </c>
      <c r="AE1647" s="196">
        <f t="shared" si="268"/>
        <v>0</v>
      </c>
      <c r="AF1647" s="2">
        <f t="shared" si="269"/>
        <v>0</v>
      </c>
      <c r="AG1647" s="2">
        <f t="shared" si="270"/>
        <v>0</v>
      </c>
    </row>
    <row r="1648" spans="1:33">
      <c r="A1648" s="20" t="s">
        <v>21433</v>
      </c>
      <c r="B1648" s="150"/>
      <c r="C1648" s="21" t="s">
        <v>21227</v>
      </c>
      <c r="D1648" s="109" t="s">
        <v>3137</v>
      </c>
      <c r="E1648" s="109"/>
      <c r="F1648" s="391" t="s">
        <v>21228</v>
      </c>
      <c r="G1648" s="23" t="s">
        <v>17522</v>
      </c>
      <c r="H1648" s="23" t="s">
        <v>6133</v>
      </c>
      <c r="I1648" s="23"/>
      <c r="J1648" s="23"/>
      <c r="K1648" s="23"/>
      <c r="L1648" s="375" t="s">
        <v>7787</v>
      </c>
      <c r="M1648" s="351"/>
      <c r="N1648" s="267">
        <f t="shared" si="273"/>
        <v>0</v>
      </c>
      <c r="O1648" s="268">
        <f t="shared" si="274"/>
        <v>0</v>
      </c>
      <c r="P1648" s="239"/>
      <c r="Q1648" s="239"/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/>
      <c r="AC1648" s="196">
        <f t="shared" si="266"/>
        <v>0</v>
      </c>
      <c r="AD1648" s="196">
        <f t="shared" si="267"/>
        <v>0</v>
      </c>
      <c r="AE1648" s="196">
        <f t="shared" si="268"/>
        <v>0</v>
      </c>
      <c r="AF1648" s="2">
        <f t="shared" si="269"/>
        <v>0</v>
      </c>
      <c r="AG1648" s="2">
        <f t="shared" si="270"/>
        <v>0</v>
      </c>
    </row>
    <row r="1649" spans="1:33">
      <c r="A1649" s="20" t="s">
        <v>21434</v>
      </c>
      <c r="B1649" s="150"/>
      <c r="C1649" s="21" t="s">
        <v>21301</v>
      </c>
      <c r="D1649" s="109" t="s">
        <v>3137</v>
      </c>
      <c r="E1649" s="109"/>
      <c r="F1649" s="391" t="s">
        <v>21461</v>
      </c>
      <c r="G1649" s="213" t="s">
        <v>15379</v>
      </c>
      <c r="H1649" s="23" t="s">
        <v>6133</v>
      </c>
      <c r="I1649" s="23"/>
      <c r="J1649" s="23"/>
      <c r="K1649" s="23"/>
      <c r="L1649" s="375"/>
      <c r="M1649" s="351"/>
      <c r="N1649" s="267">
        <f t="shared" si="273"/>
        <v>0</v>
      </c>
      <c r="O1649" s="268">
        <f t="shared" si="274"/>
        <v>50</v>
      </c>
      <c r="P1649" s="239"/>
      <c r="Q1649" s="239">
        <f>550-500</f>
        <v>50</v>
      </c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 t="s">
        <v>22120</v>
      </c>
      <c r="AC1649" s="196">
        <f t="shared" si="266"/>
        <v>50</v>
      </c>
      <c r="AD1649" s="196">
        <f t="shared" si="267"/>
        <v>50</v>
      </c>
      <c r="AE1649" s="196">
        <f t="shared" si="268"/>
        <v>0</v>
      </c>
      <c r="AF1649" s="2">
        <f t="shared" si="269"/>
        <v>50</v>
      </c>
      <c r="AG1649" s="2">
        <f t="shared" si="270"/>
        <v>0</v>
      </c>
    </row>
    <row r="1650" spans="1:33">
      <c r="A1650" s="20" t="s">
        <v>21435</v>
      </c>
      <c r="B1650" s="150"/>
      <c r="C1650" s="21" t="s">
        <v>21230</v>
      </c>
      <c r="D1650" s="109" t="s">
        <v>3137</v>
      </c>
      <c r="E1650" s="109" t="s">
        <v>21231</v>
      </c>
      <c r="F1650" s="391" t="s">
        <v>21233</v>
      </c>
      <c r="G1650" s="23" t="s">
        <v>6133</v>
      </c>
      <c r="H1650" s="23" t="s">
        <v>15190</v>
      </c>
      <c r="I1650" s="23"/>
      <c r="J1650" s="23"/>
      <c r="K1650" s="23"/>
      <c r="L1650" s="375"/>
      <c r="M1650" s="351" t="s">
        <v>7787</v>
      </c>
      <c r="N1650" s="267">
        <f t="shared" si="273"/>
        <v>0</v>
      </c>
      <c r="O1650" s="268">
        <f t="shared" si="274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6"/>
        <v>0</v>
      </c>
      <c r="AD1650" s="196">
        <f t="shared" si="267"/>
        <v>0</v>
      </c>
      <c r="AE1650" s="196">
        <f t="shared" si="268"/>
        <v>0</v>
      </c>
      <c r="AF1650" s="2">
        <f t="shared" si="269"/>
        <v>0</v>
      </c>
      <c r="AG1650" s="2">
        <f t="shared" si="270"/>
        <v>0</v>
      </c>
    </row>
    <row r="1651" spans="1:33">
      <c r="A1651" s="20" t="s">
        <v>21920</v>
      </c>
      <c r="B1651" s="150"/>
      <c r="C1651" s="21" t="s">
        <v>22019</v>
      </c>
      <c r="D1651" s="109" t="s">
        <v>3137</v>
      </c>
      <c r="E1651" s="109"/>
      <c r="F1651" s="391" t="s">
        <v>22022</v>
      </c>
      <c r="G1651" s="23" t="s">
        <v>22020</v>
      </c>
      <c r="H1651" s="23"/>
      <c r="I1651" s="23"/>
      <c r="J1651" s="23"/>
      <c r="K1651" s="23"/>
      <c r="L1651" s="375" t="s">
        <v>7787</v>
      </c>
      <c r="M1651" s="351" t="s">
        <v>7787</v>
      </c>
      <c r="N1651" s="267">
        <f t="shared" si="273"/>
        <v>0</v>
      </c>
      <c r="O1651" s="268">
        <f t="shared" si="274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6"/>
        <v>0</v>
      </c>
      <c r="AD1651" s="196">
        <f t="shared" si="267"/>
        <v>0</v>
      </c>
      <c r="AE1651" s="196">
        <f t="shared" si="268"/>
        <v>0</v>
      </c>
      <c r="AF1651" s="2">
        <f t="shared" si="269"/>
        <v>0</v>
      </c>
      <c r="AG1651" s="2">
        <f t="shared" si="270"/>
        <v>0</v>
      </c>
    </row>
    <row r="1652" spans="1:33">
      <c r="A1652" s="20" t="s">
        <v>1850</v>
      </c>
      <c r="B1652" s="151" t="s">
        <v>15061</v>
      </c>
      <c r="C1652" s="21" t="s">
        <v>5717</v>
      </c>
      <c r="D1652" s="109" t="s">
        <v>4066</v>
      </c>
      <c r="E1652" s="109" t="s">
        <v>13482</v>
      </c>
      <c r="F1652" s="391" t="s">
        <v>5718</v>
      </c>
      <c r="G1652" s="23" t="s">
        <v>5741</v>
      </c>
      <c r="H1652" s="23"/>
      <c r="I1652" s="23"/>
      <c r="J1652" s="23"/>
      <c r="K1652" s="23"/>
      <c r="L1652" s="350"/>
      <c r="M1652" s="361"/>
      <c r="N1652" s="267">
        <f t="shared" si="273"/>
        <v>0</v>
      </c>
      <c r="O1652" s="268">
        <f t="shared" si="274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6"/>
        <v>0</v>
      </c>
      <c r="AD1652" s="196">
        <f t="shared" si="267"/>
        <v>0</v>
      </c>
      <c r="AE1652" s="196">
        <f t="shared" si="268"/>
        <v>0</v>
      </c>
      <c r="AF1652" s="2">
        <f t="shared" si="269"/>
        <v>0</v>
      </c>
      <c r="AG1652" s="2">
        <f t="shared" si="270"/>
        <v>0</v>
      </c>
    </row>
    <row r="1653" spans="1:33">
      <c r="A1653" s="20" t="s">
        <v>1849</v>
      </c>
      <c r="B1653" s="151" t="s">
        <v>15062</v>
      </c>
      <c r="C1653" s="21" t="s">
        <v>5717</v>
      </c>
      <c r="D1653" s="109" t="s">
        <v>13386</v>
      </c>
      <c r="E1653" s="109" t="s">
        <v>15063</v>
      </c>
      <c r="F1653" s="391" t="s">
        <v>5718</v>
      </c>
      <c r="G1653" s="23" t="s">
        <v>15064</v>
      </c>
      <c r="H1653" s="23"/>
      <c r="I1653" s="23"/>
      <c r="J1653" s="23"/>
      <c r="K1653" s="23"/>
      <c r="L1653" s="350"/>
      <c r="M1653" s="364"/>
      <c r="N1653" s="267">
        <f t="shared" si="273"/>
        <v>0</v>
      </c>
      <c r="O1653" s="268">
        <f t="shared" si="274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6"/>
        <v>0</v>
      </c>
      <c r="AD1653" s="196">
        <f t="shared" si="267"/>
        <v>0</v>
      </c>
      <c r="AE1653" s="196">
        <f t="shared" si="268"/>
        <v>0</v>
      </c>
      <c r="AF1653" s="2">
        <f t="shared" si="269"/>
        <v>0</v>
      </c>
      <c r="AG1653" s="2">
        <f t="shared" si="270"/>
        <v>0</v>
      </c>
    </row>
    <row r="1654" spans="1:33">
      <c r="A1654" s="20" t="s">
        <v>1851</v>
      </c>
      <c r="B1654" s="151" t="s">
        <v>15065</v>
      </c>
      <c r="C1654" s="21" t="s">
        <v>5717</v>
      </c>
      <c r="D1654" s="109" t="s">
        <v>4066</v>
      </c>
      <c r="E1654" s="109" t="s">
        <v>13611</v>
      </c>
      <c r="F1654" s="391" t="s">
        <v>5718</v>
      </c>
      <c r="G1654" s="23" t="s">
        <v>5741</v>
      </c>
      <c r="H1654" s="23"/>
      <c r="I1654" s="23"/>
      <c r="J1654" s="23"/>
      <c r="K1654" s="23"/>
      <c r="L1654" s="350"/>
      <c r="M1654" s="351"/>
      <c r="N1654" s="267">
        <f t="shared" si="273"/>
        <v>0</v>
      </c>
      <c r="O1654" s="268">
        <f t="shared" si="274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6"/>
        <v>0</v>
      </c>
      <c r="AD1654" s="196">
        <f t="shared" si="267"/>
        <v>0</v>
      </c>
      <c r="AE1654" s="196">
        <f t="shared" si="268"/>
        <v>0</v>
      </c>
      <c r="AF1654" s="2">
        <f t="shared" si="269"/>
        <v>0</v>
      </c>
      <c r="AG1654" s="2">
        <f t="shared" si="270"/>
        <v>0</v>
      </c>
    </row>
    <row r="1655" spans="1:33">
      <c r="A1655" s="20" t="s">
        <v>1852</v>
      </c>
      <c r="B1655" s="151" t="s">
        <v>15066</v>
      </c>
      <c r="C1655" s="21" t="s">
        <v>15067</v>
      </c>
      <c r="D1655" s="109" t="s">
        <v>13955</v>
      </c>
      <c r="E1655" s="109"/>
      <c r="F1655" s="391" t="s">
        <v>15068</v>
      </c>
      <c r="G1655" s="23" t="s">
        <v>15069</v>
      </c>
      <c r="H1655" s="23"/>
      <c r="I1655" s="23"/>
      <c r="J1655" s="23"/>
      <c r="K1655" s="23"/>
      <c r="L1655" s="350"/>
      <c r="M1655" s="351"/>
      <c r="N1655" s="267">
        <f t="shared" si="273"/>
        <v>0</v>
      </c>
      <c r="O1655" s="268">
        <f t="shared" si="274"/>
        <v>0</v>
      </c>
      <c r="P1655" s="239"/>
      <c r="Q1655" s="239"/>
      <c r="R1655" s="239"/>
      <c r="S1655" s="239"/>
      <c r="T1655" s="239"/>
      <c r="U1655" s="240"/>
      <c r="V1655" s="240"/>
      <c r="W1655" s="240"/>
      <c r="X1655" s="278"/>
      <c r="Y1655" s="237"/>
      <c r="Z1655" s="237"/>
      <c r="AA1655" s="279"/>
      <c r="AB1655" s="238"/>
      <c r="AC1655" s="196">
        <f t="shared" si="266"/>
        <v>0</v>
      </c>
      <c r="AD1655" s="196">
        <f t="shared" si="267"/>
        <v>0</v>
      </c>
      <c r="AE1655" s="196">
        <f t="shared" si="268"/>
        <v>0</v>
      </c>
      <c r="AF1655" s="2">
        <f t="shared" si="269"/>
        <v>0</v>
      </c>
      <c r="AG1655" s="2">
        <f t="shared" si="270"/>
        <v>0</v>
      </c>
    </row>
    <row r="1656" spans="1:33">
      <c r="A1656" s="20" t="s">
        <v>21785</v>
      </c>
      <c r="B1656" s="156"/>
      <c r="C1656" s="21" t="s">
        <v>21833</v>
      </c>
      <c r="D1656" s="109" t="s">
        <v>3137</v>
      </c>
      <c r="E1656" s="109"/>
      <c r="F1656" s="391" t="s">
        <v>21834</v>
      </c>
      <c r="G1656" s="23" t="s">
        <v>13639</v>
      </c>
      <c r="H1656" s="23"/>
      <c r="I1656" s="23"/>
      <c r="J1656" s="23"/>
      <c r="K1656" s="23"/>
      <c r="L1656" s="375" t="s">
        <v>45</v>
      </c>
      <c r="M1656" s="351" t="s">
        <v>45</v>
      </c>
      <c r="N1656" s="267">
        <f t="shared" si="273"/>
        <v>0</v>
      </c>
      <c r="O1656" s="268">
        <f t="shared" si="274"/>
        <v>100</v>
      </c>
      <c r="P1656" s="239"/>
      <c r="Q1656" s="239"/>
      <c r="R1656" s="239"/>
      <c r="S1656" s="239"/>
      <c r="T1656" s="239"/>
      <c r="U1656" s="240">
        <f>600-500</f>
        <v>100</v>
      </c>
      <c r="V1656" s="240"/>
      <c r="W1656" s="240"/>
      <c r="X1656" s="278"/>
      <c r="Y1656" s="237"/>
      <c r="Z1656" s="237"/>
      <c r="AA1656" s="279"/>
      <c r="AB1656" s="238" t="s">
        <v>27030</v>
      </c>
      <c r="AC1656" s="196">
        <f t="shared" si="266"/>
        <v>100</v>
      </c>
      <c r="AD1656" s="196">
        <f t="shared" si="267"/>
        <v>100</v>
      </c>
      <c r="AE1656" s="196">
        <f t="shared" si="268"/>
        <v>0</v>
      </c>
      <c r="AF1656" s="2">
        <f t="shared" si="269"/>
        <v>100</v>
      </c>
      <c r="AG1656" s="2">
        <f t="shared" si="270"/>
        <v>0</v>
      </c>
    </row>
    <row r="1657" spans="1:33">
      <c r="A1657" s="20" t="s">
        <v>21567</v>
      </c>
      <c r="B1657" s="156"/>
      <c r="C1657" s="21" t="s">
        <v>21594</v>
      </c>
      <c r="D1657" s="109" t="s">
        <v>3096</v>
      </c>
      <c r="E1657" s="109" t="s">
        <v>3128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3"/>
        <v>0</v>
      </c>
      <c r="O1657" s="268">
        <f t="shared" si="274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6"/>
        <v>0</v>
      </c>
      <c r="AD1657" s="196">
        <f t="shared" si="267"/>
        <v>0</v>
      </c>
      <c r="AE1657" s="196">
        <f t="shared" si="268"/>
        <v>0</v>
      </c>
      <c r="AF1657" s="2">
        <f t="shared" si="269"/>
        <v>0</v>
      </c>
      <c r="AG1657" s="2">
        <f t="shared" si="270"/>
        <v>0</v>
      </c>
    </row>
    <row r="1658" spans="1:33">
      <c r="A1658" s="20" t="s">
        <v>23006</v>
      </c>
      <c r="B1658" s="156"/>
      <c r="C1658" s="21" t="s">
        <v>21594</v>
      </c>
      <c r="D1658" s="109" t="s">
        <v>3133</v>
      </c>
      <c r="E1658" s="109" t="s">
        <v>3115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3"/>
        <v>0</v>
      </c>
      <c r="O1658" s="268">
        <f t="shared" si="274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6"/>
        <v>0</v>
      </c>
      <c r="AD1658" s="196">
        <f t="shared" si="267"/>
        <v>0</v>
      </c>
      <c r="AE1658" s="196">
        <f t="shared" si="268"/>
        <v>0</v>
      </c>
      <c r="AF1658" s="2">
        <f t="shared" si="269"/>
        <v>0</v>
      </c>
      <c r="AG1658" s="2">
        <f t="shared" si="270"/>
        <v>0</v>
      </c>
    </row>
    <row r="1659" spans="1:33">
      <c r="A1659" s="20" t="s">
        <v>23007</v>
      </c>
      <c r="B1659" s="156"/>
      <c r="C1659" s="21" t="s">
        <v>21594</v>
      </c>
      <c r="D1659" s="109" t="s">
        <v>3133</v>
      </c>
      <c r="E1659" s="109" t="s">
        <v>3117</v>
      </c>
      <c r="F1659" s="391" t="s">
        <v>21625</v>
      </c>
      <c r="G1659" s="23" t="s">
        <v>21636</v>
      </c>
      <c r="H1659" s="23"/>
      <c r="I1659" s="23"/>
      <c r="J1659" s="23"/>
      <c r="K1659" s="23"/>
      <c r="L1659" s="375" t="s">
        <v>7787</v>
      </c>
      <c r="M1659" s="351"/>
      <c r="N1659" s="267">
        <f t="shared" si="273"/>
        <v>0</v>
      </c>
      <c r="O1659" s="268">
        <f t="shared" si="274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79"/>
      <c r="AB1659" s="238"/>
      <c r="AC1659" s="196">
        <f t="shared" si="266"/>
        <v>0</v>
      </c>
      <c r="AD1659" s="196">
        <f t="shared" si="267"/>
        <v>0</v>
      </c>
      <c r="AE1659" s="196">
        <f t="shared" si="268"/>
        <v>0</v>
      </c>
      <c r="AF1659" s="2">
        <f t="shared" si="269"/>
        <v>0</v>
      </c>
      <c r="AG1659" s="2">
        <f t="shared" si="270"/>
        <v>0</v>
      </c>
    </row>
    <row r="1660" spans="1:33">
      <c r="A1660" s="20" t="s">
        <v>21574</v>
      </c>
      <c r="B1660" s="156"/>
      <c r="C1660" s="21" t="s">
        <v>21642</v>
      </c>
      <c r="D1660" s="109" t="s">
        <v>3137</v>
      </c>
      <c r="E1660" s="109" t="s">
        <v>21645</v>
      </c>
      <c r="F1660" s="391" t="s">
        <v>21658</v>
      </c>
      <c r="G1660" s="23" t="s">
        <v>21646</v>
      </c>
      <c r="H1660" s="23" t="s">
        <v>25529</v>
      </c>
      <c r="I1660" s="23"/>
      <c r="J1660" s="23"/>
      <c r="K1660" s="23"/>
      <c r="L1660" s="375" t="s">
        <v>45</v>
      </c>
      <c r="M1660" s="351">
        <v>350</v>
      </c>
      <c r="N1660" s="267">
        <f t="shared" si="273"/>
        <v>350</v>
      </c>
      <c r="O1660" s="268">
        <f t="shared" si="274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950+500-500-600</f>
        <v>350</v>
      </c>
      <c r="AB1660" s="238" t="s">
        <v>25823</v>
      </c>
      <c r="AC1660" s="196">
        <f t="shared" si="266"/>
        <v>350</v>
      </c>
      <c r="AD1660" s="196">
        <f t="shared" si="267"/>
        <v>350</v>
      </c>
      <c r="AE1660" s="196">
        <f t="shared" si="268"/>
        <v>0</v>
      </c>
      <c r="AF1660" s="2">
        <f t="shared" si="269"/>
        <v>350</v>
      </c>
      <c r="AG1660" s="2">
        <f t="shared" si="270"/>
        <v>0</v>
      </c>
    </row>
    <row r="1661" spans="1:33">
      <c r="A1661" s="20" t="s">
        <v>21575</v>
      </c>
      <c r="B1661" s="156"/>
      <c r="C1661" s="21" t="s">
        <v>21643</v>
      </c>
      <c r="D1661" s="109" t="s">
        <v>3137</v>
      </c>
      <c r="E1661" s="109" t="s">
        <v>21645</v>
      </c>
      <c r="F1661" s="391" t="s">
        <v>21657</v>
      </c>
      <c r="G1661" s="23" t="s">
        <v>21646</v>
      </c>
      <c r="H1661" s="23" t="s">
        <v>25529</v>
      </c>
      <c r="I1661" s="23"/>
      <c r="J1661" s="23"/>
      <c r="K1661" s="23"/>
      <c r="L1661" s="375" t="s">
        <v>45</v>
      </c>
      <c r="M1661" s="351">
        <v>350</v>
      </c>
      <c r="N1661" s="267">
        <f t="shared" si="273"/>
        <v>350</v>
      </c>
      <c r="O1661" s="268">
        <f t="shared" si="274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40">
        <f>1400+500-500-500</f>
        <v>900</v>
      </c>
      <c r="AB1661" s="238" t="s">
        <v>25824</v>
      </c>
      <c r="AC1661" s="196">
        <f t="shared" si="266"/>
        <v>900</v>
      </c>
      <c r="AD1661" s="196">
        <f t="shared" si="267"/>
        <v>900</v>
      </c>
      <c r="AE1661" s="196">
        <f t="shared" si="268"/>
        <v>0</v>
      </c>
      <c r="AF1661" s="2">
        <f t="shared" si="269"/>
        <v>900</v>
      </c>
      <c r="AG1661" s="2">
        <f t="shared" si="270"/>
        <v>0</v>
      </c>
    </row>
    <row r="1662" spans="1:33">
      <c r="A1662" s="20" t="s">
        <v>21571</v>
      </c>
      <c r="B1662" s="156"/>
      <c r="C1662" s="21" t="s">
        <v>21644</v>
      </c>
      <c r="D1662" s="109" t="s">
        <v>3137</v>
      </c>
      <c r="E1662" s="109" t="s">
        <v>21645</v>
      </c>
      <c r="F1662" s="391" t="s">
        <v>21649</v>
      </c>
      <c r="G1662" s="23" t="s">
        <v>21646</v>
      </c>
      <c r="H1662" s="23"/>
      <c r="I1662" s="23"/>
      <c r="J1662" s="23"/>
      <c r="K1662" s="23"/>
      <c r="L1662" s="375" t="s">
        <v>45</v>
      </c>
      <c r="M1662" s="351">
        <v>300</v>
      </c>
      <c r="N1662" s="267">
        <f t="shared" si="273"/>
        <v>300</v>
      </c>
      <c r="O1662" s="268">
        <f t="shared" si="274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6"/>
        <v>0</v>
      </c>
      <c r="AD1662" s="196">
        <f t="shared" si="267"/>
        <v>0</v>
      </c>
      <c r="AE1662" s="196">
        <f t="shared" si="268"/>
        <v>0</v>
      </c>
      <c r="AF1662" s="2">
        <f t="shared" si="269"/>
        <v>0</v>
      </c>
      <c r="AG1662" s="2">
        <f t="shared" si="270"/>
        <v>0</v>
      </c>
    </row>
    <row r="1663" spans="1:33">
      <c r="A1663" s="20" t="s">
        <v>21572</v>
      </c>
      <c r="B1663" s="156"/>
      <c r="C1663" s="21" t="s">
        <v>21595</v>
      </c>
      <c r="D1663" s="109" t="s">
        <v>21596</v>
      </c>
      <c r="E1663" s="109" t="s">
        <v>21597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3"/>
        <v>0</v>
      </c>
      <c r="O1663" s="268">
        <f t="shared" si="274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6"/>
        <v>0</v>
      </c>
      <c r="AD1663" s="196">
        <f t="shared" si="267"/>
        <v>0</v>
      </c>
      <c r="AE1663" s="196">
        <f t="shared" si="268"/>
        <v>0</v>
      </c>
      <c r="AF1663" s="2">
        <f t="shared" si="269"/>
        <v>0</v>
      </c>
      <c r="AG1663" s="2">
        <f t="shared" si="270"/>
        <v>0</v>
      </c>
    </row>
    <row r="1664" spans="1:33">
      <c r="A1664" s="20" t="s">
        <v>21835</v>
      </c>
      <c r="B1664" s="156"/>
      <c r="C1664" s="21" t="s">
        <v>21825</v>
      </c>
      <c r="D1664" s="109" t="s">
        <v>21823</v>
      </c>
      <c r="E1664" s="109" t="s">
        <v>21824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3"/>
        <v>0</v>
      </c>
      <c r="O1664" s="268">
        <f t="shared" si="274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6"/>
        <v>0</v>
      </c>
      <c r="AD1664" s="196">
        <f t="shared" si="267"/>
        <v>0</v>
      </c>
      <c r="AE1664" s="196">
        <f t="shared" si="268"/>
        <v>0</v>
      </c>
      <c r="AF1664" s="2">
        <f t="shared" si="269"/>
        <v>0</v>
      </c>
      <c r="AG1664" s="2">
        <f t="shared" si="270"/>
        <v>0</v>
      </c>
    </row>
    <row r="1665" spans="1:33">
      <c r="A1665" s="20" t="s">
        <v>21841</v>
      </c>
      <c r="B1665" s="156"/>
      <c r="C1665" s="21" t="s">
        <v>21866</v>
      </c>
      <c r="D1665" s="109" t="s">
        <v>7846</v>
      </c>
      <c r="E1665" s="109" t="s">
        <v>7146</v>
      </c>
      <c r="F1665" s="391" t="s">
        <v>21650</v>
      </c>
      <c r="G1665" s="23" t="s">
        <v>13894</v>
      </c>
      <c r="H1665" s="23"/>
      <c r="I1665" s="23"/>
      <c r="J1665" s="23"/>
      <c r="K1665" s="23"/>
      <c r="L1665" s="375" t="s">
        <v>7787</v>
      </c>
      <c r="M1665" s="351"/>
      <c r="N1665" s="267">
        <f t="shared" si="273"/>
        <v>0</v>
      </c>
      <c r="O1665" s="268">
        <f t="shared" si="274"/>
        <v>0</v>
      </c>
      <c r="P1665" s="239"/>
      <c r="Q1665" s="239"/>
      <c r="R1665" s="239"/>
      <c r="S1665" s="239"/>
      <c r="T1665" s="239"/>
      <c r="U1665" s="240"/>
      <c r="V1665" s="240"/>
      <c r="W1665" s="240"/>
      <c r="X1665" s="278"/>
      <c r="Y1665" s="237"/>
      <c r="Z1665" s="237"/>
      <c r="AA1665" s="279"/>
      <c r="AB1665" s="238"/>
      <c r="AC1665" s="196">
        <f t="shared" si="266"/>
        <v>0</v>
      </c>
      <c r="AD1665" s="196">
        <f t="shared" si="267"/>
        <v>0</v>
      </c>
      <c r="AE1665" s="196">
        <f t="shared" si="268"/>
        <v>0</v>
      </c>
      <c r="AF1665" s="2">
        <f t="shared" si="269"/>
        <v>0</v>
      </c>
      <c r="AG1665" s="2">
        <f t="shared" si="270"/>
        <v>0</v>
      </c>
    </row>
    <row r="1666" spans="1:33">
      <c r="A1666" s="20" t="s">
        <v>21576</v>
      </c>
      <c r="B1666" s="156"/>
      <c r="C1666" s="21" t="s">
        <v>21663</v>
      </c>
      <c r="D1666" s="109" t="s">
        <v>3137</v>
      </c>
      <c r="E1666" s="109"/>
      <c r="F1666" s="391" t="s">
        <v>21665</v>
      </c>
      <c r="G1666" s="23" t="s">
        <v>21664</v>
      </c>
      <c r="H1666" s="23" t="s">
        <v>6133</v>
      </c>
      <c r="I1666" s="23"/>
      <c r="J1666" s="23"/>
      <c r="K1666" s="23"/>
      <c r="L1666" s="375" t="s">
        <v>45</v>
      </c>
      <c r="M1666" s="351" t="s">
        <v>7787</v>
      </c>
      <c r="N1666" s="267">
        <f t="shared" si="273"/>
        <v>0</v>
      </c>
      <c r="O1666" s="268">
        <f t="shared" si="274"/>
        <v>200</v>
      </c>
      <c r="P1666" s="239"/>
      <c r="Q1666" s="239">
        <f>700-200-300</f>
        <v>200</v>
      </c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 t="s">
        <v>26514</v>
      </c>
      <c r="AC1666" s="196">
        <f t="shared" si="266"/>
        <v>200</v>
      </c>
      <c r="AD1666" s="196">
        <f t="shared" si="267"/>
        <v>200</v>
      </c>
      <c r="AE1666" s="196">
        <f t="shared" si="268"/>
        <v>0</v>
      </c>
      <c r="AF1666" s="2">
        <f t="shared" si="269"/>
        <v>200</v>
      </c>
      <c r="AG1666" s="2">
        <f t="shared" si="270"/>
        <v>0</v>
      </c>
    </row>
    <row r="1667" spans="1:33">
      <c r="A1667" s="20" t="s">
        <v>23542</v>
      </c>
      <c r="B1667" s="156"/>
      <c r="C1667" s="21" t="s">
        <v>21663</v>
      </c>
      <c r="D1667" s="109" t="s">
        <v>3137</v>
      </c>
      <c r="E1667" s="109" t="s">
        <v>23562</v>
      </c>
      <c r="F1667" s="391" t="s">
        <v>21665</v>
      </c>
      <c r="G1667" s="23" t="s">
        <v>6133</v>
      </c>
      <c r="H1667" s="23"/>
      <c r="I1667" s="23"/>
      <c r="J1667" s="23"/>
      <c r="K1667" s="23"/>
      <c r="L1667" s="375" t="s">
        <v>7787</v>
      </c>
      <c r="M1667" s="351" t="s">
        <v>7787</v>
      </c>
      <c r="N1667" s="267">
        <f t="shared" si="273"/>
        <v>0</v>
      </c>
      <c r="O1667" s="268">
        <f t="shared" si="274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9"/>
      <c r="Z1667" s="237"/>
      <c r="AA1667" s="279"/>
      <c r="AB1667" s="238"/>
      <c r="AC1667" s="196">
        <f t="shared" si="266"/>
        <v>0</v>
      </c>
      <c r="AD1667" s="196">
        <f t="shared" si="267"/>
        <v>0</v>
      </c>
      <c r="AE1667" s="196">
        <f t="shared" si="268"/>
        <v>0</v>
      </c>
      <c r="AF1667" s="2">
        <f t="shared" si="269"/>
        <v>0</v>
      </c>
      <c r="AG1667" s="2">
        <f t="shared" si="270"/>
        <v>0</v>
      </c>
    </row>
    <row r="1668" spans="1:33">
      <c r="A1668" s="20" t="s">
        <v>21578</v>
      </c>
      <c r="B1668" s="156"/>
      <c r="C1668" s="21" t="s">
        <v>21685</v>
      </c>
      <c r="D1668" s="109" t="s">
        <v>3137</v>
      </c>
      <c r="E1668" s="109"/>
      <c r="F1668" s="391" t="s">
        <v>21698</v>
      </c>
      <c r="G1668" s="23" t="s">
        <v>13214</v>
      </c>
      <c r="H1668" s="23"/>
      <c r="I1668" s="23"/>
      <c r="J1668" s="23"/>
      <c r="K1668" s="23"/>
      <c r="L1668" s="375"/>
      <c r="M1668" s="351"/>
      <c r="N1668" s="267">
        <f t="shared" si="273"/>
        <v>0</v>
      </c>
      <c r="O1668" s="268">
        <f t="shared" si="274"/>
        <v>0</v>
      </c>
      <c r="P1668" s="239"/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/>
      <c r="AC1668" s="196">
        <f t="shared" si="266"/>
        <v>0</v>
      </c>
      <c r="AD1668" s="196">
        <f t="shared" si="267"/>
        <v>0</v>
      </c>
      <c r="AE1668" s="196">
        <f t="shared" si="268"/>
        <v>0</v>
      </c>
      <c r="AF1668" s="2">
        <f t="shared" si="269"/>
        <v>0</v>
      </c>
      <c r="AG1668" s="2">
        <f t="shared" si="270"/>
        <v>0</v>
      </c>
    </row>
    <row r="1669" spans="1:33">
      <c r="A1669" s="20" t="s">
        <v>21678</v>
      </c>
      <c r="B1669" s="156"/>
      <c r="C1669" s="21" t="s">
        <v>21745</v>
      </c>
      <c r="D1669" s="109" t="s">
        <v>3137</v>
      </c>
      <c r="E1669" s="109"/>
      <c r="F1669" s="391" t="s">
        <v>21747</v>
      </c>
      <c r="G1669" s="23" t="s">
        <v>17522</v>
      </c>
      <c r="H1669" s="23" t="s">
        <v>25781</v>
      </c>
      <c r="I1669" s="23" t="s">
        <v>25792</v>
      </c>
      <c r="J1669" s="23"/>
      <c r="K1669" s="23"/>
      <c r="L1669" s="375" t="s">
        <v>27904</v>
      </c>
      <c r="M1669" s="351" t="s">
        <v>45</v>
      </c>
      <c r="N1669" s="267">
        <f t="shared" si="273"/>
        <v>0</v>
      </c>
      <c r="O1669" s="268">
        <f t="shared" si="274"/>
        <v>900</v>
      </c>
      <c r="P1669" s="239">
        <f>150-100+850-300+300</f>
        <v>900</v>
      </c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 t="s">
        <v>27885</v>
      </c>
      <c r="AC1669" s="196">
        <f t="shared" si="266"/>
        <v>900</v>
      </c>
      <c r="AD1669" s="196">
        <f t="shared" si="267"/>
        <v>900</v>
      </c>
      <c r="AE1669" s="196">
        <f t="shared" si="268"/>
        <v>0</v>
      </c>
      <c r="AF1669" s="2">
        <f t="shared" si="269"/>
        <v>900</v>
      </c>
      <c r="AG1669" s="2">
        <f t="shared" si="270"/>
        <v>0</v>
      </c>
    </row>
    <row r="1670" spans="1:33" ht="21.6" customHeight="1">
      <c r="A1670" s="20" t="s">
        <v>21843</v>
      </c>
      <c r="B1670" s="156"/>
      <c r="C1670" s="21" t="s">
        <v>21870</v>
      </c>
      <c r="D1670" s="109" t="s">
        <v>21871</v>
      </c>
      <c r="E1670" s="109"/>
      <c r="F1670" s="391" t="s">
        <v>21882</v>
      </c>
      <c r="G1670" s="23" t="s">
        <v>13301</v>
      </c>
      <c r="H1670" s="23"/>
      <c r="I1670" s="23"/>
      <c r="J1670" s="23"/>
      <c r="K1670" s="23"/>
      <c r="L1670" s="375" t="s">
        <v>7787</v>
      </c>
      <c r="M1670" s="351"/>
      <c r="N1670" s="267">
        <f t="shared" si="273"/>
        <v>0</v>
      </c>
      <c r="O1670" s="268">
        <f t="shared" si="274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6"/>
        <v>0</v>
      </c>
      <c r="AD1670" s="196">
        <f t="shared" si="267"/>
        <v>0</v>
      </c>
      <c r="AE1670" s="196">
        <f t="shared" si="268"/>
        <v>0</v>
      </c>
      <c r="AF1670" s="2">
        <f t="shared" si="269"/>
        <v>0</v>
      </c>
      <c r="AG1670" s="2">
        <f t="shared" si="270"/>
        <v>0</v>
      </c>
    </row>
    <row r="1671" spans="1:33">
      <c r="A1671" s="20" t="s">
        <v>21922</v>
      </c>
      <c r="B1671" s="156"/>
      <c r="C1671" s="21" t="s">
        <v>22038</v>
      </c>
      <c r="D1671" s="109" t="s">
        <v>22039</v>
      </c>
      <c r="E1671" s="109" t="s">
        <v>25638</v>
      </c>
      <c r="F1671" s="391" t="s">
        <v>22042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si="273"/>
        <v>0</v>
      </c>
      <c r="O1671" s="268">
        <f t="shared" si="274"/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6"/>
        <v>0</v>
      </c>
      <c r="AD1671" s="196">
        <f t="shared" si="267"/>
        <v>0</v>
      </c>
      <c r="AE1671" s="196">
        <f t="shared" si="268"/>
        <v>0</v>
      </c>
      <c r="AF1671" s="2">
        <f t="shared" si="269"/>
        <v>0</v>
      </c>
      <c r="AG1671" s="2">
        <f t="shared" si="270"/>
        <v>0</v>
      </c>
    </row>
    <row r="1672" spans="1:33">
      <c r="A1672" s="20" t="s">
        <v>27051</v>
      </c>
      <c r="B1672" s="156"/>
      <c r="C1672" s="21" t="s">
        <v>22038</v>
      </c>
      <c r="D1672" s="109" t="s">
        <v>7761</v>
      </c>
      <c r="E1672" s="109" t="s">
        <v>25638</v>
      </c>
      <c r="F1672" s="391" t="s">
        <v>21229</v>
      </c>
      <c r="G1672" s="23" t="s">
        <v>13507</v>
      </c>
      <c r="H1672" s="23"/>
      <c r="I1672" s="23"/>
      <c r="J1672" s="23"/>
      <c r="K1672" s="23"/>
      <c r="L1672" s="375" t="s">
        <v>7787</v>
      </c>
      <c r="M1672" s="351" t="s">
        <v>7787</v>
      </c>
      <c r="N1672" s="267">
        <f t="shared" ref="N1672" si="275">SUM(L1672:M1672)</f>
        <v>0</v>
      </c>
      <c r="O1672" s="268">
        <f t="shared" ref="O1672" si="276">SUM(P1672:Z1672)</f>
        <v>0</v>
      </c>
      <c r="P1672" s="239"/>
      <c r="Q1672" s="239"/>
      <c r="R1672" s="239"/>
      <c r="S1672" s="239"/>
      <c r="T1672" s="239"/>
      <c r="U1672" s="240"/>
      <c r="V1672" s="240"/>
      <c r="W1672" s="240"/>
      <c r="X1672" s="278"/>
      <c r="Y1672" s="237"/>
      <c r="Z1672" s="237"/>
      <c r="AA1672" s="279"/>
      <c r="AB1672" s="238"/>
      <c r="AC1672" s="196">
        <f t="shared" si="266"/>
        <v>0</v>
      </c>
      <c r="AD1672" s="196">
        <f t="shared" si="267"/>
        <v>0</v>
      </c>
      <c r="AE1672" s="196">
        <f t="shared" si="268"/>
        <v>0</v>
      </c>
      <c r="AF1672" s="2">
        <f t="shared" si="269"/>
        <v>0</v>
      </c>
      <c r="AG1672" s="2">
        <f t="shared" si="270"/>
        <v>0</v>
      </c>
    </row>
    <row r="1673" spans="1:33">
      <c r="A1673" s="20" t="s">
        <v>21683</v>
      </c>
      <c r="B1673" s="156"/>
      <c r="C1673" s="21" t="s">
        <v>21750</v>
      </c>
      <c r="D1673" s="109" t="s">
        <v>3137</v>
      </c>
      <c r="E1673" s="109"/>
      <c r="F1673" s="391" t="s">
        <v>21788</v>
      </c>
      <c r="G1673" s="23" t="s">
        <v>13942</v>
      </c>
      <c r="H1673" s="23"/>
      <c r="I1673" s="23"/>
      <c r="J1673" s="23"/>
      <c r="K1673" s="23"/>
      <c r="L1673" s="375"/>
      <c r="M1673" s="351" t="s">
        <v>45</v>
      </c>
      <c r="N1673" s="267">
        <f t="shared" si="273"/>
        <v>0</v>
      </c>
      <c r="O1673" s="268">
        <f t="shared" si="274"/>
        <v>1450</v>
      </c>
      <c r="P1673" s="239"/>
      <c r="Q1673" s="239"/>
      <c r="R1673" s="239"/>
      <c r="S1673" s="239"/>
      <c r="T1673" s="239"/>
      <c r="U1673" s="239">
        <f>2400+550-1500</f>
        <v>1450</v>
      </c>
      <c r="V1673" s="239"/>
      <c r="W1673" s="240"/>
      <c r="X1673" s="278"/>
      <c r="Y1673" s="239"/>
      <c r="Z1673" s="237"/>
      <c r="AA1673" s="279"/>
      <c r="AB1673" s="238" t="s">
        <v>25508</v>
      </c>
      <c r="AC1673" s="196">
        <f t="shared" si="266"/>
        <v>1450</v>
      </c>
      <c r="AD1673" s="196">
        <f t="shared" si="267"/>
        <v>1450</v>
      </c>
      <c r="AE1673" s="196">
        <f t="shared" si="268"/>
        <v>0</v>
      </c>
      <c r="AF1673" s="2">
        <f t="shared" si="269"/>
        <v>1450</v>
      </c>
      <c r="AG1673" s="2">
        <f t="shared" si="270"/>
        <v>0</v>
      </c>
    </row>
    <row r="1674" spans="1:33">
      <c r="A1674" s="20" t="s">
        <v>21768</v>
      </c>
      <c r="B1674" s="156"/>
      <c r="C1674" s="21" t="s">
        <v>21792</v>
      </c>
      <c r="D1674" s="109" t="s">
        <v>3096</v>
      </c>
      <c r="E1674" s="109"/>
      <c r="F1674" s="391" t="s">
        <v>21793</v>
      </c>
      <c r="G1674" s="23" t="s">
        <v>17522</v>
      </c>
      <c r="H1674" s="23" t="s">
        <v>6133</v>
      </c>
      <c r="I1674" s="23" t="s">
        <v>23826</v>
      </c>
      <c r="J1674" s="23"/>
      <c r="K1674" s="23"/>
      <c r="L1674" s="375" t="s">
        <v>7787</v>
      </c>
      <c r="M1674" s="351"/>
      <c r="N1674" s="267">
        <f t="shared" si="273"/>
        <v>0</v>
      </c>
      <c r="O1674" s="268">
        <f t="shared" si="274"/>
        <v>0</v>
      </c>
      <c r="P1674" s="239"/>
      <c r="Q1674" s="239"/>
      <c r="R1674" s="239"/>
      <c r="S1674" s="239"/>
      <c r="T1674" s="239"/>
      <c r="U1674" s="240"/>
      <c r="V1674" s="240"/>
      <c r="W1674" s="240"/>
      <c r="X1674" s="278"/>
      <c r="Y1674" s="239"/>
      <c r="Z1674" s="237"/>
      <c r="AA1674" s="279"/>
      <c r="AB1674" s="238"/>
      <c r="AC1674" s="196">
        <f t="shared" ref="AC1674:AC1737" si="277">SUM(P1674:AA1674)</f>
        <v>0</v>
      </c>
      <c r="AD1674" s="196">
        <f t="shared" ref="AD1674:AD1737" si="278">SUM(P1674:AB1674)</f>
        <v>0</v>
      </c>
      <c r="AE1674" s="196">
        <f t="shared" ref="AE1674:AE1737" si="279">SUM(AC1674-AD1674)</f>
        <v>0</v>
      </c>
      <c r="AF1674" s="2">
        <f t="shared" ref="AF1674:AF1737" si="280">+AC1674</f>
        <v>0</v>
      </c>
      <c r="AG1674" s="2">
        <f t="shared" ref="AG1674:AG1737" si="281">+AC1674-AF1674</f>
        <v>0</v>
      </c>
    </row>
    <row r="1675" spans="1:33">
      <c r="A1675" s="20" t="s">
        <v>21779</v>
      </c>
      <c r="B1675" s="156"/>
      <c r="C1675" s="21" t="s">
        <v>21797</v>
      </c>
      <c r="D1675" s="109" t="s">
        <v>21798</v>
      </c>
      <c r="E1675" s="109" t="s">
        <v>21799</v>
      </c>
      <c r="F1675" s="391" t="s">
        <v>21233</v>
      </c>
      <c r="G1675" s="23" t="s">
        <v>17522</v>
      </c>
      <c r="H1675" s="23" t="s">
        <v>6133</v>
      </c>
      <c r="I1675" s="23"/>
      <c r="J1675" s="23"/>
      <c r="K1675" s="23"/>
      <c r="L1675" s="375"/>
      <c r="M1675" s="351" t="s">
        <v>45</v>
      </c>
      <c r="N1675" s="267">
        <f t="shared" si="273"/>
        <v>0</v>
      </c>
      <c r="O1675" s="268">
        <f t="shared" si="274"/>
        <v>1900</v>
      </c>
      <c r="P1675" s="239"/>
      <c r="Q1675" s="239">
        <f>1400-50+550</f>
        <v>1900</v>
      </c>
      <c r="R1675" s="239"/>
      <c r="S1675" s="237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25425</v>
      </c>
      <c r="AC1675" s="196">
        <f t="shared" si="277"/>
        <v>1900</v>
      </c>
      <c r="AD1675" s="196">
        <f t="shared" si="278"/>
        <v>1900</v>
      </c>
      <c r="AE1675" s="196">
        <f t="shared" si="279"/>
        <v>0</v>
      </c>
      <c r="AF1675" s="2">
        <f t="shared" si="280"/>
        <v>1900</v>
      </c>
      <c r="AG1675" s="2">
        <f t="shared" si="281"/>
        <v>0</v>
      </c>
    </row>
    <row r="1676" spans="1:33">
      <c r="A1676" s="20" t="s">
        <v>22474</v>
      </c>
      <c r="B1676" s="156"/>
      <c r="C1676" s="21" t="s">
        <v>22512</v>
      </c>
      <c r="D1676" s="109" t="s">
        <v>22513</v>
      </c>
      <c r="E1676" s="109"/>
      <c r="F1676" s="391" t="s">
        <v>22529</v>
      </c>
      <c r="G1676" s="23" t="s">
        <v>22531</v>
      </c>
      <c r="H1676" s="23"/>
      <c r="I1676" s="23"/>
      <c r="J1676" s="23"/>
      <c r="K1676" s="23"/>
      <c r="L1676" s="375" t="s">
        <v>7787</v>
      </c>
      <c r="M1676" s="351" t="s">
        <v>45</v>
      </c>
      <c r="N1676" s="267">
        <f t="shared" si="273"/>
        <v>0</v>
      </c>
      <c r="O1676" s="268">
        <f t="shared" si="274"/>
        <v>100</v>
      </c>
      <c r="P1676" s="239">
        <f>200+1950-100-700-50-100+250-200-1200+150-100</f>
        <v>100</v>
      </c>
      <c r="Q1676" s="239"/>
      <c r="R1676" s="239"/>
      <c r="S1676" s="243"/>
      <c r="T1676" s="239"/>
      <c r="U1676" s="240"/>
      <c r="V1676" s="240"/>
      <c r="W1676" s="240"/>
      <c r="X1676" s="278"/>
      <c r="Y1676" s="237"/>
      <c r="Z1676" s="237"/>
      <c r="AA1676" s="279"/>
      <c r="AB1676" s="238" t="s">
        <v>25277</v>
      </c>
      <c r="AC1676" s="196">
        <f t="shared" si="277"/>
        <v>100</v>
      </c>
      <c r="AD1676" s="196">
        <f t="shared" si="278"/>
        <v>100</v>
      </c>
      <c r="AE1676" s="196">
        <f t="shared" si="279"/>
        <v>0</v>
      </c>
      <c r="AF1676" s="2">
        <f t="shared" si="280"/>
        <v>100</v>
      </c>
      <c r="AG1676" s="2">
        <f t="shared" si="281"/>
        <v>0</v>
      </c>
    </row>
    <row r="1677" spans="1:33">
      <c r="A1677" s="20" t="s">
        <v>1853</v>
      </c>
      <c r="B1677" s="150"/>
      <c r="C1677" s="21" t="s">
        <v>770</v>
      </c>
      <c r="D1677" s="109" t="s">
        <v>13949</v>
      </c>
      <c r="E1677" s="109"/>
      <c r="F1677" s="391" t="s">
        <v>15070</v>
      </c>
      <c r="G1677" s="23" t="s">
        <v>15071</v>
      </c>
      <c r="H1677" s="23"/>
      <c r="I1677" s="23"/>
      <c r="J1677" s="23"/>
      <c r="K1677" s="23"/>
      <c r="L1677" s="375"/>
      <c r="M1677" s="351"/>
      <c r="N1677" s="267">
        <f t="shared" si="273"/>
        <v>0</v>
      </c>
      <c r="O1677" s="268">
        <f t="shared" si="274"/>
        <v>0</v>
      </c>
      <c r="P1677" s="239"/>
      <c r="Q1677" s="239"/>
      <c r="R1677" s="239"/>
      <c r="S1677" s="239"/>
      <c r="T1677" s="239"/>
      <c r="U1677" s="240"/>
      <c r="V1677" s="240"/>
      <c r="W1677" s="240"/>
      <c r="X1677" s="278"/>
      <c r="Y1677" s="237"/>
      <c r="Z1677" s="237"/>
      <c r="AA1677" s="279"/>
      <c r="AB1677" s="238"/>
      <c r="AC1677" s="196">
        <f t="shared" si="277"/>
        <v>0</v>
      </c>
      <c r="AD1677" s="196">
        <f t="shared" si="278"/>
        <v>0</v>
      </c>
      <c r="AE1677" s="196">
        <f t="shared" si="279"/>
        <v>0</v>
      </c>
      <c r="AF1677" s="2">
        <f t="shared" si="280"/>
        <v>0</v>
      </c>
      <c r="AG1677" s="2">
        <f t="shared" si="281"/>
        <v>0</v>
      </c>
    </row>
    <row r="1678" spans="1:33">
      <c r="A1678" s="20" t="s">
        <v>1854</v>
      </c>
      <c r="B1678" s="150"/>
      <c r="C1678" s="21" t="s">
        <v>770</v>
      </c>
      <c r="D1678" s="109" t="s">
        <v>13613</v>
      </c>
      <c r="E1678" s="109"/>
      <c r="F1678" s="391" t="s">
        <v>15070</v>
      </c>
      <c r="G1678" s="23" t="s">
        <v>13953</v>
      </c>
      <c r="H1678" s="23" t="s">
        <v>13952</v>
      </c>
      <c r="I1678" s="23" t="s">
        <v>14637</v>
      </c>
      <c r="J1678" s="23" t="s">
        <v>19566</v>
      </c>
      <c r="K1678" s="23" t="s">
        <v>13942</v>
      </c>
      <c r="L1678" s="375" t="s">
        <v>27824</v>
      </c>
      <c r="M1678" s="351" t="s">
        <v>7787</v>
      </c>
      <c r="N1678" s="267">
        <f t="shared" si="273"/>
        <v>0</v>
      </c>
      <c r="O1678" s="268">
        <f t="shared" si="274"/>
        <v>100</v>
      </c>
      <c r="P1678" s="239"/>
      <c r="Q1678" s="239"/>
      <c r="R1678" s="239"/>
      <c r="S1678" s="239"/>
      <c r="T1678" s="239"/>
      <c r="U1678" s="240">
        <f>550-500+550-500</f>
        <v>100</v>
      </c>
      <c r="V1678" s="240"/>
      <c r="W1678" s="240"/>
      <c r="X1678" s="278"/>
      <c r="Y1678" s="239"/>
      <c r="Z1678" s="237"/>
      <c r="AA1678" s="279"/>
      <c r="AB1678" s="238" t="s">
        <v>27819</v>
      </c>
      <c r="AC1678" s="196">
        <f t="shared" si="277"/>
        <v>100</v>
      </c>
      <c r="AD1678" s="196">
        <f t="shared" si="278"/>
        <v>100</v>
      </c>
      <c r="AE1678" s="196">
        <f t="shared" si="279"/>
        <v>0</v>
      </c>
      <c r="AF1678" s="2">
        <f t="shared" si="280"/>
        <v>100</v>
      </c>
      <c r="AG1678" s="2">
        <f t="shared" si="281"/>
        <v>0</v>
      </c>
    </row>
    <row r="1679" spans="1:33">
      <c r="A1679" s="20" t="s">
        <v>22220</v>
      </c>
      <c r="B1679" s="150"/>
      <c r="C1679" s="21" t="s">
        <v>22337</v>
      </c>
      <c r="D1679" s="109" t="s">
        <v>3137</v>
      </c>
      <c r="E1679" s="109"/>
      <c r="F1679" s="391" t="s">
        <v>22369</v>
      </c>
      <c r="G1679" s="23" t="s">
        <v>13571</v>
      </c>
      <c r="H1679" s="23"/>
      <c r="I1679" s="23"/>
      <c r="J1679" s="23"/>
      <c r="K1679" s="23"/>
      <c r="L1679" s="375" t="s">
        <v>45</v>
      </c>
      <c r="M1679" s="351" t="s">
        <v>7787</v>
      </c>
      <c r="N1679" s="267">
        <f t="shared" si="273"/>
        <v>0</v>
      </c>
      <c r="O1679" s="268">
        <f t="shared" si="274"/>
        <v>0</v>
      </c>
      <c r="P1679" s="239"/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/>
      <c r="AC1679" s="196">
        <f t="shared" si="277"/>
        <v>0</v>
      </c>
      <c r="AD1679" s="196">
        <f t="shared" si="278"/>
        <v>0</v>
      </c>
      <c r="AE1679" s="196">
        <f t="shared" si="279"/>
        <v>0</v>
      </c>
      <c r="AF1679" s="2">
        <f t="shared" si="280"/>
        <v>0</v>
      </c>
      <c r="AG1679" s="2">
        <f t="shared" si="281"/>
        <v>0</v>
      </c>
    </row>
    <row r="1680" spans="1:33">
      <c r="A1680" s="20" t="s">
        <v>21918</v>
      </c>
      <c r="B1680" s="150"/>
      <c r="C1680" s="21" t="s">
        <v>22002</v>
      </c>
      <c r="D1680" s="109" t="s">
        <v>22003</v>
      </c>
      <c r="E1680" s="109"/>
      <c r="F1680" s="391" t="s">
        <v>22007</v>
      </c>
      <c r="G1680" s="23" t="s">
        <v>22004</v>
      </c>
      <c r="H1680" s="23"/>
      <c r="I1680" s="23"/>
      <c r="J1680" s="23"/>
      <c r="K1680" s="23"/>
      <c r="L1680" s="375" t="s">
        <v>45</v>
      </c>
      <c r="M1680" s="351" t="s">
        <v>45</v>
      </c>
      <c r="N1680" s="267">
        <f t="shared" si="273"/>
        <v>0</v>
      </c>
      <c r="O1680" s="268">
        <f t="shared" si="274"/>
        <v>1700</v>
      </c>
      <c r="P1680" s="239">
        <f>1000+2350-3000+300+1700-2000+800-1000+2250-2000+850-50+2000-1000-500</f>
        <v>1700</v>
      </c>
      <c r="Q1680" s="239"/>
      <c r="R1680" s="239"/>
      <c r="S1680" s="239"/>
      <c r="T1680" s="239"/>
      <c r="U1680" s="239"/>
      <c r="V1680" s="240"/>
      <c r="W1680" s="240"/>
      <c r="X1680" s="278"/>
      <c r="Y1680" s="239"/>
      <c r="Z1680" s="237"/>
      <c r="AA1680" s="285"/>
      <c r="AB1680" s="238" t="s">
        <v>27675</v>
      </c>
      <c r="AC1680" s="196">
        <f t="shared" si="277"/>
        <v>1700</v>
      </c>
      <c r="AD1680" s="196">
        <f t="shared" si="278"/>
        <v>1700</v>
      </c>
      <c r="AE1680" s="196">
        <f t="shared" si="279"/>
        <v>0</v>
      </c>
      <c r="AF1680" s="2">
        <f t="shared" si="280"/>
        <v>1700</v>
      </c>
      <c r="AG1680" s="2">
        <f t="shared" si="281"/>
        <v>0</v>
      </c>
    </row>
    <row r="1681" spans="1:33">
      <c r="A1681" s="20" t="s">
        <v>22107</v>
      </c>
      <c r="B1681" s="150"/>
      <c r="C1681" s="21" t="s">
        <v>22222</v>
      </c>
      <c r="D1681" s="109" t="s">
        <v>3137</v>
      </c>
      <c r="E1681" s="109"/>
      <c r="F1681" s="391" t="s">
        <v>21904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3"/>
        <v>0</v>
      </c>
      <c r="O1681" s="268">
        <f t="shared" si="274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7"/>
        <v>0</v>
      </c>
      <c r="AD1681" s="196">
        <f t="shared" si="278"/>
        <v>0</v>
      </c>
      <c r="AE1681" s="196">
        <f t="shared" si="279"/>
        <v>0</v>
      </c>
      <c r="AF1681" s="2">
        <f t="shared" si="280"/>
        <v>0</v>
      </c>
      <c r="AG1681" s="2">
        <f t="shared" si="281"/>
        <v>0</v>
      </c>
    </row>
    <row r="1682" spans="1:33">
      <c r="A1682" s="20" t="s">
        <v>22198</v>
      </c>
      <c r="B1682" s="150"/>
      <c r="C1682" s="21" t="s">
        <v>22223</v>
      </c>
      <c r="D1682" s="109" t="s">
        <v>3137</v>
      </c>
      <c r="E1682" s="109"/>
      <c r="F1682" s="391" t="s">
        <v>22144</v>
      </c>
      <c r="G1682" s="23" t="s">
        <v>13301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3"/>
        <v>0</v>
      </c>
      <c r="O1682" s="268">
        <f t="shared" si="274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85"/>
      <c r="AB1682" s="238"/>
      <c r="AC1682" s="196">
        <f t="shared" si="277"/>
        <v>0</v>
      </c>
      <c r="AD1682" s="196">
        <f t="shared" si="278"/>
        <v>0</v>
      </c>
      <c r="AE1682" s="196">
        <f t="shared" si="279"/>
        <v>0</v>
      </c>
      <c r="AF1682" s="2">
        <f t="shared" si="280"/>
        <v>0</v>
      </c>
      <c r="AG1682" s="2">
        <f t="shared" si="281"/>
        <v>0</v>
      </c>
    </row>
    <row r="1683" spans="1:33">
      <c r="A1683" s="20" t="s">
        <v>21919</v>
      </c>
      <c r="B1683" s="150"/>
      <c r="C1683" s="21" t="s">
        <v>22008</v>
      </c>
      <c r="D1683" s="109" t="s">
        <v>3137</v>
      </c>
      <c r="E1683" s="109"/>
      <c r="F1683" s="391" t="s">
        <v>22010</v>
      </c>
      <c r="G1683" s="23" t="s">
        <v>17522</v>
      </c>
      <c r="H1683" s="23"/>
      <c r="I1683" s="23"/>
      <c r="J1683" s="23"/>
      <c r="K1683" s="23"/>
      <c r="L1683" s="375" t="s">
        <v>7787</v>
      </c>
      <c r="M1683" s="351" t="s">
        <v>7787</v>
      </c>
      <c r="N1683" s="267">
        <f t="shared" si="273"/>
        <v>0</v>
      </c>
      <c r="O1683" s="268">
        <f t="shared" si="274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79"/>
      <c r="AB1683" s="238"/>
      <c r="AC1683" s="196">
        <f t="shared" si="277"/>
        <v>0</v>
      </c>
      <c r="AD1683" s="196">
        <f t="shared" si="278"/>
        <v>0</v>
      </c>
      <c r="AE1683" s="196">
        <f t="shared" si="279"/>
        <v>0</v>
      </c>
      <c r="AF1683" s="2">
        <f t="shared" si="280"/>
        <v>0</v>
      </c>
      <c r="AG1683" s="2">
        <f t="shared" si="281"/>
        <v>0</v>
      </c>
    </row>
    <row r="1684" spans="1:33">
      <c r="A1684" s="20" t="s">
        <v>21849</v>
      </c>
      <c r="B1684" s="150"/>
      <c r="C1684" s="21" t="s">
        <v>21887</v>
      </c>
      <c r="D1684" s="109" t="s">
        <v>3137</v>
      </c>
      <c r="E1684" s="109" t="s">
        <v>20884</v>
      </c>
      <c r="F1684" s="391" t="s">
        <v>21894</v>
      </c>
      <c r="G1684" s="23" t="s">
        <v>6133</v>
      </c>
      <c r="H1684" s="23" t="s">
        <v>17522</v>
      </c>
      <c r="I1684" s="23"/>
      <c r="J1684" s="23" t="s">
        <v>45</v>
      </c>
      <c r="K1684" s="23"/>
      <c r="L1684" s="375" t="s">
        <v>45</v>
      </c>
      <c r="M1684" s="351" t="s">
        <v>7787</v>
      </c>
      <c r="N1684" s="267">
        <f t="shared" si="273"/>
        <v>0</v>
      </c>
      <c r="O1684" s="268">
        <f t="shared" si="274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85"/>
      <c r="AB1684" s="238"/>
      <c r="AC1684" s="196">
        <f t="shared" si="277"/>
        <v>0</v>
      </c>
      <c r="AD1684" s="196">
        <f t="shared" si="278"/>
        <v>0</v>
      </c>
      <c r="AE1684" s="196">
        <f t="shared" si="279"/>
        <v>0</v>
      </c>
      <c r="AF1684" s="2">
        <f t="shared" si="280"/>
        <v>0</v>
      </c>
      <c r="AG1684" s="2">
        <f t="shared" si="281"/>
        <v>0</v>
      </c>
    </row>
    <row r="1685" spans="1:33">
      <c r="A1685" s="20" t="s">
        <v>22097</v>
      </c>
      <c r="B1685" s="150"/>
      <c r="C1685" s="21" t="s">
        <v>22140</v>
      </c>
      <c r="D1685" s="109" t="s">
        <v>3137</v>
      </c>
      <c r="E1685" s="109" t="s">
        <v>20884</v>
      </c>
      <c r="F1685" s="391" t="s">
        <v>22144</v>
      </c>
      <c r="G1685" s="23" t="s">
        <v>6133</v>
      </c>
      <c r="H1685" s="23" t="s">
        <v>17522</v>
      </c>
      <c r="I1685" s="23" t="s">
        <v>23016</v>
      </c>
      <c r="J1685" s="23"/>
      <c r="K1685" s="23"/>
      <c r="L1685" s="375" t="s">
        <v>45</v>
      </c>
      <c r="M1685" s="351" t="s">
        <v>7787</v>
      </c>
      <c r="N1685" s="267">
        <f t="shared" si="273"/>
        <v>0</v>
      </c>
      <c r="O1685" s="268">
        <f t="shared" si="274"/>
        <v>0</v>
      </c>
      <c r="P1685" s="239"/>
      <c r="Q1685" s="239"/>
      <c r="R1685" s="239"/>
      <c r="S1685" s="239"/>
      <c r="T1685" s="239"/>
      <c r="U1685" s="240"/>
      <c r="V1685" s="240"/>
      <c r="W1685" s="240"/>
      <c r="X1685" s="278"/>
      <c r="Y1685" s="239"/>
      <c r="Z1685" s="237"/>
      <c r="AA1685" s="279"/>
      <c r="AB1685" s="238"/>
      <c r="AC1685" s="196">
        <f t="shared" si="277"/>
        <v>0</v>
      </c>
      <c r="AD1685" s="196">
        <f t="shared" si="278"/>
        <v>0</v>
      </c>
      <c r="AE1685" s="196">
        <f t="shared" si="279"/>
        <v>0</v>
      </c>
      <c r="AF1685" s="2">
        <f t="shared" si="280"/>
        <v>0</v>
      </c>
      <c r="AG1685" s="2">
        <f t="shared" si="281"/>
        <v>0</v>
      </c>
    </row>
    <row r="1686" spans="1:33">
      <c r="A1686" s="20" t="s">
        <v>22204</v>
      </c>
      <c r="B1686" s="150"/>
      <c r="C1686" s="21" t="s">
        <v>22263</v>
      </c>
      <c r="D1686" s="109" t="s">
        <v>3137</v>
      </c>
      <c r="E1686" s="109"/>
      <c r="F1686" s="391" t="s">
        <v>23053</v>
      </c>
      <c r="G1686" s="23" t="s">
        <v>22264</v>
      </c>
      <c r="H1686" s="23" t="s">
        <v>13950</v>
      </c>
      <c r="I1686" s="23"/>
      <c r="J1686" s="23"/>
      <c r="K1686" s="23"/>
      <c r="L1686" s="375"/>
      <c r="M1686" s="351" t="s">
        <v>7787</v>
      </c>
      <c r="N1686" s="267">
        <f t="shared" si="273"/>
        <v>0</v>
      </c>
      <c r="O1686" s="268">
        <f t="shared" si="274"/>
        <v>0</v>
      </c>
      <c r="P1686" s="239"/>
      <c r="Q1686" s="239"/>
      <c r="R1686" s="239"/>
      <c r="S1686" s="239"/>
      <c r="T1686" s="239"/>
      <c r="U1686" s="239"/>
      <c r="V1686" s="239"/>
      <c r="W1686" s="240"/>
      <c r="X1686" s="278"/>
      <c r="Y1686" s="239"/>
      <c r="Z1686" s="237"/>
      <c r="AA1686" s="285"/>
      <c r="AB1686" s="238"/>
      <c r="AC1686" s="196">
        <f t="shared" si="277"/>
        <v>0</v>
      </c>
      <c r="AD1686" s="196">
        <f t="shared" si="278"/>
        <v>0</v>
      </c>
      <c r="AE1686" s="196">
        <f t="shared" si="279"/>
        <v>0</v>
      </c>
      <c r="AF1686" s="2">
        <f t="shared" si="280"/>
        <v>0</v>
      </c>
      <c r="AG1686" s="2">
        <f t="shared" si="281"/>
        <v>0</v>
      </c>
    </row>
    <row r="1687" spans="1:33">
      <c r="A1687" s="20" t="s">
        <v>22105</v>
      </c>
      <c r="B1687" s="150"/>
      <c r="C1687" s="21" t="s">
        <v>22180</v>
      </c>
      <c r="D1687" s="109" t="s">
        <v>3137</v>
      </c>
      <c r="E1687" s="109" t="s">
        <v>25300</v>
      </c>
      <c r="F1687" s="391" t="s">
        <v>22190</v>
      </c>
      <c r="G1687" s="23" t="s">
        <v>13214</v>
      </c>
      <c r="H1687" s="23" t="s">
        <v>15190</v>
      </c>
      <c r="I1687" s="23"/>
      <c r="J1687" s="23"/>
      <c r="K1687" s="23"/>
      <c r="L1687" s="375" t="s">
        <v>7787</v>
      </c>
      <c r="M1687" s="351"/>
      <c r="N1687" s="267">
        <f t="shared" si="273"/>
        <v>0</v>
      </c>
      <c r="O1687" s="268">
        <f t="shared" si="274"/>
        <v>11500</v>
      </c>
      <c r="P1687" s="239">
        <f>3000+7000-1500-5000+4000+1800+5200-3000</f>
        <v>11500</v>
      </c>
      <c r="Q1687" s="239"/>
      <c r="R1687" s="239"/>
      <c r="S1687" s="239"/>
      <c r="T1687" s="239"/>
      <c r="U1687" s="240"/>
      <c r="V1687" s="240"/>
      <c r="W1687" s="240"/>
      <c r="X1687" s="278"/>
      <c r="Y1687" s="239"/>
      <c r="Z1687" s="237"/>
      <c r="AA1687" s="279"/>
      <c r="AB1687" s="238" t="s">
        <v>25504</v>
      </c>
      <c r="AC1687" s="196">
        <f t="shared" si="277"/>
        <v>11500</v>
      </c>
      <c r="AD1687" s="196">
        <f t="shared" si="278"/>
        <v>11500</v>
      </c>
      <c r="AE1687" s="196">
        <f t="shared" si="279"/>
        <v>0</v>
      </c>
      <c r="AF1687" s="2">
        <f t="shared" si="280"/>
        <v>11500</v>
      </c>
      <c r="AG1687" s="2">
        <f t="shared" si="281"/>
        <v>0</v>
      </c>
    </row>
    <row r="1688" spans="1:33">
      <c r="A1688" s="20" t="s">
        <v>22355</v>
      </c>
      <c r="B1688" s="150"/>
      <c r="C1688" s="21" t="s">
        <v>22412</v>
      </c>
      <c r="D1688" s="109" t="s">
        <v>3933</v>
      </c>
      <c r="E1688" s="109" t="s">
        <v>24862</v>
      </c>
      <c r="F1688" s="391" t="s">
        <v>22414</v>
      </c>
      <c r="G1688" s="23" t="s">
        <v>13301</v>
      </c>
      <c r="H1688" s="23"/>
      <c r="I1688" s="23"/>
      <c r="J1688" s="23"/>
      <c r="K1688" s="23"/>
      <c r="L1688" s="375"/>
      <c r="M1688" s="351" t="s">
        <v>7787</v>
      </c>
      <c r="N1688" s="267">
        <f t="shared" si="273"/>
        <v>0</v>
      </c>
      <c r="O1688" s="268">
        <f t="shared" si="274"/>
        <v>150</v>
      </c>
      <c r="P1688" s="240"/>
      <c r="Q1688" s="239"/>
      <c r="R1688" s="239"/>
      <c r="S1688" s="239"/>
      <c r="T1688" s="239"/>
      <c r="U1688" s="240">
        <f>1000-850</f>
        <v>150</v>
      </c>
      <c r="V1688" s="240"/>
      <c r="W1688" s="240"/>
      <c r="X1688" s="278"/>
      <c r="Y1688" s="239"/>
      <c r="Z1688" s="237"/>
      <c r="AA1688" s="285"/>
      <c r="AB1688" s="238" t="s">
        <v>24863</v>
      </c>
      <c r="AC1688" s="196">
        <f t="shared" si="277"/>
        <v>150</v>
      </c>
      <c r="AD1688" s="196">
        <f t="shared" si="278"/>
        <v>150</v>
      </c>
      <c r="AE1688" s="196">
        <f t="shared" si="279"/>
        <v>0</v>
      </c>
      <c r="AF1688" s="2">
        <f t="shared" si="280"/>
        <v>150</v>
      </c>
      <c r="AG1688" s="2">
        <f t="shared" si="281"/>
        <v>0</v>
      </c>
    </row>
    <row r="1689" spans="1:33">
      <c r="A1689" s="20" t="s">
        <v>22201</v>
      </c>
      <c r="B1689" s="150"/>
      <c r="C1689" s="21" t="s">
        <v>22256</v>
      </c>
      <c r="D1689" s="109" t="s">
        <v>3137</v>
      </c>
      <c r="E1689" s="109"/>
      <c r="F1689" s="391" t="s">
        <v>22257</v>
      </c>
      <c r="G1689" s="23" t="s">
        <v>13301</v>
      </c>
      <c r="H1689" s="23" t="s">
        <v>22393</v>
      </c>
      <c r="I1689" s="23"/>
      <c r="J1689" s="23"/>
      <c r="K1689" s="23"/>
      <c r="L1689" s="375" t="s">
        <v>7787</v>
      </c>
      <c r="M1689" s="351"/>
      <c r="N1689" s="267">
        <f t="shared" si="273"/>
        <v>0</v>
      </c>
      <c r="O1689" s="268">
        <f t="shared" si="274"/>
        <v>0</v>
      </c>
      <c r="P1689" s="239"/>
      <c r="Q1689" s="239"/>
      <c r="R1689" s="239"/>
      <c r="S1689" s="239"/>
      <c r="T1689" s="239"/>
      <c r="U1689" s="239"/>
      <c r="V1689" s="240"/>
      <c r="W1689" s="240"/>
      <c r="X1689" s="278"/>
      <c r="Y1689" s="239"/>
      <c r="Z1689" s="237"/>
      <c r="AA1689" s="285"/>
      <c r="AB1689" s="238"/>
      <c r="AC1689" s="196">
        <f t="shared" si="277"/>
        <v>0</v>
      </c>
      <c r="AD1689" s="196">
        <f t="shared" si="278"/>
        <v>0</v>
      </c>
      <c r="AE1689" s="196">
        <f t="shared" si="279"/>
        <v>0</v>
      </c>
      <c r="AF1689" s="2">
        <f t="shared" si="280"/>
        <v>0</v>
      </c>
      <c r="AG1689" s="2">
        <f t="shared" si="281"/>
        <v>0</v>
      </c>
    </row>
    <row r="1690" spans="1:33">
      <c r="A1690" s="20" t="s">
        <v>22200</v>
      </c>
      <c r="B1690" s="150"/>
      <c r="C1690" s="21" t="s">
        <v>22244</v>
      </c>
      <c r="D1690" s="109" t="s">
        <v>3137</v>
      </c>
      <c r="E1690" s="109"/>
      <c r="F1690" s="391" t="s">
        <v>22259</v>
      </c>
      <c r="G1690" s="23" t="s">
        <v>22245</v>
      </c>
      <c r="H1690" s="23" t="s">
        <v>26213</v>
      </c>
      <c r="I1690" s="23"/>
      <c r="J1690" s="23"/>
      <c r="K1690" s="23"/>
      <c r="L1690" s="375" t="s">
        <v>45</v>
      </c>
      <c r="M1690" s="351" t="s">
        <v>45</v>
      </c>
      <c r="N1690" s="267">
        <f t="shared" si="273"/>
        <v>0</v>
      </c>
      <c r="O1690" s="268">
        <f t="shared" si="274"/>
        <v>0</v>
      </c>
      <c r="P1690" s="239"/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/>
      <c r="AC1690" s="196">
        <f t="shared" si="277"/>
        <v>0</v>
      </c>
      <c r="AD1690" s="196">
        <f t="shared" si="278"/>
        <v>0</v>
      </c>
      <c r="AE1690" s="196">
        <f t="shared" si="279"/>
        <v>0</v>
      </c>
      <c r="AF1690" s="2">
        <f t="shared" si="280"/>
        <v>0</v>
      </c>
      <c r="AG1690" s="2">
        <f t="shared" si="281"/>
        <v>0</v>
      </c>
    </row>
    <row r="1691" spans="1:33">
      <c r="A1691" s="20" t="s">
        <v>26873</v>
      </c>
      <c r="B1691" s="150"/>
      <c r="C1691" s="21" t="s">
        <v>26198</v>
      </c>
      <c r="D1691" s="109" t="s">
        <v>4070</v>
      </c>
      <c r="E1691" s="109" t="s">
        <v>26706</v>
      </c>
      <c r="F1691" s="391" t="s">
        <v>26199</v>
      </c>
      <c r="G1691" s="23" t="s">
        <v>26200</v>
      </c>
      <c r="H1691" s="23" t="s">
        <v>26213</v>
      </c>
      <c r="I1691" s="23"/>
      <c r="J1691" s="23"/>
      <c r="K1691" s="23"/>
      <c r="L1691" s="375" t="s">
        <v>7787</v>
      </c>
      <c r="M1691" s="351" t="s">
        <v>7787</v>
      </c>
      <c r="N1691" s="267">
        <f t="shared" ref="N1691" si="282">SUM(L1691:M1691)</f>
        <v>0</v>
      </c>
      <c r="O1691" s="268">
        <f t="shared" ref="O1691" si="283">SUM(P1691:Z1691)</f>
        <v>1000</v>
      </c>
      <c r="P1691" s="239">
        <f>6000+5000-10000</f>
        <v>1000</v>
      </c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 t="s">
        <v>27469</v>
      </c>
      <c r="AC1691" s="196">
        <f t="shared" si="277"/>
        <v>1000</v>
      </c>
      <c r="AD1691" s="196">
        <f t="shared" si="278"/>
        <v>1000</v>
      </c>
      <c r="AE1691" s="196">
        <f t="shared" si="279"/>
        <v>0</v>
      </c>
      <c r="AF1691" s="2">
        <f t="shared" si="280"/>
        <v>1000</v>
      </c>
      <c r="AG1691" s="2">
        <f t="shared" si="281"/>
        <v>0</v>
      </c>
    </row>
    <row r="1692" spans="1:33">
      <c r="A1692" s="20" t="s">
        <v>23355</v>
      </c>
      <c r="B1692" s="150"/>
      <c r="C1692" s="21" t="s">
        <v>22244</v>
      </c>
      <c r="D1692" s="109" t="s">
        <v>3133</v>
      </c>
      <c r="E1692" s="109"/>
      <c r="F1692" s="391" t="s">
        <v>22259</v>
      </c>
      <c r="G1692" s="23" t="s">
        <v>21164</v>
      </c>
      <c r="H1692" s="23"/>
      <c r="I1692" s="23"/>
      <c r="J1692" s="23"/>
      <c r="K1692" s="23"/>
      <c r="L1692" s="375" t="s">
        <v>7787</v>
      </c>
      <c r="M1692" s="351"/>
      <c r="N1692" s="267">
        <f t="shared" si="273"/>
        <v>0</v>
      </c>
      <c r="O1692" s="268">
        <f t="shared" si="274"/>
        <v>0</v>
      </c>
      <c r="P1692" s="239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7"/>
        <v>0</v>
      </c>
      <c r="AD1692" s="196">
        <f t="shared" si="278"/>
        <v>0</v>
      </c>
      <c r="AE1692" s="196">
        <f t="shared" si="279"/>
        <v>0</v>
      </c>
      <c r="AF1692" s="2">
        <f t="shared" si="280"/>
        <v>0</v>
      </c>
      <c r="AG1692" s="2">
        <f t="shared" si="281"/>
        <v>0</v>
      </c>
    </row>
    <row r="1693" spans="1:33">
      <c r="A1693" s="20" t="s">
        <v>21927</v>
      </c>
      <c r="B1693" s="150"/>
      <c r="C1693" s="21" t="s">
        <v>22053</v>
      </c>
      <c r="D1693" s="109" t="s">
        <v>3137</v>
      </c>
      <c r="E1693" s="109"/>
      <c r="F1693" s="391" t="s">
        <v>22058</v>
      </c>
      <c r="G1693" s="23" t="s">
        <v>13942</v>
      </c>
      <c r="H1693" s="23" t="s">
        <v>24276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3"/>
        <v>0</v>
      </c>
      <c r="O1693" s="268">
        <f t="shared" si="274"/>
        <v>0</v>
      </c>
      <c r="P1693" s="240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85"/>
      <c r="AB1693" s="238"/>
      <c r="AC1693" s="196">
        <f t="shared" si="277"/>
        <v>0</v>
      </c>
      <c r="AD1693" s="196">
        <f t="shared" si="278"/>
        <v>0</v>
      </c>
      <c r="AE1693" s="196">
        <f t="shared" si="279"/>
        <v>0</v>
      </c>
      <c r="AF1693" s="2">
        <f t="shared" si="280"/>
        <v>0</v>
      </c>
      <c r="AG1693" s="2">
        <f t="shared" si="281"/>
        <v>0</v>
      </c>
    </row>
    <row r="1694" spans="1:33">
      <c r="A1694" s="20" t="s">
        <v>22093</v>
      </c>
      <c r="B1694" s="150"/>
      <c r="C1694" s="21" t="s">
        <v>22117</v>
      </c>
      <c r="D1694" s="109" t="s">
        <v>3137</v>
      </c>
      <c r="E1694" s="109"/>
      <c r="F1694" s="391" t="s">
        <v>22124</v>
      </c>
      <c r="G1694" s="23" t="s">
        <v>22118</v>
      </c>
      <c r="H1694" s="23" t="s">
        <v>22119</v>
      </c>
      <c r="I1694" s="23"/>
      <c r="J1694" s="23"/>
      <c r="K1694" s="23"/>
      <c r="L1694" s="375" t="s">
        <v>7787</v>
      </c>
      <c r="M1694" s="351" t="s">
        <v>7787</v>
      </c>
      <c r="N1694" s="267">
        <f t="shared" si="273"/>
        <v>0</v>
      </c>
      <c r="O1694" s="268">
        <f t="shared" si="274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9"/>
      <c r="Z1694" s="237"/>
      <c r="AA1694" s="279"/>
      <c r="AB1694" s="238"/>
      <c r="AC1694" s="196">
        <f t="shared" si="277"/>
        <v>0</v>
      </c>
      <c r="AD1694" s="196">
        <f t="shared" si="278"/>
        <v>0</v>
      </c>
      <c r="AE1694" s="196">
        <f t="shared" si="279"/>
        <v>0</v>
      </c>
      <c r="AF1694" s="2">
        <f t="shared" si="280"/>
        <v>0</v>
      </c>
      <c r="AG1694" s="2">
        <f t="shared" si="281"/>
        <v>0</v>
      </c>
    </row>
    <row r="1695" spans="1:33">
      <c r="A1695" s="20" t="s">
        <v>1855</v>
      </c>
      <c r="B1695" s="150"/>
      <c r="C1695" s="21" t="s">
        <v>771</v>
      </c>
      <c r="D1695" s="109" t="s">
        <v>15014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3"/>
        <v>0</v>
      </c>
      <c r="O1695" s="268">
        <f t="shared" si="274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7"/>
        <v>0</v>
      </c>
      <c r="AD1695" s="196">
        <f t="shared" si="278"/>
        <v>0</v>
      </c>
      <c r="AE1695" s="196">
        <f t="shared" si="279"/>
        <v>0</v>
      </c>
      <c r="AF1695" s="2">
        <f t="shared" si="280"/>
        <v>0</v>
      </c>
      <c r="AG1695" s="2">
        <f t="shared" si="281"/>
        <v>0</v>
      </c>
    </row>
    <row r="1696" spans="1:33">
      <c r="A1696" s="20" t="s">
        <v>1856</v>
      </c>
      <c r="B1696" s="150"/>
      <c r="C1696" s="21" t="s">
        <v>771</v>
      </c>
      <c r="D1696" s="109" t="s">
        <v>15016</v>
      </c>
      <c r="E1696" s="109"/>
      <c r="F1696" s="391" t="s">
        <v>15072</v>
      </c>
      <c r="G1696" s="23"/>
      <c r="H1696" s="23"/>
      <c r="I1696" s="23"/>
      <c r="J1696" s="23"/>
      <c r="K1696" s="23"/>
      <c r="L1696" s="350"/>
      <c r="M1696" s="351"/>
      <c r="N1696" s="267">
        <f t="shared" si="273"/>
        <v>0</v>
      </c>
      <c r="O1696" s="268">
        <f t="shared" si="274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7"/>
        <v>0</v>
      </c>
      <c r="AD1696" s="196">
        <f t="shared" si="278"/>
        <v>0</v>
      </c>
      <c r="AE1696" s="196">
        <f t="shared" si="279"/>
        <v>0</v>
      </c>
      <c r="AF1696" s="2">
        <f t="shared" si="280"/>
        <v>0</v>
      </c>
      <c r="AG1696" s="2">
        <f t="shared" si="281"/>
        <v>0</v>
      </c>
    </row>
    <row r="1697" spans="1:33">
      <c r="A1697" s="20" t="s">
        <v>1857</v>
      </c>
      <c r="B1697" s="150"/>
      <c r="C1697" s="21" t="s">
        <v>772</v>
      </c>
      <c r="D1697" s="109" t="s">
        <v>15073</v>
      </c>
      <c r="E1697" s="109"/>
      <c r="F1697" s="391" t="s">
        <v>15074</v>
      </c>
      <c r="G1697" s="23"/>
      <c r="H1697" s="23"/>
      <c r="I1697" s="23"/>
      <c r="J1697" s="23"/>
      <c r="K1697" s="23"/>
      <c r="L1697" s="350"/>
      <c r="M1697" s="351"/>
      <c r="N1697" s="267">
        <f t="shared" si="273"/>
        <v>0</v>
      </c>
      <c r="O1697" s="268">
        <f t="shared" si="274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7"/>
        <v>0</v>
      </c>
      <c r="AD1697" s="196">
        <f t="shared" si="278"/>
        <v>0</v>
      </c>
      <c r="AE1697" s="196">
        <f t="shared" si="279"/>
        <v>0</v>
      </c>
      <c r="AF1697" s="2">
        <f t="shared" si="280"/>
        <v>0</v>
      </c>
      <c r="AG1697" s="2">
        <f t="shared" si="281"/>
        <v>0</v>
      </c>
    </row>
    <row r="1698" spans="1:33">
      <c r="A1698" s="20" t="s">
        <v>1858</v>
      </c>
      <c r="B1698" s="150"/>
      <c r="C1698" s="21" t="s">
        <v>773</v>
      </c>
      <c r="D1698" s="109" t="s">
        <v>13613</v>
      </c>
      <c r="E1698" s="109"/>
      <c r="F1698" s="391" t="s">
        <v>15075</v>
      </c>
      <c r="G1698" s="23"/>
      <c r="H1698" s="23"/>
      <c r="I1698" s="23"/>
      <c r="J1698" s="23"/>
      <c r="K1698" s="23"/>
      <c r="L1698" s="350"/>
      <c r="M1698" s="351"/>
      <c r="N1698" s="267">
        <f t="shared" si="273"/>
        <v>0</v>
      </c>
      <c r="O1698" s="268">
        <f t="shared" si="274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7"/>
        <v>0</v>
      </c>
      <c r="AD1698" s="196">
        <f t="shared" si="278"/>
        <v>0</v>
      </c>
      <c r="AE1698" s="196">
        <f t="shared" si="279"/>
        <v>0</v>
      </c>
      <c r="AF1698" s="2">
        <f t="shared" si="280"/>
        <v>0</v>
      </c>
      <c r="AG1698" s="2">
        <f t="shared" si="281"/>
        <v>0</v>
      </c>
    </row>
    <row r="1699" spans="1:33">
      <c r="A1699" s="20" t="s">
        <v>1859</v>
      </c>
      <c r="B1699" s="150"/>
      <c r="C1699" s="21" t="s">
        <v>774</v>
      </c>
      <c r="D1699" s="109" t="s">
        <v>13607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3"/>
        <v>0</v>
      </c>
      <c r="O1699" s="268">
        <f t="shared" si="274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7"/>
        <v>0</v>
      </c>
      <c r="AD1699" s="196">
        <f t="shared" si="278"/>
        <v>0</v>
      </c>
      <c r="AE1699" s="196">
        <f t="shared" si="279"/>
        <v>0</v>
      </c>
      <c r="AF1699" s="2">
        <f t="shared" si="280"/>
        <v>0</v>
      </c>
      <c r="AG1699" s="2">
        <f t="shared" si="281"/>
        <v>0</v>
      </c>
    </row>
    <row r="1700" spans="1:33">
      <c r="A1700" s="20" t="s">
        <v>1860</v>
      </c>
      <c r="B1700" s="150"/>
      <c r="C1700" s="21" t="s">
        <v>774</v>
      </c>
      <c r="D1700" s="109" t="s">
        <v>15077</v>
      </c>
      <c r="E1700" s="109"/>
      <c r="F1700" s="391" t="s">
        <v>15076</v>
      </c>
      <c r="G1700" s="23"/>
      <c r="H1700" s="23"/>
      <c r="I1700" s="23"/>
      <c r="J1700" s="23"/>
      <c r="K1700" s="23"/>
      <c r="L1700" s="350"/>
      <c r="M1700" s="351"/>
      <c r="N1700" s="267">
        <f t="shared" si="273"/>
        <v>0</v>
      </c>
      <c r="O1700" s="268">
        <f t="shared" si="274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7"/>
        <v>0</v>
      </c>
      <c r="AD1700" s="196">
        <f t="shared" si="278"/>
        <v>0</v>
      </c>
      <c r="AE1700" s="196">
        <f t="shared" si="279"/>
        <v>0</v>
      </c>
      <c r="AF1700" s="2">
        <f t="shared" si="280"/>
        <v>0</v>
      </c>
      <c r="AG1700" s="2">
        <f t="shared" si="281"/>
        <v>0</v>
      </c>
    </row>
    <row r="1701" spans="1:33">
      <c r="A1701" s="20" t="s">
        <v>1861</v>
      </c>
      <c r="B1701" s="150"/>
      <c r="C1701" s="21" t="s">
        <v>775</v>
      </c>
      <c r="D1701" s="109" t="s">
        <v>13607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3"/>
        <v>0</v>
      </c>
      <c r="O1701" s="268">
        <f t="shared" si="274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7"/>
        <v>0</v>
      </c>
      <c r="AD1701" s="196">
        <f t="shared" si="278"/>
        <v>0</v>
      </c>
      <c r="AE1701" s="196">
        <f t="shared" si="279"/>
        <v>0</v>
      </c>
      <c r="AF1701" s="2">
        <f t="shared" si="280"/>
        <v>0</v>
      </c>
      <c r="AG1701" s="2">
        <f t="shared" si="281"/>
        <v>0</v>
      </c>
    </row>
    <row r="1702" spans="1:33">
      <c r="A1702" s="20" t="s">
        <v>1862</v>
      </c>
      <c r="B1702" s="150"/>
      <c r="C1702" s="21" t="s">
        <v>775</v>
      </c>
      <c r="D1702" s="109" t="s">
        <v>15077</v>
      </c>
      <c r="E1702" s="109"/>
      <c r="F1702" s="391" t="s">
        <v>15078</v>
      </c>
      <c r="G1702" s="23"/>
      <c r="H1702" s="23"/>
      <c r="I1702" s="23"/>
      <c r="J1702" s="23"/>
      <c r="K1702" s="23"/>
      <c r="L1702" s="350"/>
      <c r="M1702" s="351"/>
      <c r="N1702" s="267">
        <f t="shared" si="273"/>
        <v>0</v>
      </c>
      <c r="O1702" s="268">
        <f t="shared" si="274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7"/>
        <v>0</v>
      </c>
      <c r="AD1702" s="196">
        <f t="shared" si="278"/>
        <v>0</v>
      </c>
      <c r="AE1702" s="196">
        <f t="shared" si="279"/>
        <v>0</v>
      </c>
      <c r="AF1702" s="2">
        <f t="shared" si="280"/>
        <v>0</v>
      </c>
      <c r="AG1702" s="2">
        <f t="shared" si="281"/>
        <v>0</v>
      </c>
    </row>
    <row r="1703" spans="1:33">
      <c r="A1703" s="20" t="s">
        <v>1863</v>
      </c>
      <c r="B1703" s="150"/>
      <c r="C1703" s="21" t="s">
        <v>776</v>
      </c>
      <c r="D1703" s="109" t="s">
        <v>14789</v>
      </c>
      <c r="E1703" s="109"/>
      <c r="F1703" s="391" t="s">
        <v>15079</v>
      </c>
      <c r="G1703" s="23"/>
      <c r="H1703" s="23"/>
      <c r="I1703" s="23"/>
      <c r="J1703" s="23"/>
      <c r="K1703" s="23"/>
      <c r="L1703" s="350"/>
      <c r="M1703" s="351"/>
      <c r="N1703" s="267">
        <f t="shared" si="273"/>
        <v>0</v>
      </c>
      <c r="O1703" s="268">
        <f t="shared" si="274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7"/>
        <v>0</v>
      </c>
      <c r="AD1703" s="196">
        <f t="shared" si="278"/>
        <v>0</v>
      </c>
      <c r="AE1703" s="196">
        <f t="shared" si="279"/>
        <v>0</v>
      </c>
      <c r="AF1703" s="2">
        <f t="shared" si="280"/>
        <v>0</v>
      </c>
      <c r="AG1703" s="2">
        <f t="shared" si="281"/>
        <v>0</v>
      </c>
    </row>
    <row r="1704" spans="1:33">
      <c r="A1704" s="20" t="s">
        <v>1864</v>
      </c>
      <c r="B1704" s="150"/>
      <c r="C1704" s="21" t="s">
        <v>777</v>
      </c>
      <c r="D1704" s="109" t="s">
        <v>15077</v>
      </c>
      <c r="E1704" s="109"/>
      <c r="F1704" s="391" t="s">
        <v>15080</v>
      </c>
      <c r="G1704" s="23"/>
      <c r="H1704" s="23"/>
      <c r="I1704" s="23"/>
      <c r="J1704" s="23"/>
      <c r="K1704" s="23"/>
      <c r="L1704" s="350"/>
      <c r="M1704" s="351"/>
      <c r="N1704" s="267">
        <f t="shared" si="273"/>
        <v>0</v>
      </c>
      <c r="O1704" s="268">
        <f t="shared" si="274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7"/>
        <v>0</v>
      </c>
      <c r="AD1704" s="196">
        <f t="shared" si="278"/>
        <v>0</v>
      </c>
      <c r="AE1704" s="196">
        <f t="shared" si="279"/>
        <v>0</v>
      </c>
      <c r="AF1704" s="2">
        <f t="shared" si="280"/>
        <v>0</v>
      </c>
      <c r="AG1704" s="2">
        <f t="shared" si="281"/>
        <v>0</v>
      </c>
    </row>
    <row r="1705" spans="1:33">
      <c r="A1705" s="20" t="s">
        <v>1865</v>
      </c>
      <c r="B1705" s="150"/>
      <c r="C1705" s="21" t="s">
        <v>778</v>
      </c>
      <c r="D1705" s="109" t="s">
        <v>15081</v>
      </c>
      <c r="E1705" s="109"/>
      <c r="F1705" s="391" t="s">
        <v>15082</v>
      </c>
      <c r="G1705" s="23"/>
      <c r="H1705" s="23"/>
      <c r="I1705" s="23"/>
      <c r="J1705" s="23"/>
      <c r="K1705" s="23"/>
      <c r="L1705" s="350"/>
      <c r="M1705" s="351"/>
      <c r="N1705" s="267">
        <f t="shared" si="273"/>
        <v>0</v>
      </c>
      <c r="O1705" s="268">
        <f t="shared" si="274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7"/>
        <v>0</v>
      </c>
      <c r="AD1705" s="196">
        <f t="shared" si="278"/>
        <v>0</v>
      </c>
      <c r="AE1705" s="196">
        <f t="shared" si="279"/>
        <v>0</v>
      </c>
      <c r="AF1705" s="2">
        <f t="shared" si="280"/>
        <v>0</v>
      </c>
      <c r="AG1705" s="2">
        <f t="shared" si="281"/>
        <v>0</v>
      </c>
    </row>
    <row r="1706" spans="1:33">
      <c r="A1706" s="20" t="s">
        <v>22095</v>
      </c>
      <c r="B1706" s="150"/>
      <c r="C1706" s="21" t="s">
        <v>22130</v>
      </c>
      <c r="D1706" s="109" t="s">
        <v>22131</v>
      </c>
      <c r="E1706" s="109"/>
      <c r="F1706" s="391" t="s">
        <v>22138</v>
      </c>
      <c r="G1706" s="23" t="s">
        <v>22132</v>
      </c>
      <c r="H1706" s="23"/>
      <c r="I1706" s="23"/>
      <c r="J1706" s="23"/>
      <c r="K1706" s="23"/>
      <c r="L1706" s="375" t="s">
        <v>7787</v>
      </c>
      <c r="M1706" s="351"/>
      <c r="N1706" s="267">
        <f t="shared" si="273"/>
        <v>0</v>
      </c>
      <c r="O1706" s="268">
        <f t="shared" si="274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7"/>
        <v>0</v>
      </c>
      <c r="AD1706" s="196">
        <f t="shared" si="278"/>
        <v>0</v>
      </c>
      <c r="AE1706" s="196">
        <f t="shared" si="279"/>
        <v>0</v>
      </c>
      <c r="AF1706" s="2">
        <f t="shared" si="280"/>
        <v>0</v>
      </c>
      <c r="AG1706" s="2">
        <f t="shared" si="281"/>
        <v>0</v>
      </c>
    </row>
    <row r="1707" spans="1:33">
      <c r="A1707" s="20" t="s">
        <v>22092</v>
      </c>
      <c r="B1707" s="150"/>
      <c r="C1707" s="21" t="s">
        <v>22116</v>
      </c>
      <c r="D1707" s="109" t="s">
        <v>3137</v>
      </c>
      <c r="E1707" s="109"/>
      <c r="F1707" s="391" t="s">
        <v>22121</v>
      </c>
      <c r="G1707" s="23" t="s">
        <v>6133</v>
      </c>
      <c r="H1707" s="23"/>
      <c r="I1707" s="23"/>
      <c r="J1707" s="23"/>
      <c r="K1707" s="23"/>
      <c r="L1707" s="350"/>
      <c r="M1707" s="351"/>
      <c r="N1707" s="267">
        <f t="shared" si="273"/>
        <v>0</v>
      </c>
      <c r="O1707" s="268">
        <f t="shared" si="274"/>
        <v>0</v>
      </c>
      <c r="P1707" s="239"/>
      <c r="Q1707" s="239"/>
      <c r="R1707" s="239"/>
      <c r="S1707" s="239"/>
      <c r="T1707" s="239"/>
      <c r="U1707" s="240"/>
      <c r="V1707" s="240"/>
      <c r="W1707" s="240"/>
      <c r="X1707" s="278"/>
      <c r="Y1707" s="237"/>
      <c r="Z1707" s="237"/>
      <c r="AA1707" s="279"/>
      <c r="AB1707" s="238"/>
      <c r="AC1707" s="196">
        <f t="shared" si="277"/>
        <v>0</v>
      </c>
      <c r="AD1707" s="196">
        <f t="shared" si="278"/>
        <v>0</v>
      </c>
      <c r="AE1707" s="196">
        <f t="shared" si="279"/>
        <v>0</v>
      </c>
      <c r="AF1707" s="2">
        <f t="shared" si="280"/>
        <v>0</v>
      </c>
      <c r="AG1707" s="2">
        <f t="shared" si="281"/>
        <v>0</v>
      </c>
    </row>
    <row r="1708" spans="1:33">
      <c r="A1708" s="20" t="s">
        <v>22096</v>
      </c>
      <c r="B1708" s="150"/>
      <c r="C1708" s="21" t="s">
        <v>22129</v>
      </c>
      <c r="D1708" s="109" t="s">
        <v>3137</v>
      </c>
      <c r="E1708" s="109"/>
      <c r="F1708" s="391" t="s">
        <v>22139</v>
      </c>
      <c r="G1708" s="23" t="s">
        <v>13942</v>
      </c>
      <c r="H1708" s="23" t="s">
        <v>23765</v>
      </c>
      <c r="I1708" s="23"/>
      <c r="J1708" s="23"/>
      <c r="K1708" s="23"/>
      <c r="L1708" s="375" t="s">
        <v>45</v>
      </c>
      <c r="M1708" s="351"/>
      <c r="N1708" s="267">
        <f t="shared" si="273"/>
        <v>0</v>
      </c>
      <c r="O1708" s="268">
        <f t="shared" si="274"/>
        <v>150</v>
      </c>
      <c r="P1708" s="239"/>
      <c r="Q1708" s="239"/>
      <c r="R1708" s="239"/>
      <c r="S1708" s="239"/>
      <c r="T1708" s="239"/>
      <c r="U1708" s="239">
        <f>550-200-100-100</f>
        <v>150</v>
      </c>
      <c r="V1708" s="240"/>
      <c r="W1708" s="240"/>
      <c r="X1708" s="278"/>
      <c r="Y1708" s="237"/>
      <c r="Z1708" s="237"/>
      <c r="AA1708" s="279"/>
      <c r="AB1708" s="238" t="s">
        <v>25309</v>
      </c>
      <c r="AC1708" s="196">
        <f t="shared" si="277"/>
        <v>150</v>
      </c>
      <c r="AD1708" s="196">
        <f t="shared" si="278"/>
        <v>150</v>
      </c>
      <c r="AE1708" s="196">
        <f t="shared" si="279"/>
        <v>0</v>
      </c>
      <c r="AF1708" s="2">
        <f t="shared" si="280"/>
        <v>150</v>
      </c>
      <c r="AG1708" s="2">
        <f t="shared" si="281"/>
        <v>0</v>
      </c>
    </row>
    <row r="1709" spans="1:33">
      <c r="A1709" s="20" t="s">
        <v>22098</v>
      </c>
      <c r="B1709" s="150"/>
      <c r="C1709" s="21" t="s">
        <v>22141</v>
      </c>
      <c r="D1709" s="109" t="s">
        <v>3137</v>
      </c>
      <c r="E1709" s="109"/>
      <c r="F1709" s="391" t="s">
        <v>22145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3"/>
        <v>0</v>
      </c>
      <c r="O1709" s="268">
        <f t="shared" si="274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7"/>
        <v>0</v>
      </c>
      <c r="AD1709" s="196">
        <f t="shared" si="278"/>
        <v>0</v>
      </c>
      <c r="AE1709" s="196">
        <f t="shared" si="279"/>
        <v>0</v>
      </c>
      <c r="AF1709" s="2">
        <f t="shared" si="280"/>
        <v>0</v>
      </c>
      <c r="AG1709" s="2">
        <f t="shared" si="281"/>
        <v>0</v>
      </c>
    </row>
    <row r="1710" spans="1:33">
      <c r="A1710" s="20" t="s">
        <v>22099</v>
      </c>
      <c r="B1710" s="150"/>
      <c r="C1710" s="21" t="s">
        <v>22142</v>
      </c>
      <c r="D1710" s="109" t="s">
        <v>3137</v>
      </c>
      <c r="E1710" s="109"/>
      <c r="F1710" s="391" t="s">
        <v>22146</v>
      </c>
      <c r="G1710" s="23" t="s">
        <v>17522</v>
      </c>
      <c r="H1710" s="23"/>
      <c r="I1710" s="23"/>
      <c r="J1710" s="23"/>
      <c r="K1710" s="23"/>
      <c r="L1710" s="375" t="s">
        <v>7787</v>
      </c>
      <c r="M1710" s="351"/>
      <c r="N1710" s="267">
        <f t="shared" si="273"/>
        <v>0</v>
      </c>
      <c r="O1710" s="268">
        <f t="shared" si="274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7"/>
        <v>0</v>
      </c>
      <c r="AD1710" s="196">
        <f t="shared" si="278"/>
        <v>0</v>
      </c>
      <c r="AE1710" s="196">
        <f t="shared" si="279"/>
        <v>0</v>
      </c>
      <c r="AF1710" s="2">
        <f t="shared" si="280"/>
        <v>0</v>
      </c>
      <c r="AG1710" s="2">
        <f t="shared" si="281"/>
        <v>0</v>
      </c>
    </row>
    <row r="1711" spans="1:33">
      <c r="A1711" s="20" t="s">
        <v>22206</v>
      </c>
      <c r="B1711" s="150"/>
      <c r="C1711" s="21" t="s">
        <v>22261</v>
      </c>
      <c r="D1711" s="109" t="s">
        <v>3137</v>
      </c>
      <c r="E1711" s="109"/>
      <c r="F1711" s="391" t="s">
        <v>22266</v>
      </c>
      <c r="G1711" s="23" t="s">
        <v>22262</v>
      </c>
      <c r="H1711" s="23"/>
      <c r="I1711" s="23"/>
      <c r="J1711" s="23"/>
      <c r="K1711" s="23"/>
      <c r="L1711" s="375" t="s">
        <v>7787</v>
      </c>
      <c r="M1711" s="351"/>
      <c r="N1711" s="267">
        <f t="shared" si="273"/>
        <v>0</v>
      </c>
      <c r="O1711" s="268">
        <f t="shared" si="274"/>
        <v>0</v>
      </c>
      <c r="P1711" s="239"/>
      <c r="Q1711" s="239"/>
      <c r="R1711" s="239"/>
      <c r="S1711" s="239"/>
      <c r="T1711" s="239"/>
      <c r="U1711" s="240"/>
      <c r="V1711" s="240"/>
      <c r="W1711" s="240"/>
      <c r="X1711" s="278"/>
      <c r="Y1711" s="237"/>
      <c r="Z1711" s="237"/>
      <c r="AA1711" s="279"/>
      <c r="AB1711" s="238"/>
      <c r="AC1711" s="196">
        <f t="shared" si="277"/>
        <v>0</v>
      </c>
      <c r="AD1711" s="196">
        <f t="shared" si="278"/>
        <v>0</v>
      </c>
      <c r="AE1711" s="196">
        <f t="shared" si="279"/>
        <v>0</v>
      </c>
      <c r="AF1711" s="2">
        <f t="shared" si="280"/>
        <v>0</v>
      </c>
      <c r="AG1711" s="2">
        <f t="shared" si="281"/>
        <v>0</v>
      </c>
    </row>
    <row r="1712" spans="1:33">
      <c r="A1712" s="20" t="s">
        <v>22572</v>
      </c>
      <c r="B1712" s="150"/>
      <c r="C1712" s="21" t="s">
        <v>22642</v>
      </c>
      <c r="D1712" s="109" t="s">
        <v>3137</v>
      </c>
      <c r="E1712" s="109" t="s">
        <v>22641</v>
      </c>
      <c r="F1712" s="391" t="s">
        <v>22258</v>
      </c>
      <c r="G1712" s="23" t="s">
        <v>13942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si="273"/>
        <v>0</v>
      </c>
      <c r="O1712" s="268">
        <f t="shared" si="274"/>
        <v>0</v>
      </c>
      <c r="P1712" s="239"/>
      <c r="Q1712" s="239"/>
      <c r="R1712" s="239"/>
      <c r="S1712" s="239"/>
      <c r="T1712" s="239"/>
      <c r="U1712" s="239"/>
      <c r="V1712" s="240"/>
      <c r="W1712" s="240"/>
      <c r="X1712" s="278"/>
      <c r="Y1712" s="240"/>
      <c r="Z1712" s="237"/>
      <c r="AA1712" s="279"/>
      <c r="AB1712" s="238"/>
      <c r="AC1712" s="196">
        <f t="shared" si="277"/>
        <v>0</v>
      </c>
      <c r="AD1712" s="196">
        <f t="shared" si="278"/>
        <v>0</v>
      </c>
      <c r="AE1712" s="196">
        <f t="shared" si="279"/>
        <v>0</v>
      </c>
      <c r="AF1712" s="2">
        <f t="shared" si="280"/>
        <v>0</v>
      </c>
      <c r="AG1712" s="2">
        <f t="shared" si="281"/>
        <v>0</v>
      </c>
    </row>
    <row r="1713" spans="1:33">
      <c r="A1713" s="20" t="s">
        <v>22202</v>
      </c>
      <c r="B1713" s="150"/>
      <c r="C1713" s="21" t="s">
        <v>22248</v>
      </c>
      <c r="D1713" s="109" t="s">
        <v>3137</v>
      </c>
      <c r="E1713" s="109"/>
      <c r="F1713" s="391" t="s">
        <v>22258</v>
      </c>
      <c r="G1713" s="23" t="s">
        <v>6133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ref="N1713:N1784" si="284">SUM(L1713:M1713)</f>
        <v>0</v>
      </c>
      <c r="O1713" s="268">
        <f t="shared" ref="O1713:O1784" si="285">SUM(P1713:Z1713)</f>
        <v>0</v>
      </c>
      <c r="P1713" s="239"/>
      <c r="Q1713" s="239"/>
      <c r="R1713" s="239"/>
      <c r="S1713" s="239"/>
      <c r="T1713" s="239"/>
      <c r="U1713" s="240"/>
      <c r="V1713" s="240"/>
      <c r="W1713" s="240"/>
      <c r="X1713" s="278"/>
      <c r="Y1713" s="240"/>
      <c r="Z1713" s="237"/>
      <c r="AA1713" s="279"/>
      <c r="AB1713" s="238"/>
      <c r="AC1713" s="196">
        <f t="shared" si="277"/>
        <v>0</v>
      </c>
      <c r="AD1713" s="196">
        <f t="shared" si="278"/>
        <v>0</v>
      </c>
      <c r="AE1713" s="196">
        <f t="shared" si="279"/>
        <v>0</v>
      </c>
      <c r="AF1713" s="2">
        <f t="shared" si="280"/>
        <v>0</v>
      </c>
      <c r="AG1713" s="2">
        <f t="shared" si="281"/>
        <v>0</v>
      </c>
    </row>
    <row r="1714" spans="1:33">
      <c r="A1714" s="20" t="s">
        <v>22205</v>
      </c>
      <c r="B1714" s="150"/>
      <c r="C1714" s="21" t="s">
        <v>22278</v>
      </c>
      <c r="D1714" s="109" t="s">
        <v>3137</v>
      </c>
      <c r="E1714" s="109"/>
      <c r="F1714" s="391" t="s">
        <v>22280</v>
      </c>
      <c r="G1714" s="23" t="s">
        <v>13942</v>
      </c>
      <c r="H1714" s="23"/>
      <c r="I1714" s="23"/>
      <c r="J1714" s="23"/>
      <c r="K1714" s="23"/>
      <c r="L1714" s="375" t="s">
        <v>7787</v>
      </c>
      <c r="M1714" s="351" t="s">
        <v>7787</v>
      </c>
      <c r="N1714" s="267">
        <f t="shared" si="284"/>
        <v>0</v>
      </c>
      <c r="O1714" s="268">
        <f t="shared" si="285"/>
        <v>600</v>
      </c>
      <c r="P1714" s="239"/>
      <c r="Q1714" s="239"/>
      <c r="R1714" s="239"/>
      <c r="S1714" s="239"/>
      <c r="T1714" s="239"/>
      <c r="U1714" s="240">
        <f>2400-2300+1150+1350-500-500-1000</f>
        <v>600</v>
      </c>
      <c r="V1714" s="240"/>
      <c r="W1714" s="240"/>
      <c r="X1714" s="278"/>
      <c r="Y1714" s="240"/>
      <c r="Z1714" s="237"/>
      <c r="AA1714" s="279"/>
      <c r="AB1714" s="238" t="s">
        <v>24858</v>
      </c>
      <c r="AC1714" s="196">
        <f t="shared" si="277"/>
        <v>600</v>
      </c>
      <c r="AD1714" s="196">
        <f t="shared" si="278"/>
        <v>600</v>
      </c>
      <c r="AE1714" s="196">
        <f t="shared" si="279"/>
        <v>0</v>
      </c>
      <c r="AF1714" s="2">
        <f t="shared" si="280"/>
        <v>600</v>
      </c>
      <c r="AG1714" s="2">
        <f t="shared" si="281"/>
        <v>0</v>
      </c>
    </row>
    <row r="1715" spans="1:33">
      <c r="A1715" s="20" t="s">
        <v>22106</v>
      </c>
      <c r="B1715" s="150"/>
      <c r="C1715" s="21" t="s">
        <v>22191</v>
      </c>
      <c r="D1715" s="109" t="s">
        <v>3137</v>
      </c>
      <c r="E1715" s="109" t="s">
        <v>22318</v>
      </c>
      <c r="F1715" s="391" t="s">
        <v>22197</v>
      </c>
      <c r="G1715" s="23" t="s">
        <v>17522</v>
      </c>
      <c r="H1715" s="23" t="s">
        <v>21811</v>
      </c>
      <c r="I1715" s="23"/>
      <c r="J1715" s="23"/>
      <c r="K1715" s="23"/>
      <c r="L1715" s="375" t="s">
        <v>7787</v>
      </c>
      <c r="M1715" s="351" t="s">
        <v>7787</v>
      </c>
      <c r="N1715" s="267">
        <f t="shared" si="284"/>
        <v>0</v>
      </c>
      <c r="O1715" s="268">
        <f t="shared" si="285"/>
        <v>4550</v>
      </c>
      <c r="P1715" s="239"/>
      <c r="Q1715" s="239">
        <f>1400-1000+800+1050-2000+2750+2750-2000+2350-1000-1000-1000-2000+1800+1000+2750+900-1000-2000</f>
        <v>4550</v>
      </c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 t="s">
        <v>25096</v>
      </c>
      <c r="AC1715" s="196">
        <f t="shared" si="277"/>
        <v>4550</v>
      </c>
      <c r="AD1715" s="196">
        <f t="shared" si="278"/>
        <v>4550</v>
      </c>
      <c r="AE1715" s="196">
        <f t="shared" si="279"/>
        <v>0</v>
      </c>
      <c r="AF1715" s="2">
        <f t="shared" si="280"/>
        <v>4550</v>
      </c>
      <c r="AG1715" s="2">
        <f t="shared" si="281"/>
        <v>0</v>
      </c>
    </row>
    <row r="1716" spans="1:33">
      <c r="A1716" s="20" t="s">
        <v>22357</v>
      </c>
      <c r="B1716" s="150"/>
      <c r="C1716" s="21" t="s">
        <v>22425</v>
      </c>
      <c r="D1716" s="109" t="s">
        <v>3137</v>
      </c>
      <c r="E1716" s="109" t="s">
        <v>22429</v>
      </c>
      <c r="F1716" s="391" t="s">
        <v>22437</v>
      </c>
      <c r="G1716" s="23" t="s">
        <v>22428</v>
      </c>
      <c r="H1716" s="23" t="s">
        <v>26567</v>
      </c>
      <c r="I1716" s="23"/>
      <c r="J1716" s="23"/>
      <c r="K1716" s="23"/>
      <c r="L1716" s="375"/>
      <c r="M1716" s="351" t="s">
        <v>27596</v>
      </c>
      <c r="N1716" s="267">
        <f t="shared" si="284"/>
        <v>0</v>
      </c>
      <c r="O1716" s="268">
        <f t="shared" si="285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7"/>
        <v>0</v>
      </c>
      <c r="AD1716" s="196">
        <f t="shared" si="278"/>
        <v>0</v>
      </c>
      <c r="AE1716" s="196">
        <f t="shared" si="279"/>
        <v>0</v>
      </c>
      <c r="AF1716" s="2">
        <f t="shared" si="280"/>
        <v>0</v>
      </c>
      <c r="AG1716" s="2">
        <f t="shared" si="281"/>
        <v>0</v>
      </c>
    </row>
    <row r="1717" spans="1:33">
      <c r="A1717" s="20" t="s">
        <v>22358</v>
      </c>
      <c r="B1717" s="150"/>
      <c r="C1717" s="21" t="s">
        <v>22426</v>
      </c>
      <c r="D1717" s="109" t="s">
        <v>3137</v>
      </c>
      <c r="E1717" s="109" t="s">
        <v>22429</v>
      </c>
      <c r="F1717" s="391" t="s">
        <v>22438</v>
      </c>
      <c r="G1717" s="23" t="s">
        <v>22428</v>
      </c>
      <c r="H1717" s="23" t="s">
        <v>26567</v>
      </c>
      <c r="I1717" s="23"/>
      <c r="J1717" s="23"/>
      <c r="K1717" s="23"/>
      <c r="L1717" s="375" t="s">
        <v>27596</v>
      </c>
      <c r="M1717" s="351" t="s">
        <v>27596</v>
      </c>
      <c r="N1717" s="267">
        <f t="shared" si="284"/>
        <v>0</v>
      </c>
      <c r="O1717" s="268">
        <f t="shared" si="285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7"/>
        <v>0</v>
      </c>
      <c r="AD1717" s="196">
        <f t="shared" si="278"/>
        <v>0</v>
      </c>
      <c r="AE1717" s="196">
        <f t="shared" si="279"/>
        <v>0</v>
      </c>
      <c r="AF1717" s="2">
        <f t="shared" si="280"/>
        <v>0</v>
      </c>
      <c r="AG1717" s="2">
        <f t="shared" si="281"/>
        <v>0</v>
      </c>
    </row>
    <row r="1718" spans="1:33">
      <c r="A1718" s="20" t="s">
        <v>22359</v>
      </c>
      <c r="B1718" s="150"/>
      <c r="C1718" s="21" t="s">
        <v>22427</v>
      </c>
      <c r="D1718" s="109" t="s">
        <v>3137</v>
      </c>
      <c r="E1718" s="109" t="s">
        <v>22429</v>
      </c>
      <c r="F1718" s="391" t="s">
        <v>22439</v>
      </c>
      <c r="G1718" s="23" t="s">
        <v>22428</v>
      </c>
      <c r="H1718" s="23" t="s">
        <v>14522</v>
      </c>
      <c r="I1718" s="23"/>
      <c r="J1718" s="23"/>
      <c r="K1718" s="23"/>
      <c r="L1718" s="375" t="s">
        <v>27596</v>
      </c>
      <c r="M1718" s="351" t="s">
        <v>27596</v>
      </c>
      <c r="N1718" s="267">
        <f t="shared" si="284"/>
        <v>0</v>
      </c>
      <c r="O1718" s="268">
        <f t="shared" si="285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7"/>
        <v>0</v>
      </c>
      <c r="AD1718" s="196">
        <f t="shared" si="278"/>
        <v>0</v>
      </c>
      <c r="AE1718" s="196">
        <f t="shared" si="279"/>
        <v>0</v>
      </c>
      <c r="AF1718" s="2">
        <f t="shared" si="280"/>
        <v>0</v>
      </c>
      <c r="AG1718" s="2">
        <f t="shared" si="281"/>
        <v>0</v>
      </c>
    </row>
    <row r="1719" spans="1:33">
      <c r="A1719" s="20" t="s">
        <v>22207</v>
      </c>
      <c r="B1719" s="150"/>
      <c r="C1719" s="21" t="s">
        <v>22281</v>
      </c>
      <c r="D1719" s="109" t="s">
        <v>3137</v>
      </c>
      <c r="E1719" s="109" t="s">
        <v>22282</v>
      </c>
      <c r="F1719" s="391" t="s">
        <v>22283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 t="s">
        <v>7787</v>
      </c>
      <c r="N1719" s="267">
        <f t="shared" si="284"/>
        <v>0</v>
      </c>
      <c r="O1719" s="268">
        <f t="shared" si="285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7"/>
        <v>0</v>
      </c>
      <c r="AD1719" s="196">
        <f t="shared" si="278"/>
        <v>0</v>
      </c>
      <c r="AE1719" s="196">
        <f t="shared" si="279"/>
        <v>0</v>
      </c>
      <c r="AF1719" s="2">
        <f t="shared" si="280"/>
        <v>0</v>
      </c>
      <c r="AG1719" s="2">
        <f t="shared" si="281"/>
        <v>0</v>
      </c>
    </row>
    <row r="1720" spans="1:33">
      <c r="A1720" s="20" t="s">
        <v>22352</v>
      </c>
      <c r="B1720" s="150"/>
      <c r="C1720" s="21" t="s">
        <v>22410</v>
      </c>
      <c r="D1720" s="109" t="s">
        <v>3137</v>
      </c>
      <c r="E1720" s="109"/>
      <c r="F1720" s="391" t="s">
        <v>22423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4"/>
        <v>0</v>
      </c>
      <c r="O1720" s="268">
        <f t="shared" si="285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7"/>
        <v>0</v>
      </c>
      <c r="AD1720" s="196">
        <f t="shared" si="278"/>
        <v>0</v>
      </c>
      <c r="AE1720" s="196">
        <f t="shared" si="279"/>
        <v>0</v>
      </c>
      <c r="AF1720" s="2">
        <f t="shared" si="280"/>
        <v>0</v>
      </c>
      <c r="AG1720" s="2">
        <f t="shared" si="281"/>
        <v>0</v>
      </c>
    </row>
    <row r="1721" spans="1:33">
      <c r="A1721" s="20" t="s">
        <v>22353</v>
      </c>
      <c r="B1721" s="150"/>
      <c r="C1721" s="21" t="s">
        <v>22411</v>
      </c>
      <c r="D1721" s="109" t="s">
        <v>3137</v>
      </c>
      <c r="E1721" s="109"/>
      <c r="F1721" s="391" t="s">
        <v>22424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4"/>
        <v>0</v>
      </c>
      <c r="O1721" s="268">
        <f t="shared" si="285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7"/>
        <v>0</v>
      </c>
      <c r="AD1721" s="196">
        <f t="shared" si="278"/>
        <v>0</v>
      </c>
      <c r="AE1721" s="196">
        <f t="shared" si="279"/>
        <v>0</v>
      </c>
      <c r="AF1721" s="2">
        <f t="shared" si="280"/>
        <v>0</v>
      </c>
      <c r="AG1721" s="2">
        <f t="shared" si="281"/>
        <v>0</v>
      </c>
    </row>
    <row r="1722" spans="1:33">
      <c r="A1722" s="20" t="s">
        <v>22212</v>
      </c>
      <c r="B1722" s="150"/>
      <c r="C1722" s="21" t="s">
        <v>22305</v>
      </c>
      <c r="D1722" s="109" t="s">
        <v>3137</v>
      </c>
      <c r="E1722" s="109" t="s">
        <v>22282</v>
      </c>
      <c r="F1722" s="391" t="s">
        <v>22283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4"/>
        <v>0</v>
      </c>
      <c r="O1722" s="268">
        <f t="shared" si="285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7"/>
        <v>0</v>
      </c>
      <c r="AD1722" s="196">
        <f t="shared" si="278"/>
        <v>0</v>
      </c>
      <c r="AE1722" s="196">
        <f t="shared" si="279"/>
        <v>0</v>
      </c>
      <c r="AF1722" s="2">
        <f t="shared" si="280"/>
        <v>0</v>
      </c>
      <c r="AG1722" s="2">
        <f t="shared" si="281"/>
        <v>0</v>
      </c>
    </row>
    <row r="1723" spans="1:33">
      <c r="A1723" s="20" t="s">
        <v>22354</v>
      </c>
      <c r="B1723" s="150"/>
      <c r="C1723" s="21" t="s">
        <v>22420</v>
      </c>
      <c r="D1723" s="109" t="s">
        <v>3137</v>
      </c>
      <c r="E1723" s="109"/>
      <c r="F1723" s="391" t="s">
        <v>22423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4"/>
        <v>0</v>
      </c>
      <c r="O1723" s="268">
        <f t="shared" si="285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7"/>
        <v>0</v>
      </c>
      <c r="AD1723" s="196">
        <f t="shared" si="278"/>
        <v>0</v>
      </c>
      <c r="AE1723" s="196">
        <f t="shared" si="279"/>
        <v>0</v>
      </c>
      <c r="AF1723" s="2">
        <f t="shared" si="280"/>
        <v>0</v>
      </c>
      <c r="AG1723" s="2">
        <f t="shared" si="281"/>
        <v>0</v>
      </c>
    </row>
    <row r="1724" spans="1:33">
      <c r="A1724" s="20" t="s">
        <v>22366</v>
      </c>
      <c r="B1724" s="150"/>
      <c r="C1724" s="21" t="s">
        <v>22442</v>
      </c>
      <c r="D1724" s="109" t="s">
        <v>3137</v>
      </c>
      <c r="E1724" s="109"/>
      <c r="F1724" s="391" t="s">
        <v>22424</v>
      </c>
      <c r="G1724" s="23" t="s">
        <v>17522</v>
      </c>
      <c r="H1724" s="23"/>
      <c r="I1724" s="23"/>
      <c r="J1724" s="23"/>
      <c r="K1724" s="23"/>
      <c r="L1724" s="375" t="s">
        <v>7787</v>
      </c>
      <c r="M1724" s="351"/>
      <c r="N1724" s="267">
        <f t="shared" si="284"/>
        <v>0</v>
      </c>
      <c r="O1724" s="268">
        <f t="shared" si="285"/>
        <v>0</v>
      </c>
      <c r="P1724" s="239"/>
      <c r="Q1724" s="239"/>
      <c r="R1724" s="239"/>
      <c r="S1724" s="239"/>
      <c r="T1724" s="239"/>
      <c r="U1724" s="240"/>
      <c r="V1724" s="240"/>
      <c r="W1724" s="240"/>
      <c r="X1724" s="278"/>
      <c r="Y1724" s="237"/>
      <c r="Z1724" s="237"/>
      <c r="AA1724" s="279"/>
      <c r="AB1724" s="238"/>
      <c r="AC1724" s="196">
        <f t="shared" si="277"/>
        <v>0</v>
      </c>
      <c r="AD1724" s="196">
        <f t="shared" si="278"/>
        <v>0</v>
      </c>
      <c r="AE1724" s="196">
        <f t="shared" si="279"/>
        <v>0</v>
      </c>
      <c r="AF1724" s="2">
        <f t="shared" si="280"/>
        <v>0</v>
      </c>
      <c r="AG1724" s="2">
        <f t="shared" si="281"/>
        <v>0</v>
      </c>
    </row>
    <row r="1725" spans="1:33">
      <c r="A1725" s="20" t="s">
        <v>22706</v>
      </c>
      <c r="B1725" s="150"/>
      <c r="C1725" s="21" t="s">
        <v>22747</v>
      </c>
      <c r="D1725" s="109" t="s">
        <v>3137</v>
      </c>
      <c r="E1725" s="109"/>
      <c r="F1725" s="391" t="s">
        <v>21904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4"/>
        <v>0</v>
      </c>
      <c r="O1725" s="268">
        <f t="shared" si="285"/>
        <v>0</v>
      </c>
      <c r="P1725" s="239"/>
      <c r="Q1725" s="239"/>
      <c r="R1725" s="239"/>
      <c r="S1725" s="239"/>
      <c r="T1725" s="239"/>
      <c r="U1725" s="239"/>
      <c r="V1725" s="240"/>
      <c r="W1725" s="240"/>
      <c r="X1725" s="278"/>
      <c r="Y1725" s="237"/>
      <c r="Z1725" s="237"/>
      <c r="AA1725" s="279"/>
      <c r="AB1725" s="238"/>
      <c r="AC1725" s="196">
        <f t="shared" si="277"/>
        <v>0</v>
      </c>
      <c r="AD1725" s="196">
        <f t="shared" si="278"/>
        <v>0</v>
      </c>
      <c r="AE1725" s="196">
        <f t="shared" si="279"/>
        <v>0</v>
      </c>
      <c r="AF1725" s="2">
        <f t="shared" si="280"/>
        <v>0</v>
      </c>
      <c r="AG1725" s="2">
        <f t="shared" si="281"/>
        <v>0</v>
      </c>
    </row>
    <row r="1726" spans="1:33">
      <c r="A1726" s="20" t="s">
        <v>22707</v>
      </c>
      <c r="B1726" s="150"/>
      <c r="C1726" s="21" t="s">
        <v>22748</v>
      </c>
      <c r="D1726" s="109" t="s">
        <v>3137</v>
      </c>
      <c r="E1726" s="109"/>
      <c r="F1726" s="391" t="s">
        <v>22144</v>
      </c>
      <c r="G1726" s="23" t="s">
        <v>13301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4"/>
        <v>0</v>
      </c>
      <c r="O1726" s="268">
        <f t="shared" si="285"/>
        <v>0</v>
      </c>
      <c r="P1726" s="240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7"/>
        <v>0</v>
      </c>
      <c r="AD1726" s="196">
        <f t="shared" si="278"/>
        <v>0</v>
      </c>
      <c r="AE1726" s="196">
        <f t="shared" si="279"/>
        <v>0</v>
      </c>
      <c r="AF1726" s="2">
        <f t="shared" si="280"/>
        <v>0</v>
      </c>
      <c r="AG1726" s="2">
        <f t="shared" si="281"/>
        <v>0</v>
      </c>
    </row>
    <row r="1727" spans="1:33">
      <c r="A1727" s="20" t="s">
        <v>22360</v>
      </c>
      <c r="B1727" s="150"/>
      <c r="C1727" s="21" t="s">
        <v>22433</v>
      </c>
      <c r="D1727" s="109" t="s">
        <v>3137</v>
      </c>
      <c r="E1727" s="109"/>
      <c r="F1727" s="391" t="s">
        <v>22440</v>
      </c>
      <c r="G1727" s="23" t="s">
        <v>14785</v>
      </c>
      <c r="H1727" s="23"/>
      <c r="I1727" s="23"/>
      <c r="J1727" s="23"/>
      <c r="K1727" s="23"/>
      <c r="L1727" s="375" t="s">
        <v>7787</v>
      </c>
      <c r="M1727" s="351" t="s">
        <v>7787</v>
      </c>
      <c r="N1727" s="267">
        <f t="shared" si="284"/>
        <v>0</v>
      </c>
      <c r="O1727" s="268">
        <f t="shared" si="285"/>
        <v>0</v>
      </c>
      <c r="P1727" s="239"/>
      <c r="Q1727" s="239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7"/>
        <v>0</v>
      </c>
      <c r="AD1727" s="196">
        <f t="shared" si="278"/>
        <v>0</v>
      </c>
      <c r="AE1727" s="196">
        <f t="shared" si="279"/>
        <v>0</v>
      </c>
      <c r="AF1727" s="2">
        <f t="shared" si="280"/>
        <v>0</v>
      </c>
      <c r="AG1727" s="2">
        <f t="shared" si="281"/>
        <v>0</v>
      </c>
    </row>
    <row r="1728" spans="1:33">
      <c r="A1728" s="20" t="s">
        <v>22218</v>
      </c>
      <c r="B1728" s="150"/>
      <c r="C1728" s="21" t="s">
        <v>22335</v>
      </c>
      <c r="D1728" s="109" t="s">
        <v>3137</v>
      </c>
      <c r="E1728" s="109" t="s">
        <v>22282</v>
      </c>
      <c r="F1728" s="391" t="s">
        <v>22344</v>
      </c>
      <c r="G1728" s="23" t="s">
        <v>17522</v>
      </c>
      <c r="H1728" s="23" t="s">
        <v>24163</v>
      </c>
      <c r="I1728" s="23"/>
      <c r="J1728" s="23"/>
      <c r="K1728" s="23"/>
      <c r="L1728" s="375"/>
      <c r="M1728" s="351" t="s">
        <v>7787</v>
      </c>
      <c r="N1728" s="267">
        <f t="shared" si="284"/>
        <v>0</v>
      </c>
      <c r="O1728" s="268">
        <f t="shared" si="285"/>
        <v>0</v>
      </c>
      <c r="P1728" s="239"/>
      <c r="Q1728" s="241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7"/>
        <v>0</v>
      </c>
      <c r="AD1728" s="196">
        <f t="shared" si="278"/>
        <v>0</v>
      </c>
      <c r="AE1728" s="196">
        <f t="shared" si="279"/>
        <v>0</v>
      </c>
      <c r="AF1728" s="2">
        <f t="shared" si="280"/>
        <v>0</v>
      </c>
      <c r="AG1728" s="2">
        <f t="shared" si="281"/>
        <v>0</v>
      </c>
    </row>
    <row r="1729" spans="1:33">
      <c r="A1729" s="20" t="s">
        <v>22210</v>
      </c>
      <c r="B1729" s="150"/>
      <c r="C1729" s="21" t="s">
        <v>22295</v>
      </c>
      <c r="D1729" s="109" t="s">
        <v>3137</v>
      </c>
      <c r="E1729" s="109"/>
      <c r="F1729" s="391" t="s">
        <v>22297</v>
      </c>
      <c r="G1729" s="23" t="s">
        <v>17522</v>
      </c>
      <c r="H1729" s="23"/>
      <c r="I1729" s="23"/>
      <c r="J1729" s="23"/>
      <c r="K1729" s="23"/>
      <c r="L1729" s="375"/>
      <c r="M1729" s="351" t="s">
        <v>7787</v>
      </c>
      <c r="N1729" s="267">
        <f t="shared" si="284"/>
        <v>0</v>
      </c>
      <c r="O1729" s="268">
        <f t="shared" si="285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7"/>
        <v>0</v>
      </c>
      <c r="AD1729" s="196">
        <f t="shared" si="278"/>
        <v>0</v>
      </c>
      <c r="AE1729" s="196">
        <f t="shared" si="279"/>
        <v>0</v>
      </c>
      <c r="AF1729" s="2">
        <f t="shared" si="280"/>
        <v>0</v>
      </c>
      <c r="AG1729" s="2">
        <f t="shared" si="281"/>
        <v>0</v>
      </c>
    </row>
    <row r="1730" spans="1:33">
      <c r="A1730" s="20" t="s">
        <v>22211</v>
      </c>
      <c r="B1730" s="150"/>
      <c r="C1730" s="21" t="s">
        <v>22296</v>
      </c>
      <c r="D1730" s="109" t="s">
        <v>3137</v>
      </c>
      <c r="E1730" s="109"/>
      <c r="F1730" s="391" t="s">
        <v>22298</v>
      </c>
      <c r="G1730" s="23" t="s">
        <v>17522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4"/>
        <v>0</v>
      </c>
      <c r="O1730" s="268">
        <f t="shared" si="285"/>
        <v>0</v>
      </c>
      <c r="P1730" s="240"/>
      <c r="Q1730" s="240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7"/>
        <v>0</v>
      </c>
      <c r="AD1730" s="196">
        <f t="shared" si="278"/>
        <v>0</v>
      </c>
      <c r="AE1730" s="196">
        <f t="shared" si="279"/>
        <v>0</v>
      </c>
      <c r="AF1730" s="2">
        <f t="shared" si="280"/>
        <v>0</v>
      </c>
      <c r="AG1730" s="2">
        <f t="shared" si="281"/>
        <v>0</v>
      </c>
    </row>
    <row r="1731" spans="1:33">
      <c r="A1731" s="20" t="s">
        <v>22468</v>
      </c>
      <c r="B1731" s="150"/>
      <c r="C1731" s="21" t="s">
        <v>22488</v>
      </c>
      <c r="D1731" s="109" t="s">
        <v>3137</v>
      </c>
      <c r="E1731" s="109"/>
      <c r="F1731" s="391" t="s">
        <v>22491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4"/>
        <v>0</v>
      </c>
      <c r="O1731" s="268">
        <f t="shared" si="285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7"/>
        <v>0</v>
      </c>
      <c r="AD1731" s="196">
        <f t="shared" si="278"/>
        <v>0</v>
      </c>
      <c r="AE1731" s="196">
        <f t="shared" si="279"/>
        <v>0</v>
      </c>
      <c r="AF1731" s="2">
        <f t="shared" si="280"/>
        <v>0</v>
      </c>
      <c r="AG1731" s="2">
        <f t="shared" si="281"/>
        <v>0</v>
      </c>
    </row>
    <row r="1732" spans="1:33">
      <c r="A1732" s="20" t="s">
        <v>22469</v>
      </c>
      <c r="B1732" s="150"/>
      <c r="C1732" s="21" t="s">
        <v>22489</v>
      </c>
      <c r="D1732" s="109" t="s">
        <v>3137</v>
      </c>
      <c r="E1732" s="109"/>
      <c r="F1732" s="391" t="s">
        <v>22492</v>
      </c>
      <c r="G1732" s="23" t="s">
        <v>22504</v>
      </c>
      <c r="H1732" s="23"/>
      <c r="I1732" s="23"/>
      <c r="J1732" s="23"/>
      <c r="K1732" s="23"/>
      <c r="L1732" s="375" t="s">
        <v>7787</v>
      </c>
      <c r="M1732" s="351" t="s">
        <v>7787</v>
      </c>
      <c r="N1732" s="267">
        <f t="shared" si="284"/>
        <v>0</v>
      </c>
      <c r="O1732" s="268">
        <f t="shared" si="285"/>
        <v>0</v>
      </c>
      <c r="P1732" s="239"/>
      <c r="Q1732" s="244"/>
      <c r="R1732" s="239"/>
      <c r="S1732" s="239"/>
      <c r="T1732" s="239"/>
      <c r="U1732" s="240"/>
      <c r="V1732" s="240"/>
      <c r="W1732" s="240"/>
      <c r="X1732" s="278"/>
      <c r="Y1732" s="237"/>
      <c r="Z1732" s="237"/>
      <c r="AA1732" s="279"/>
      <c r="AB1732" s="238"/>
      <c r="AC1732" s="196">
        <f t="shared" si="277"/>
        <v>0</v>
      </c>
      <c r="AD1732" s="196">
        <f t="shared" si="278"/>
        <v>0</v>
      </c>
      <c r="AE1732" s="196">
        <f t="shared" si="279"/>
        <v>0</v>
      </c>
      <c r="AF1732" s="2">
        <f t="shared" si="280"/>
        <v>0</v>
      </c>
      <c r="AG1732" s="2">
        <f t="shared" si="281"/>
        <v>0</v>
      </c>
    </row>
    <row r="1733" spans="1:33">
      <c r="A1733" s="20" t="s">
        <v>22361</v>
      </c>
      <c r="B1733" s="150"/>
      <c r="C1733" s="21" t="s">
        <v>22430</v>
      </c>
      <c r="D1733" s="109" t="s">
        <v>3137</v>
      </c>
      <c r="E1733" s="109" t="s">
        <v>22431</v>
      </c>
      <c r="F1733" s="391" t="s">
        <v>22441</v>
      </c>
      <c r="G1733" s="23" t="s">
        <v>22432</v>
      </c>
      <c r="H1733" s="23" t="s">
        <v>23259</v>
      </c>
      <c r="I1733" s="23"/>
      <c r="J1733" s="23"/>
      <c r="K1733" s="23"/>
      <c r="L1733" s="375" t="s">
        <v>7787</v>
      </c>
      <c r="M1733" s="351"/>
      <c r="N1733" s="267">
        <f t="shared" si="284"/>
        <v>0</v>
      </c>
      <c r="O1733" s="268">
        <f t="shared" si="285"/>
        <v>100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9">
        <f>950-650+650-200-550-50-50</f>
        <v>100</v>
      </c>
      <c r="Z1733" s="237"/>
      <c r="AA1733" s="279"/>
      <c r="AB1733" s="238" t="s">
        <v>23260</v>
      </c>
      <c r="AC1733" s="196">
        <f t="shared" si="277"/>
        <v>100</v>
      </c>
      <c r="AD1733" s="196">
        <f t="shared" si="278"/>
        <v>100</v>
      </c>
      <c r="AE1733" s="196">
        <f t="shared" si="279"/>
        <v>0</v>
      </c>
      <c r="AF1733" s="2">
        <f t="shared" si="280"/>
        <v>100</v>
      </c>
      <c r="AG1733" s="2">
        <f t="shared" si="281"/>
        <v>0</v>
      </c>
    </row>
    <row r="1734" spans="1:33">
      <c r="A1734" s="20" t="s">
        <v>23115</v>
      </c>
      <c r="B1734" s="150"/>
      <c r="C1734" s="21" t="s">
        <v>23144</v>
      </c>
      <c r="D1734" s="109" t="s">
        <v>3099</v>
      </c>
      <c r="E1734" s="109"/>
      <c r="F1734" s="391" t="s">
        <v>23153</v>
      </c>
      <c r="G1734" s="23" t="s">
        <v>13826</v>
      </c>
      <c r="H1734" s="23" t="s">
        <v>23304</v>
      </c>
      <c r="I1734" s="23"/>
      <c r="J1734" s="23"/>
      <c r="K1734" s="23"/>
      <c r="L1734" s="375" t="s">
        <v>45</v>
      </c>
      <c r="M1734" s="351" t="s">
        <v>45</v>
      </c>
      <c r="N1734" s="267">
        <f t="shared" si="284"/>
        <v>0</v>
      </c>
      <c r="O1734" s="268">
        <f t="shared" si="285"/>
        <v>0</v>
      </c>
      <c r="P1734" s="239"/>
      <c r="Q1734" s="239"/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/>
      <c r="AC1734" s="196">
        <f t="shared" si="277"/>
        <v>0</v>
      </c>
      <c r="AD1734" s="196">
        <f t="shared" si="278"/>
        <v>0</v>
      </c>
      <c r="AE1734" s="196">
        <f t="shared" si="279"/>
        <v>0</v>
      </c>
      <c r="AF1734" s="2">
        <f t="shared" si="280"/>
        <v>0</v>
      </c>
      <c r="AG1734" s="2">
        <f t="shared" si="281"/>
        <v>0</v>
      </c>
    </row>
    <row r="1735" spans="1:33">
      <c r="A1735" s="20" t="s">
        <v>26255</v>
      </c>
      <c r="B1735" s="150"/>
      <c r="C1735" s="21" t="s">
        <v>26283</v>
      </c>
      <c r="D1735" s="109" t="s">
        <v>4063</v>
      </c>
      <c r="E1735" s="109" t="s">
        <v>26286</v>
      </c>
      <c r="F1735" s="391" t="s">
        <v>26284</v>
      </c>
      <c r="G1735" s="23" t="s">
        <v>5511</v>
      </c>
      <c r="H1735" s="23" t="s">
        <v>10645</v>
      </c>
      <c r="I1735" s="23"/>
      <c r="J1735" s="23"/>
      <c r="K1735" s="23"/>
      <c r="L1735" s="375" t="s">
        <v>7787</v>
      </c>
      <c r="M1735" s="351" t="s">
        <v>7787</v>
      </c>
      <c r="N1735" s="267">
        <f t="shared" ref="N1735" si="286">SUM(L1735:M1735)</f>
        <v>0</v>
      </c>
      <c r="O1735" s="268">
        <f t="shared" ref="O1735" si="287">SUM(P1735:Z1735)</f>
        <v>6400</v>
      </c>
      <c r="P1735" s="239"/>
      <c r="Q1735" s="239">
        <f>450-300+3550-1000+2000-1500-1000-300-1000+4000-1000-150-950-100-1000-300+5000</f>
        <v>6400</v>
      </c>
      <c r="R1735" s="239"/>
      <c r="S1735" s="239"/>
      <c r="T1735" s="239"/>
      <c r="U1735" s="240"/>
      <c r="V1735" s="240"/>
      <c r="W1735" s="240"/>
      <c r="X1735" s="278"/>
      <c r="Y1735" s="237"/>
      <c r="Z1735" s="237"/>
      <c r="AA1735" s="279"/>
      <c r="AB1735" s="238" t="s">
        <v>27586</v>
      </c>
      <c r="AC1735" s="196">
        <f t="shared" si="277"/>
        <v>6400</v>
      </c>
      <c r="AD1735" s="196">
        <f t="shared" si="278"/>
        <v>6400</v>
      </c>
      <c r="AE1735" s="196">
        <f t="shared" si="279"/>
        <v>0</v>
      </c>
      <c r="AF1735" s="2">
        <f t="shared" si="280"/>
        <v>6400</v>
      </c>
      <c r="AG1735" s="2">
        <f t="shared" si="281"/>
        <v>0</v>
      </c>
    </row>
    <row r="1736" spans="1:33">
      <c r="A1736" s="20" t="s">
        <v>22476</v>
      </c>
      <c r="B1736" s="150"/>
      <c r="C1736" s="21" t="s">
        <v>22543</v>
      </c>
      <c r="D1736" s="109" t="s">
        <v>3137</v>
      </c>
      <c r="E1736" s="109" t="s">
        <v>25923</v>
      </c>
      <c r="F1736" s="391" t="s">
        <v>22553</v>
      </c>
      <c r="G1736" s="23" t="s">
        <v>22544</v>
      </c>
      <c r="H1736" s="23"/>
      <c r="I1736" s="23"/>
      <c r="J1736" s="23"/>
      <c r="K1736" s="23"/>
      <c r="L1736" s="375" t="s">
        <v>45</v>
      </c>
      <c r="M1736" s="351" t="s">
        <v>45</v>
      </c>
      <c r="N1736" s="267">
        <f t="shared" si="284"/>
        <v>0</v>
      </c>
      <c r="O1736" s="268">
        <f t="shared" si="285"/>
        <v>0</v>
      </c>
      <c r="P1736" s="237"/>
      <c r="Q1736" s="244"/>
      <c r="R1736" s="239"/>
      <c r="S1736" s="237"/>
      <c r="T1736" s="237"/>
      <c r="U1736" s="240"/>
      <c r="V1736" s="240"/>
      <c r="W1736" s="240"/>
      <c r="X1736" s="278"/>
      <c r="Y1736" s="237"/>
      <c r="Z1736" s="237"/>
      <c r="AA1736" s="279"/>
      <c r="AB1736" s="238"/>
      <c r="AC1736" s="196">
        <f t="shared" si="277"/>
        <v>0</v>
      </c>
      <c r="AD1736" s="196">
        <f t="shared" si="278"/>
        <v>0</v>
      </c>
      <c r="AE1736" s="196">
        <f t="shared" si="279"/>
        <v>0</v>
      </c>
      <c r="AF1736" s="2">
        <f t="shared" si="280"/>
        <v>0</v>
      </c>
      <c r="AG1736" s="2">
        <f t="shared" si="281"/>
        <v>0</v>
      </c>
    </row>
    <row r="1737" spans="1:33">
      <c r="A1737" s="20" t="s">
        <v>27052</v>
      </c>
      <c r="B1737" s="150"/>
      <c r="C1737" s="21" t="s">
        <v>25449</v>
      </c>
      <c r="D1737" s="109" t="s">
        <v>4070</v>
      </c>
      <c r="E1737" s="109" t="s">
        <v>26289</v>
      </c>
      <c r="F1737" s="391" t="s">
        <v>25450</v>
      </c>
      <c r="G1737" s="23" t="s">
        <v>26288</v>
      </c>
      <c r="H1737" s="23"/>
      <c r="I1737" s="23"/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0</v>
      </c>
      <c r="P1737" s="237"/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/>
      <c r="AC1737" s="196">
        <f t="shared" si="277"/>
        <v>0</v>
      </c>
      <c r="AD1737" s="196">
        <f t="shared" si="278"/>
        <v>0</v>
      </c>
      <c r="AE1737" s="196">
        <f t="shared" si="279"/>
        <v>0</v>
      </c>
      <c r="AF1737" s="2">
        <f t="shared" si="280"/>
        <v>0</v>
      </c>
      <c r="AG1737" s="2">
        <f t="shared" si="281"/>
        <v>0</v>
      </c>
    </row>
    <row r="1738" spans="1:33">
      <c r="A1738" s="20" t="s">
        <v>27053</v>
      </c>
      <c r="B1738" s="150"/>
      <c r="C1738" s="21" t="s">
        <v>25449</v>
      </c>
      <c r="D1738" s="109" t="s">
        <v>4070</v>
      </c>
      <c r="E1738" s="109" t="s">
        <v>26627</v>
      </c>
      <c r="F1738" s="391" t="s">
        <v>25450</v>
      </c>
      <c r="G1738" s="23" t="s">
        <v>7857</v>
      </c>
      <c r="H1738" s="23" t="s">
        <v>25451</v>
      </c>
      <c r="I1738" s="23" t="s">
        <v>25402</v>
      </c>
      <c r="J1738" s="23"/>
      <c r="K1738" s="23"/>
      <c r="L1738" s="375" t="s">
        <v>7787</v>
      </c>
      <c r="M1738" s="351" t="s">
        <v>7787</v>
      </c>
      <c r="N1738" s="267">
        <f t="shared" ref="N1738" si="290">SUM(L1738:M1738)</f>
        <v>0</v>
      </c>
      <c r="O1738" s="268">
        <f t="shared" ref="O1738" si="291">SUM(P1738:Z1738)</f>
        <v>200</v>
      </c>
      <c r="P1738" s="237">
        <f>5000-2000-1600+5000-5200-1000+1000-1000</f>
        <v>200</v>
      </c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 t="s">
        <v>26699</v>
      </c>
      <c r="AC1738" s="196">
        <f t="shared" ref="AC1738:AC1802" si="292">SUM(P1738:AA1738)</f>
        <v>200</v>
      </c>
      <c r="AD1738" s="196">
        <f t="shared" ref="AD1738:AD1802" si="293">SUM(P1738:AB1738)</f>
        <v>200</v>
      </c>
      <c r="AE1738" s="196">
        <f t="shared" ref="AE1738:AE1802" si="294">SUM(AC1738-AD1738)</f>
        <v>0</v>
      </c>
      <c r="AF1738" s="2">
        <f t="shared" ref="AF1738:AF1802" si="295">+AC1738</f>
        <v>200</v>
      </c>
      <c r="AG1738" s="2">
        <f t="shared" ref="AG1738:AG1802" si="296">+AC1738-AF1738</f>
        <v>0</v>
      </c>
    </row>
    <row r="1739" spans="1:33">
      <c r="A1739" s="20" t="s">
        <v>27054</v>
      </c>
      <c r="B1739" s="150"/>
      <c r="C1739" s="21" t="s">
        <v>25449</v>
      </c>
      <c r="D1739" s="109" t="s">
        <v>4070</v>
      </c>
      <c r="E1739" s="109"/>
      <c r="F1739" s="391" t="s">
        <v>25450</v>
      </c>
      <c r="G1739" s="23" t="s">
        <v>7857</v>
      </c>
      <c r="H1739" s="23" t="s">
        <v>25451</v>
      </c>
      <c r="I1739" s="23" t="s">
        <v>25402</v>
      </c>
      <c r="J1739" s="23"/>
      <c r="K1739" s="23"/>
      <c r="L1739" s="375" t="s">
        <v>45</v>
      </c>
      <c r="M1739" s="351" t="s">
        <v>45</v>
      </c>
      <c r="N1739" s="267">
        <f t="shared" ref="N1739" si="297">SUM(L1739:M1739)</f>
        <v>0</v>
      </c>
      <c r="O1739" s="268">
        <f t="shared" ref="O1739" si="298">SUM(P1739:Z1739)</f>
        <v>0</v>
      </c>
      <c r="P1739" s="243"/>
      <c r="Q1739" s="244"/>
      <c r="R1739" s="239"/>
      <c r="S1739" s="243"/>
      <c r="T1739" s="243"/>
      <c r="U1739" s="244"/>
      <c r="V1739" s="240"/>
      <c r="W1739" s="240"/>
      <c r="X1739" s="278"/>
      <c r="Y1739" s="237"/>
      <c r="Z1739" s="237"/>
      <c r="AA1739" s="279"/>
      <c r="AB1739" s="238"/>
      <c r="AC1739" s="196">
        <f t="shared" si="292"/>
        <v>0</v>
      </c>
      <c r="AD1739" s="196">
        <f t="shared" si="293"/>
        <v>0</v>
      </c>
      <c r="AE1739" s="196">
        <f t="shared" si="294"/>
        <v>0</v>
      </c>
      <c r="AF1739" s="2">
        <f t="shared" si="295"/>
        <v>0</v>
      </c>
      <c r="AG1739" s="2">
        <f t="shared" si="296"/>
        <v>0</v>
      </c>
    </row>
    <row r="1740" spans="1:33">
      <c r="A1740" s="20" t="s">
        <v>22347</v>
      </c>
      <c r="B1740" s="150"/>
      <c r="C1740" s="21" t="s">
        <v>22382</v>
      </c>
      <c r="D1740" s="109" t="s">
        <v>3137</v>
      </c>
      <c r="E1740" s="109"/>
      <c r="F1740" s="391" t="s">
        <v>22391</v>
      </c>
      <c r="G1740" s="23" t="s">
        <v>13942</v>
      </c>
      <c r="H1740" s="23"/>
      <c r="I1740" s="23"/>
      <c r="J1740" s="23"/>
      <c r="K1740" s="23"/>
      <c r="L1740" s="375" t="s">
        <v>7787</v>
      </c>
      <c r="M1740" s="351"/>
      <c r="N1740" s="267">
        <f t="shared" si="284"/>
        <v>0</v>
      </c>
      <c r="O1740" s="268">
        <f t="shared" si="285"/>
        <v>0</v>
      </c>
      <c r="P1740" s="239"/>
      <c r="Q1740" s="244"/>
      <c r="R1740" s="239"/>
      <c r="S1740" s="239"/>
      <c r="T1740" s="239"/>
      <c r="U1740" s="239"/>
      <c r="V1740" s="240"/>
      <c r="W1740" s="240"/>
      <c r="X1740" s="278"/>
      <c r="Y1740" s="237"/>
      <c r="Z1740" s="237"/>
      <c r="AA1740" s="279"/>
      <c r="AB1740" s="238"/>
      <c r="AC1740" s="196">
        <f t="shared" si="292"/>
        <v>0</v>
      </c>
      <c r="AD1740" s="196">
        <f t="shared" si="293"/>
        <v>0</v>
      </c>
      <c r="AE1740" s="196">
        <f t="shared" si="294"/>
        <v>0</v>
      </c>
      <c r="AF1740" s="2">
        <f t="shared" si="295"/>
        <v>0</v>
      </c>
      <c r="AG1740" s="2">
        <f t="shared" si="296"/>
        <v>0</v>
      </c>
    </row>
    <row r="1741" spans="1:33">
      <c r="A1741" s="20" t="s">
        <v>22221</v>
      </c>
      <c r="B1741" s="150"/>
      <c r="C1741" s="21" t="s">
        <v>22372</v>
      </c>
      <c r="D1741" s="109" t="s">
        <v>3137</v>
      </c>
      <c r="E1741" s="109"/>
      <c r="F1741" s="391" t="s">
        <v>22375</v>
      </c>
      <c r="G1741" s="23" t="s">
        <v>22373</v>
      </c>
      <c r="H1741" s="23" t="s">
        <v>22560</v>
      </c>
      <c r="I1741" s="23"/>
      <c r="J1741" s="23"/>
      <c r="K1741" s="23"/>
      <c r="L1741" s="375" t="s">
        <v>7787</v>
      </c>
      <c r="M1741" s="351"/>
      <c r="N1741" s="267">
        <f t="shared" si="284"/>
        <v>0</v>
      </c>
      <c r="O1741" s="268">
        <f t="shared" si="285"/>
        <v>0</v>
      </c>
      <c r="P1741" s="239"/>
      <c r="Q1741" s="244"/>
      <c r="R1741" s="239"/>
      <c r="S1741" s="239"/>
      <c r="T1741" s="239"/>
      <c r="U1741" s="240"/>
      <c r="V1741" s="240"/>
      <c r="W1741" s="240"/>
      <c r="X1741" s="278"/>
      <c r="Y1741" s="237"/>
      <c r="Z1741" s="237"/>
      <c r="AA1741" s="279"/>
      <c r="AB1741" s="238"/>
      <c r="AC1741" s="196">
        <f t="shared" si="292"/>
        <v>0</v>
      </c>
      <c r="AD1741" s="196">
        <f t="shared" si="293"/>
        <v>0</v>
      </c>
      <c r="AE1741" s="196">
        <f t="shared" si="294"/>
        <v>0</v>
      </c>
      <c r="AF1741" s="2">
        <f t="shared" si="295"/>
        <v>0</v>
      </c>
      <c r="AG1741" s="2">
        <f t="shared" si="296"/>
        <v>0</v>
      </c>
    </row>
    <row r="1742" spans="1:33">
      <c r="A1742" s="20" t="s">
        <v>22570</v>
      </c>
      <c r="B1742" s="150"/>
      <c r="C1742" s="21" t="s">
        <v>22624</v>
      </c>
      <c r="D1742" s="109" t="s">
        <v>3137</v>
      </c>
      <c r="E1742" s="109" t="s">
        <v>20884</v>
      </c>
      <c r="F1742" s="391" t="s">
        <v>22628</v>
      </c>
      <c r="G1742" s="23" t="s">
        <v>6133</v>
      </c>
      <c r="H1742" s="23" t="s">
        <v>22625</v>
      </c>
      <c r="I1742" s="23" t="s">
        <v>22659</v>
      </c>
      <c r="J1742" s="23" t="s">
        <v>25808</v>
      </c>
      <c r="K1742" s="23"/>
      <c r="L1742" s="375" t="s">
        <v>45</v>
      </c>
      <c r="M1742" s="351" t="s">
        <v>45</v>
      </c>
      <c r="N1742" s="267">
        <f t="shared" si="284"/>
        <v>0</v>
      </c>
      <c r="O1742" s="268">
        <f t="shared" si="285"/>
        <v>400</v>
      </c>
      <c r="P1742" s="239"/>
      <c r="Q1742" s="244"/>
      <c r="R1742" s="239"/>
      <c r="S1742" s="239"/>
      <c r="T1742" s="239"/>
      <c r="U1742" s="244">
        <f>350-150+700-500</f>
        <v>400</v>
      </c>
      <c r="V1742" s="240"/>
      <c r="W1742" s="240"/>
      <c r="X1742" s="278"/>
      <c r="Y1742" s="237"/>
      <c r="Z1742" s="237"/>
      <c r="AA1742" s="279"/>
      <c r="AB1742" s="238" t="s">
        <v>26254</v>
      </c>
      <c r="AC1742" s="196">
        <f t="shared" si="292"/>
        <v>400</v>
      </c>
      <c r="AD1742" s="196">
        <f t="shared" si="293"/>
        <v>400</v>
      </c>
      <c r="AE1742" s="196">
        <f t="shared" si="294"/>
        <v>0</v>
      </c>
      <c r="AF1742" s="2">
        <f t="shared" si="295"/>
        <v>400</v>
      </c>
      <c r="AG1742" s="2">
        <f t="shared" si="296"/>
        <v>0</v>
      </c>
    </row>
    <row r="1743" spans="1:33">
      <c r="A1743" s="20" t="s">
        <v>22569</v>
      </c>
      <c r="B1743" s="150"/>
      <c r="C1743" s="21" t="s">
        <v>22540</v>
      </c>
      <c r="D1743" s="109" t="s">
        <v>3096</v>
      </c>
      <c r="E1743" s="109"/>
      <c r="F1743" s="391" t="s">
        <v>22554</v>
      </c>
      <c r="G1743" s="23" t="s">
        <v>22623</v>
      </c>
      <c r="H1743" s="23"/>
      <c r="I1743" s="23"/>
      <c r="J1743" s="23"/>
      <c r="K1743" s="23"/>
      <c r="L1743" s="375" t="s">
        <v>7787</v>
      </c>
      <c r="M1743" s="351" t="s">
        <v>7787</v>
      </c>
      <c r="N1743" s="267">
        <f t="shared" si="284"/>
        <v>0</v>
      </c>
      <c r="O1743" s="268">
        <f t="shared" si="285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2"/>
        <v>0</v>
      </c>
      <c r="AD1743" s="196">
        <f t="shared" si="293"/>
        <v>0</v>
      </c>
      <c r="AE1743" s="196">
        <f t="shared" si="294"/>
        <v>0</v>
      </c>
      <c r="AF1743" s="2">
        <f t="shared" si="295"/>
        <v>0</v>
      </c>
      <c r="AG1743" s="2">
        <f t="shared" si="296"/>
        <v>0</v>
      </c>
    </row>
    <row r="1744" spans="1:33">
      <c r="A1744" s="20" t="s">
        <v>22477</v>
      </c>
      <c r="B1744" s="150"/>
      <c r="C1744" s="21" t="s">
        <v>22540</v>
      </c>
      <c r="D1744" s="109" t="s">
        <v>22542</v>
      </c>
      <c r="E1744" s="109"/>
      <c r="F1744" s="391" t="s">
        <v>22554</v>
      </c>
      <c r="G1744" s="23" t="s">
        <v>22541</v>
      </c>
      <c r="H1744" s="23"/>
      <c r="I1744" s="23"/>
      <c r="J1744" s="23"/>
      <c r="K1744" s="23"/>
      <c r="L1744" s="375" t="s">
        <v>7787</v>
      </c>
      <c r="M1744" s="351"/>
      <c r="N1744" s="267">
        <f t="shared" si="284"/>
        <v>0</v>
      </c>
      <c r="O1744" s="268">
        <f t="shared" si="285"/>
        <v>0</v>
      </c>
      <c r="P1744" s="239"/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/>
      <c r="AC1744" s="196">
        <f t="shared" si="292"/>
        <v>0</v>
      </c>
      <c r="AD1744" s="196">
        <f t="shared" si="293"/>
        <v>0</v>
      </c>
      <c r="AE1744" s="196">
        <f t="shared" si="294"/>
        <v>0</v>
      </c>
      <c r="AF1744" s="2">
        <f t="shared" si="295"/>
        <v>0</v>
      </c>
      <c r="AG1744" s="2">
        <f t="shared" si="296"/>
        <v>0</v>
      </c>
    </row>
    <row r="1745" spans="1:33">
      <c r="A1745" s="20" t="s">
        <v>22562</v>
      </c>
      <c r="B1745" s="150"/>
      <c r="C1745" s="21" t="s">
        <v>22588</v>
      </c>
      <c r="D1745" s="109" t="s">
        <v>22589</v>
      </c>
      <c r="E1745" s="109" t="s">
        <v>22590</v>
      </c>
      <c r="F1745" s="391" t="s">
        <v>22597</v>
      </c>
      <c r="G1745" s="23" t="s">
        <v>6133</v>
      </c>
      <c r="H1745" s="23"/>
      <c r="I1745" s="23"/>
      <c r="J1745" s="23"/>
      <c r="K1745" s="23"/>
      <c r="L1745" s="375"/>
      <c r="M1745" s="351"/>
      <c r="N1745" s="267">
        <f t="shared" si="284"/>
        <v>0</v>
      </c>
      <c r="O1745" s="268">
        <f t="shared" si="285"/>
        <v>4700</v>
      </c>
      <c r="P1745" s="244">
        <f>1650-750-100+4250-350</f>
        <v>4700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26456</v>
      </c>
      <c r="AC1745" s="196">
        <f t="shared" si="292"/>
        <v>4700</v>
      </c>
      <c r="AD1745" s="196">
        <f t="shared" si="293"/>
        <v>4700</v>
      </c>
      <c r="AE1745" s="196">
        <f t="shared" si="294"/>
        <v>0</v>
      </c>
      <c r="AF1745" s="2">
        <f t="shared" si="295"/>
        <v>4700</v>
      </c>
      <c r="AG1745" s="2">
        <f t="shared" si="296"/>
        <v>0</v>
      </c>
    </row>
    <row r="1746" spans="1:33">
      <c r="A1746" s="20" t="s">
        <v>22696</v>
      </c>
      <c r="B1746" s="150"/>
      <c r="C1746" s="21" t="s">
        <v>22717</v>
      </c>
      <c r="D1746" s="109" t="s">
        <v>3096</v>
      </c>
      <c r="E1746" s="109"/>
      <c r="F1746" s="391" t="s">
        <v>22718</v>
      </c>
      <c r="G1746" s="23" t="s">
        <v>22745</v>
      </c>
      <c r="H1746" s="23"/>
      <c r="I1746" s="23"/>
      <c r="J1746" s="23"/>
      <c r="K1746" s="23"/>
      <c r="L1746" s="375"/>
      <c r="M1746" s="351" t="s">
        <v>45</v>
      </c>
      <c r="N1746" s="267">
        <f t="shared" si="284"/>
        <v>0</v>
      </c>
      <c r="O1746" s="268">
        <f t="shared" si="285"/>
        <v>200</v>
      </c>
      <c r="P1746" s="239">
        <f>1100-1000+1100-1000+1150-1000+1900-1500+1350-2000+1100-1000</f>
        <v>200</v>
      </c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 t="s">
        <v>26664</v>
      </c>
      <c r="AC1746" s="196">
        <f t="shared" si="292"/>
        <v>200</v>
      </c>
      <c r="AD1746" s="196">
        <f t="shared" si="293"/>
        <v>200</v>
      </c>
      <c r="AE1746" s="196">
        <f t="shared" si="294"/>
        <v>0</v>
      </c>
      <c r="AF1746" s="2">
        <f t="shared" si="295"/>
        <v>200</v>
      </c>
      <c r="AG1746" s="2">
        <f t="shared" si="296"/>
        <v>0</v>
      </c>
    </row>
    <row r="1747" spans="1:33">
      <c r="A1747" s="20" t="s">
        <v>23107</v>
      </c>
      <c r="B1747" s="150"/>
      <c r="C1747" s="21" t="s">
        <v>23103</v>
      </c>
      <c r="D1747" s="109" t="s">
        <v>3096</v>
      </c>
      <c r="E1747" s="109" t="s">
        <v>3128</v>
      </c>
      <c r="F1747" s="391" t="s">
        <v>23120</v>
      </c>
      <c r="G1747" s="23" t="s">
        <v>21185</v>
      </c>
      <c r="H1747" s="23"/>
      <c r="I1747" s="23"/>
      <c r="J1747" s="23"/>
      <c r="K1747" s="23"/>
      <c r="L1747" s="375"/>
      <c r="M1747" s="351"/>
      <c r="N1747" s="267">
        <f t="shared" si="284"/>
        <v>0</v>
      </c>
      <c r="O1747" s="268">
        <f t="shared" si="285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2"/>
        <v>0</v>
      </c>
      <c r="AD1747" s="196">
        <f t="shared" si="293"/>
        <v>0</v>
      </c>
      <c r="AE1747" s="196">
        <f t="shared" si="294"/>
        <v>0</v>
      </c>
      <c r="AF1747" s="2">
        <f t="shared" si="295"/>
        <v>0</v>
      </c>
      <c r="AG1747" s="2">
        <f t="shared" si="296"/>
        <v>0</v>
      </c>
    </row>
    <row r="1748" spans="1:33">
      <c r="A1748" s="20" t="s">
        <v>22711</v>
      </c>
      <c r="B1748" s="150"/>
      <c r="C1748" s="21" t="s">
        <v>22789</v>
      </c>
      <c r="D1748" s="109" t="s">
        <v>3137</v>
      </c>
      <c r="E1748" s="109"/>
      <c r="F1748" s="391" t="s">
        <v>22790</v>
      </c>
      <c r="G1748" s="23" t="s">
        <v>6133</v>
      </c>
      <c r="H1748" s="23" t="s">
        <v>23513</v>
      </c>
      <c r="I1748" s="23"/>
      <c r="J1748" s="23"/>
      <c r="K1748" s="23"/>
      <c r="L1748" s="375" t="s">
        <v>7787</v>
      </c>
      <c r="M1748" s="351"/>
      <c r="N1748" s="267">
        <f t="shared" si="284"/>
        <v>0</v>
      </c>
      <c r="O1748" s="268">
        <f t="shared" si="285"/>
        <v>0</v>
      </c>
      <c r="P1748" s="239"/>
      <c r="Q1748" s="244"/>
      <c r="R1748" s="239"/>
      <c r="S1748" s="239"/>
      <c r="T1748" s="239"/>
      <c r="U1748" s="240"/>
      <c r="V1748" s="240"/>
      <c r="W1748" s="240"/>
      <c r="X1748" s="278"/>
      <c r="Y1748" s="237"/>
      <c r="Z1748" s="237"/>
      <c r="AA1748" s="279"/>
      <c r="AB1748" s="238"/>
      <c r="AC1748" s="196">
        <f t="shared" si="292"/>
        <v>0</v>
      </c>
      <c r="AD1748" s="196">
        <f t="shared" si="293"/>
        <v>0</v>
      </c>
      <c r="AE1748" s="196">
        <f t="shared" si="294"/>
        <v>0</v>
      </c>
      <c r="AF1748" s="2">
        <f t="shared" si="295"/>
        <v>0</v>
      </c>
      <c r="AG1748" s="2">
        <f t="shared" si="296"/>
        <v>0</v>
      </c>
    </row>
    <row r="1749" spans="1:33">
      <c r="A1749" s="20" t="s">
        <v>22767</v>
      </c>
      <c r="B1749" s="150"/>
      <c r="C1749" s="21" t="s">
        <v>22818</v>
      </c>
      <c r="D1749" s="109" t="s">
        <v>3137</v>
      </c>
      <c r="E1749" s="109" t="s">
        <v>20884</v>
      </c>
      <c r="F1749" s="391" t="s">
        <v>22817</v>
      </c>
      <c r="G1749" s="23" t="s">
        <v>22432</v>
      </c>
      <c r="H1749" s="23" t="s">
        <v>13301</v>
      </c>
      <c r="I1749" s="23"/>
      <c r="J1749" s="23"/>
      <c r="K1749" s="23"/>
      <c r="L1749" s="375"/>
      <c r="M1749" s="351"/>
      <c r="N1749" s="267">
        <f t="shared" si="284"/>
        <v>0</v>
      </c>
      <c r="O1749" s="268">
        <f t="shared" si="285"/>
        <v>1450</v>
      </c>
      <c r="P1749" s="240"/>
      <c r="Q1749" s="239"/>
      <c r="R1749" s="240"/>
      <c r="S1749" s="240"/>
      <c r="T1749" s="239"/>
      <c r="U1749" s="240">
        <f>6900-3100+1650-4000</f>
        <v>1450</v>
      </c>
      <c r="V1749" s="240"/>
      <c r="W1749" s="240"/>
      <c r="X1749" s="278"/>
      <c r="Y1749" s="240"/>
      <c r="Z1749" s="237"/>
      <c r="AA1749" s="279"/>
      <c r="AB1749" s="238" t="s">
        <v>27656</v>
      </c>
      <c r="AC1749" s="196">
        <f t="shared" si="292"/>
        <v>1450</v>
      </c>
      <c r="AD1749" s="196">
        <f t="shared" si="293"/>
        <v>1450</v>
      </c>
      <c r="AE1749" s="196">
        <f t="shared" si="294"/>
        <v>0</v>
      </c>
      <c r="AF1749" s="2">
        <f t="shared" si="295"/>
        <v>1450</v>
      </c>
      <c r="AG1749" s="2">
        <f t="shared" si="296"/>
        <v>0</v>
      </c>
    </row>
    <row r="1750" spans="1:33">
      <c r="A1750" s="20" t="s">
        <v>22702</v>
      </c>
      <c r="B1750" s="150"/>
      <c r="C1750" s="21" t="s">
        <v>22751</v>
      </c>
      <c r="D1750" s="109" t="s">
        <v>3137</v>
      </c>
      <c r="E1750" s="109"/>
      <c r="F1750" s="391" t="s">
        <v>22754</v>
      </c>
      <c r="G1750" s="23" t="s">
        <v>6133</v>
      </c>
      <c r="H1750" s="23"/>
      <c r="I1750" s="23"/>
      <c r="J1750" s="23"/>
      <c r="K1750" s="23"/>
      <c r="L1750" s="375"/>
      <c r="M1750" s="351" t="s">
        <v>7787</v>
      </c>
      <c r="N1750" s="267">
        <f t="shared" si="284"/>
        <v>0</v>
      </c>
      <c r="O1750" s="268">
        <f t="shared" si="285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2"/>
        <v>0</v>
      </c>
      <c r="AD1750" s="196">
        <f t="shared" si="293"/>
        <v>0</v>
      </c>
      <c r="AE1750" s="196">
        <f t="shared" si="294"/>
        <v>0</v>
      </c>
      <c r="AF1750" s="2">
        <f t="shared" si="295"/>
        <v>0</v>
      </c>
      <c r="AG1750" s="2">
        <f t="shared" si="296"/>
        <v>0</v>
      </c>
    </row>
    <row r="1751" spans="1:33">
      <c r="A1751" s="20" t="s">
        <v>22698</v>
      </c>
      <c r="B1751" s="150"/>
      <c r="C1751" s="21" t="s">
        <v>22731</v>
      </c>
      <c r="D1751" s="109" t="s">
        <v>3137</v>
      </c>
      <c r="E1751" s="109"/>
      <c r="F1751" s="391" t="s">
        <v>22733</v>
      </c>
      <c r="G1751" s="23" t="s">
        <v>6133</v>
      </c>
      <c r="H1751" s="23"/>
      <c r="I1751" s="23"/>
      <c r="J1751" s="23"/>
      <c r="K1751" s="23"/>
      <c r="L1751" s="375" t="s">
        <v>7787</v>
      </c>
      <c r="M1751" s="351" t="s">
        <v>7787</v>
      </c>
      <c r="N1751" s="267">
        <f t="shared" si="284"/>
        <v>0</v>
      </c>
      <c r="O1751" s="268">
        <f t="shared" si="285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2"/>
        <v>0</v>
      </c>
      <c r="AD1751" s="196">
        <f t="shared" si="293"/>
        <v>0</v>
      </c>
      <c r="AE1751" s="196">
        <f t="shared" si="294"/>
        <v>0</v>
      </c>
      <c r="AF1751" s="2">
        <f t="shared" si="295"/>
        <v>0</v>
      </c>
      <c r="AG1751" s="2">
        <f t="shared" si="296"/>
        <v>0</v>
      </c>
    </row>
    <row r="1752" spans="1:33">
      <c r="A1752" s="20" t="s">
        <v>23821</v>
      </c>
      <c r="B1752" s="150"/>
      <c r="C1752" s="21" t="s">
        <v>23873</v>
      </c>
      <c r="D1752" s="109" t="s">
        <v>3137</v>
      </c>
      <c r="E1752" s="109"/>
      <c r="F1752" s="454" t="s">
        <v>23894</v>
      </c>
      <c r="G1752" s="23" t="s">
        <v>23874</v>
      </c>
      <c r="H1752" s="23"/>
      <c r="I1752" s="23"/>
      <c r="J1752" s="23"/>
      <c r="K1752" s="23"/>
      <c r="L1752" s="375" t="s">
        <v>45</v>
      </c>
      <c r="M1752" s="351"/>
      <c r="N1752" s="267">
        <f t="shared" si="284"/>
        <v>0</v>
      </c>
      <c r="O1752" s="268">
        <f t="shared" si="285"/>
        <v>0</v>
      </c>
      <c r="P1752" s="239"/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/>
      <c r="AC1752" s="196">
        <f t="shared" si="292"/>
        <v>0</v>
      </c>
      <c r="AD1752" s="196">
        <f t="shared" si="293"/>
        <v>0</v>
      </c>
      <c r="AE1752" s="196">
        <f t="shared" si="294"/>
        <v>0</v>
      </c>
      <c r="AF1752" s="2">
        <f t="shared" si="295"/>
        <v>0</v>
      </c>
      <c r="AG1752" s="2">
        <f t="shared" si="296"/>
        <v>0</v>
      </c>
    </row>
    <row r="1753" spans="1:33">
      <c r="A1753" s="20" t="s">
        <v>27055</v>
      </c>
      <c r="B1753" s="150"/>
      <c r="C1753" s="21" t="s">
        <v>26184</v>
      </c>
      <c r="D1753" s="109" t="s">
        <v>4070</v>
      </c>
      <c r="E1753" s="109"/>
      <c r="F1753" s="454" t="s">
        <v>26185</v>
      </c>
      <c r="G1753" s="23" t="s">
        <v>26186</v>
      </c>
      <c r="H1753" s="23"/>
      <c r="I1753" s="23"/>
      <c r="J1753" s="23"/>
      <c r="K1753" s="23"/>
      <c r="L1753" s="375" t="s">
        <v>7787</v>
      </c>
      <c r="M1753" s="351" t="s">
        <v>45</v>
      </c>
      <c r="N1753" s="267">
        <f t="shared" ref="N1753" si="299">SUM(L1753:M1753)</f>
        <v>0</v>
      </c>
      <c r="O1753" s="268">
        <f t="shared" ref="O1753" si="300">SUM(P1753:Z1753)</f>
        <v>50</v>
      </c>
      <c r="P1753" s="239">
        <f>550-500</f>
        <v>50</v>
      </c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 t="s">
        <v>26183</v>
      </c>
      <c r="AC1753" s="196">
        <f t="shared" si="292"/>
        <v>50</v>
      </c>
      <c r="AD1753" s="196">
        <f t="shared" si="293"/>
        <v>50</v>
      </c>
      <c r="AE1753" s="196">
        <f t="shared" si="294"/>
        <v>0</v>
      </c>
      <c r="AF1753" s="2">
        <f t="shared" si="295"/>
        <v>50</v>
      </c>
      <c r="AG1753" s="2">
        <f t="shared" si="296"/>
        <v>0</v>
      </c>
    </row>
    <row r="1754" spans="1:33">
      <c r="A1754" s="20" t="s">
        <v>27140</v>
      </c>
      <c r="B1754" s="150"/>
      <c r="C1754" s="21" t="s">
        <v>27298</v>
      </c>
      <c r="D1754" s="109" t="s">
        <v>4070</v>
      </c>
      <c r="E1754" s="109" t="s">
        <v>27297</v>
      </c>
      <c r="F1754" s="454" t="s">
        <v>27299</v>
      </c>
      <c r="G1754" s="23" t="s">
        <v>23010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ref="N1754" si="301">SUM(L1754:M1754)</f>
        <v>0</v>
      </c>
      <c r="O1754" s="268">
        <f t="shared" ref="O1754" si="302">SUM(P1754:Z1754)</f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ref="AC1754" si="303">SUM(P1754:AA1754)</f>
        <v>0</v>
      </c>
      <c r="AD1754" s="196">
        <f t="shared" ref="AD1754" si="304">SUM(P1754:AB1754)</f>
        <v>0</v>
      </c>
      <c r="AE1754" s="196">
        <f t="shared" ref="AE1754" si="305">SUM(AC1754-AD1754)</f>
        <v>0</v>
      </c>
      <c r="AF1754" s="2">
        <f t="shared" ref="AF1754" si="306">+AC1754</f>
        <v>0</v>
      </c>
      <c r="AG1754" s="2">
        <f t="shared" ref="AG1754" si="307">+AC1754-AF1754</f>
        <v>0</v>
      </c>
    </row>
    <row r="1755" spans="1:33">
      <c r="A1755" s="20" t="s">
        <v>22785</v>
      </c>
      <c r="B1755" s="150"/>
      <c r="C1755" s="21" t="s">
        <v>22866</v>
      </c>
      <c r="D1755" s="109" t="s">
        <v>3137</v>
      </c>
      <c r="E1755" s="109"/>
      <c r="F1755" s="391" t="s">
        <v>22873</v>
      </c>
      <c r="G1755" s="23" t="s">
        <v>22914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4"/>
        <v>0</v>
      </c>
      <c r="O1755" s="268">
        <f t="shared" si="285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2"/>
        <v>0</v>
      </c>
      <c r="AD1755" s="196">
        <f t="shared" si="293"/>
        <v>0</v>
      </c>
      <c r="AE1755" s="196">
        <f t="shared" si="294"/>
        <v>0</v>
      </c>
      <c r="AF1755" s="2">
        <f t="shared" si="295"/>
        <v>0</v>
      </c>
      <c r="AG1755" s="2">
        <f t="shared" si="296"/>
        <v>0</v>
      </c>
    </row>
    <row r="1756" spans="1:33">
      <c r="A1756" s="20" t="s">
        <v>22773</v>
      </c>
      <c r="B1756" s="150"/>
      <c r="C1756" s="21" t="s">
        <v>22827</v>
      </c>
      <c r="D1756" s="109" t="s">
        <v>3137</v>
      </c>
      <c r="E1756" s="109"/>
      <c r="F1756" s="391" t="s">
        <v>22829</v>
      </c>
      <c r="G1756" s="23" t="s">
        <v>22874</v>
      </c>
      <c r="H1756" s="23"/>
      <c r="I1756" s="23"/>
      <c r="J1756" s="23"/>
      <c r="K1756" s="23"/>
      <c r="L1756" s="375" t="s">
        <v>7787</v>
      </c>
      <c r="M1756" s="351" t="s">
        <v>7787</v>
      </c>
      <c r="N1756" s="267">
        <f t="shared" si="284"/>
        <v>0</v>
      </c>
      <c r="O1756" s="268">
        <f t="shared" si="285"/>
        <v>0</v>
      </c>
      <c r="P1756" s="239"/>
      <c r="Q1756" s="244"/>
      <c r="R1756" s="239"/>
      <c r="S1756" s="239"/>
      <c r="T1756" s="239"/>
      <c r="U1756" s="240"/>
      <c r="V1756" s="240"/>
      <c r="W1756" s="240"/>
      <c r="X1756" s="278"/>
      <c r="Y1756" s="237"/>
      <c r="Z1756" s="237"/>
      <c r="AA1756" s="279"/>
      <c r="AB1756" s="238"/>
      <c r="AC1756" s="196">
        <f t="shared" si="292"/>
        <v>0</v>
      </c>
      <c r="AD1756" s="196">
        <f t="shared" si="293"/>
        <v>0</v>
      </c>
      <c r="AE1756" s="196">
        <f t="shared" si="294"/>
        <v>0</v>
      </c>
      <c r="AF1756" s="2">
        <f t="shared" si="295"/>
        <v>0</v>
      </c>
      <c r="AG1756" s="2">
        <f t="shared" si="296"/>
        <v>0</v>
      </c>
    </row>
    <row r="1757" spans="1:33">
      <c r="A1757" s="20" t="s">
        <v>22774</v>
      </c>
      <c r="B1757" s="150"/>
      <c r="C1757" s="21" t="s">
        <v>22828</v>
      </c>
      <c r="D1757" s="109" t="s">
        <v>3137</v>
      </c>
      <c r="E1757" s="109"/>
      <c r="F1757" s="391" t="s">
        <v>22830</v>
      </c>
      <c r="G1757" s="23" t="s">
        <v>22874</v>
      </c>
      <c r="H1757" s="23" t="s">
        <v>24823</v>
      </c>
      <c r="I1757" s="23"/>
      <c r="J1757" s="23"/>
      <c r="K1757" s="23"/>
      <c r="L1757" s="375" t="s">
        <v>45</v>
      </c>
      <c r="M1757" s="351" t="s">
        <v>45</v>
      </c>
      <c r="N1757" s="267">
        <f t="shared" si="284"/>
        <v>0</v>
      </c>
      <c r="O1757" s="268">
        <f t="shared" si="285"/>
        <v>200</v>
      </c>
      <c r="P1757" s="239">
        <f>1100-400-500</f>
        <v>200</v>
      </c>
      <c r="Q1757" s="239"/>
      <c r="R1757" s="239"/>
      <c r="S1757" s="239"/>
      <c r="T1757" s="239"/>
      <c r="U1757" s="239"/>
      <c r="V1757" s="240"/>
      <c r="W1757" s="240"/>
      <c r="X1757" s="278"/>
      <c r="Y1757" s="237"/>
      <c r="Z1757" s="237"/>
      <c r="AA1757" s="279"/>
      <c r="AB1757" s="238" t="s">
        <v>26167</v>
      </c>
      <c r="AC1757" s="196">
        <f t="shared" si="292"/>
        <v>200</v>
      </c>
      <c r="AD1757" s="196">
        <f t="shared" si="293"/>
        <v>200</v>
      </c>
      <c r="AE1757" s="196">
        <f t="shared" si="294"/>
        <v>0</v>
      </c>
      <c r="AF1757" s="2">
        <f t="shared" si="295"/>
        <v>200</v>
      </c>
      <c r="AG1757" s="2">
        <f t="shared" si="296"/>
        <v>0</v>
      </c>
    </row>
    <row r="1758" spans="1:33">
      <c r="A1758" s="20" t="s">
        <v>22883</v>
      </c>
      <c r="B1758" s="150"/>
      <c r="C1758" s="21" t="s">
        <v>22918</v>
      </c>
      <c r="D1758" s="109" t="s">
        <v>3137</v>
      </c>
      <c r="E1758" s="109"/>
      <c r="F1758" s="391" t="s">
        <v>22924</v>
      </c>
      <c r="G1758" s="23" t="s">
        <v>23010</v>
      </c>
      <c r="H1758" s="23"/>
      <c r="I1758" s="23"/>
      <c r="J1758" s="23"/>
      <c r="K1758" s="23"/>
      <c r="L1758" s="375" t="s">
        <v>45</v>
      </c>
      <c r="M1758" s="351" t="s">
        <v>7787</v>
      </c>
      <c r="N1758" s="267">
        <f t="shared" si="284"/>
        <v>0</v>
      </c>
      <c r="O1758" s="268">
        <f t="shared" si="285"/>
        <v>1950</v>
      </c>
      <c r="P1758" s="239"/>
      <c r="Q1758" s="239"/>
      <c r="R1758" s="239"/>
      <c r="S1758" s="239"/>
      <c r="T1758" s="239"/>
      <c r="U1758" s="239">
        <v>1950</v>
      </c>
      <c r="V1758" s="240"/>
      <c r="W1758" s="240"/>
      <c r="X1758" s="278"/>
      <c r="Y1758" s="237"/>
      <c r="Z1758" s="237"/>
      <c r="AA1758" s="279"/>
      <c r="AB1758" s="238" t="s">
        <v>25735</v>
      </c>
      <c r="AC1758" s="196">
        <f t="shared" si="292"/>
        <v>1950</v>
      </c>
      <c r="AD1758" s="196">
        <f t="shared" si="293"/>
        <v>1950</v>
      </c>
      <c r="AE1758" s="196">
        <f t="shared" si="294"/>
        <v>0</v>
      </c>
      <c r="AF1758" s="2">
        <f t="shared" si="295"/>
        <v>1950</v>
      </c>
      <c r="AG1758" s="2">
        <f t="shared" si="296"/>
        <v>0</v>
      </c>
    </row>
    <row r="1759" spans="1:33">
      <c r="A1759" s="20" t="s">
        <v>23594</v>
      </c>
      <c r="B1759" s="150"/>
      <c r="C1759" s="21" t="s">
        <v>23619</v>
      </c>
      <c r="D1759" s="109" t="s">
        <v>3137</v>
      </c>
      <c r="E1759" s="109"/>
      <c r="F1759" s="391" t="s">
        <v>23644</v>
      </c>
      <c r="G1759" s="23" t="s">
        <v>13942</v>
      </c>
      <c r="H1759" s="23"/>
      <c r="I1759" s="23"/>
      <c r="J1759" s="23"/>
      <c r="K1759" s="23"/>
      <c r="L1759" s="375" t="s">
        <v>7787</v>
      </c>
      <c r="M1759" s="351" t="s">
        <v>7787</v>
      </c>
      <c r="N1759" s="267">
        <f t="shared" si="284"/>
        <v>0</v>
      </c>
      <c r="O1759" s="268">
        <f t="shared" si="285"/>
        <v>3450</v>
      </c>
      <c r="P1759" s="239"/>
      <c r="Q1759" s="239"/>
      <c r="R1759" s="239"/>
      <c r="S1759" s="239"/>
      <c r="T1759" s="239"/>
      <c r="U1759" s="239">
        <f>1350-750+5750-5000+2700+400-1000</f>
        <v>3450</v>
      </c>
      <c r="V1759" s="240"/>
      <c r="W1759" s="240"/>
      <c r="X1759" s="278"/>
      <c r="Y1759" s="237"/>
      <c r="Z1759" s="237"/>
      <c r="AA1759" s="279"/>
      <c r="AB1759" s="238" t="s">
        <v>24754</v>
      </c>
      <c r="AC1759" s="196">
        <f t="shared" si="292"/>
        <v>3450</v>
      </c>
      <c r="AD1759" s="196">
        <f t="shared" si="293"/>
        <v>3450</v>
      </c>
      <c r="AE1759" s="196">
        <f t="shared" si="294"/>
        <v>0</v>
      </c>
      <c r="AF1759" s="2">
        <f t="shared" si="295"/>
        <v>3450</v>
      </c>
      <c r="AG1759" s="2">
        <f t="shared" si="296"/>
        <v>0</v>
      </c>
    </row>
    <row r="1760" spans="1:33">
      <c r="A1760" s="20" t="s">
        <v>22884</v>
      </c>
      <c r="B1760" s="150"/>
      <c r="C1760" s="21" t="s">
        <v>22917</v>
      </c>
      <c r="D1760" s="109" t="s">
        <v>3137</v>
      </c>
      <c r="E1760" s="109"/>
      <c r="F1760" s="391" t="s">
        <v>22923</v>
      </c>
      <c r="G1760" s="23" t="s">
        <v>22745</v>
      </c>
      <c r="H1760" s="23"/>
      <c r="I1760" s="23"/>
      <c r="J1760" s="23"/>
      <c r="K1760" s="23"/>
      <c r="L1760" s="375"/>
      <c r="M1760" s="351" t="s">
        <v>7787</v>
      </c>
      <c r="N1760" s="267">
        <f t="shared" si="284"/>
        <v>0</v>
      </c>
      <c r="O1760" s="268">
        <f t="shared" si="285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2"/>
        <v>0</v>
      </c>
      <c r="AD1760" s="196">
        <f t="shared" si="293"/>
        <v>0</v>
      </c>
      <c r="AE1760" s="196">
        <f t="shared" si="294"/>
        <v>0</v>
      </c>
      <c r="AF1760" s="2">
        <f t="shared" si="295"/>
        <v>0</v>
      </c>
      <c r="AG1760" s="2">
        <f t="shared" si="296"/>
        <v>0</v>
      </c>
    </row>
    <row r="1761" spans="1:33">
      <c r="A1761" s="20" t="s">
        <v>22886</v>
      </c>
      <c r="B1761" s="150"/>
      <c r="C1761" s="21" t="s">
        <v>22929</v>
      </c>
      <c r="D1761" s="109" t="s">
        <v>3137</v>
      </c>
      <c r="E1761" s="109"/>
      <c r="F1761" s="391" t="s">
        <v>22940</v>
      </c>
      <c r="G1761" s="23" t="s">
        <v>22939</v>
      </c>
      <c r="H1761" s="23"/>
      <c r="I1761" s="23"/>
      <c r="J1761" s="23"/>
      <c r="K1761" s="23"/>
      <c r="L1761" s="375" t="s">
        <v>7787</v>
      </c>
      <c r="M1761" s="351" t="s">
        <v>7787</v>
      </c>
      <c r="N1761" s="267">
        <f t="shared" si="284"/>
        <v>0</v>
      </c>
      <c r="O1761" s="268">
        <f t="shared" si="285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2"/>
        <v>0</v>
      </c>
      <c r="AD1761" s="196">
        <f t="shared" si="293"/>
        <v>0</v>
      </c>
      <c r="AE1761" s="196">
        <f t="shared" si="294"/>
        <v>0</v>
      </c>
      <c r="AF1761" s="2">
        <f t="shared" si="295"/>
        <v>0</v>
      </c>
      <c r="AG1761" s="2">
        <f t="shared" si="296"/>
        <v>0</v>
      </c>
    </row>
    <row r="1762" spans="1:33">
      <c r="A1762" s="20" t="s">
        <v>22890</v>
      </c>
      <c r="B1762" s="150"/>
      <c r="C1762" s="21" t="s">
        <v>22949</v>
      </c>
      <c r="D1762" s="109" t="s">
        <v>3137</v>
      </c>
      <c r="E1762" s="109" t="s">
        <v>26706</v>
      </c>
      <c r="F1762" s="391" t="s">
        <v>22962</v>
      </c>
      <c r="G1762" s="23" t="s">
        <v>21164</v>
      </c>
      <c r="H1762" s="23" t="s">
        <v>25541</v>
      </c>
      <c r="I1762" s="23"/>
      <c r="J1762" s="23"/>
      <c r="K1762" s="23"/>
      <c r="L1762" s="375" t="s">
        <v>45</v>
      </c>
      <c r="M1762" s="351" t="s">
        <v>7787</v>
      </c>
      <c r="N1762" s="267">
        <f t="shared" si="284"/>
        <v>0</v>
      </c>
      <c r="O1762" s="268">
        <f t="shared" si="285"/>
        <v>0</v>
      </c>
      <c r="P1762" s="239"/>
      <c r="Q1762" s="239"/>
      <c r="R1762" s="239"/>
      <c r="S1762" s="239"/>
      <c r="T1762" s="239"/>
      <c r="U1762" s="239"/>
      <c r="V1762" s="240"/>
      <c r="W1762" s="240"/>
      <c r="X1762" s="278"/>
      <c r="Y1762" s="237"/>
      <c r="Z1762" s="237"/>
      <c r="AA1762" s="279"/>
      <c r="AB1762" s="238"/>
      <c r="AC1762" s="196">
        <f t="shared" si="292"/>
        <v>0</v>
      </c>
      <c r="AD1762" s="196">
        <f t="shared" si="293"/>
        <v>0</v>
      </c>
      <c r="AE1762" s="196">
        <f t="shared" si="294"/>
        <v>0</v>
      </c>
      <c r="AF1762" s="2">
        <f t="shared" si="295"/>
        <v>0</v>
      </c>
      <c r="AG1762" s="2">
        <f t="shared" si="296"/>
        <v>0</v>
      </c>
    </row>
    <row r="1763" spans="1:33">
      <c r="A1763" s="20" t="s">
        <v>23108</v>
      </c>
      <c r="B1763" s="150"/>
      <c r="C1763" s="21" t="s">
        <v>23105</v>
      </c>
      <c r="D1763" s="109" t="s">
        <v>3137</v>
      </c>
      <c r="E1763" s="109"/>
      <c r="F1763" s="391" t="s">
        <v>23121</v>
      </c>
      <c r="G1763" s="23" t="s">
        <v>26309</v>
      </c>
      <c r="H1763" s="23" t="s">
        <v>26313</v>
      </c>
      <c r="I1763" s="23"/>
      <c r="J1763" s="23"/>
      <c r="K1763" s="23"/>
      <c r="L1763" s="375" t="s">
        <v>45</v>
      </c>
      <c r="M1763" s="351"/>
      <c r="N1763" s="267">
        <f t="shared" si="284"/>
        <v>0</v>
      </c>
      <c r="O1763" s="268">
        <f t="shared" si="285"/>
        <v>200</v>
      </c>
      <c r="P1763" s="239"/>
      <c r="Q1763" s="239"/>
      <c r="R1763" s="239"/>
      <c r="S1763" s="239"/>
      <c r="T1763" s="239"/>
      <c r="U1763" s="239">
        <f>1100-900</f>
        <v>200</v>
      </c>
      <c r="V1763" s="240"/>
      <c r="W1763" s="240"/>
      <c r="X1763" s="278"/>
      <c r="Y1763" s="243"/>
      <c r="Z1763" s="237"/>
      <c r="AA1763" s="279"/>
      <c r="AB1763" s="238" t="s">
        <v>27240</v>
      </c>
      <c r="AC1763" s="196">
        <f t="shared" si="292"/>
        <v>200</v>
      </c>
      <c r="AD1763" s="196">
        <f t="shared" si="293"/>
        <v>200</v>
      </c>
      <c r="AE1763" s="196">
        <f t="shared" si="294"/>
        <v>0</v>
      </c>
      <c r="AF1763" s="2">
        <f t="shared" si="295"/>
        <v>200</v>
      </c>
      <c r="AG1763" s="2">
        <f t="shared" si="296"/>
        <v>0</v>
      </c>
    </row>
    <row r="1764" spans="1:33">
      <c r="A1764" s="20" t="s">
        <v>23473</v>
      </c>
      <c r="B1764" s="150"/>
      <c r="C1764" s="21" t="s">
        <v>23495</v>
      </c>
      <c r="D1764" s="109" t="s">
        <v>3137</v>
      </c>
      <c r="E1764" s="109"/>
      <c r="F1764" s="391" t="s">
        <v>23530</v>
      </c>
      <c r="G1764" s="23" t="s">
        <v>14785</v>
      </c>
      <c r="H1764" s="23"/>
      <c r="I1764" s="23"/>
      <c r="J1764" s="23"/>
      <c r="K1764" s="23"/>
      <c r="L1764" s="375"/>
      <c r="M1764" s="351" t="s">
        <v>7787</v>
      </c>
      <c r="N1764" s="267">
        <f t="shared" si="284"/>
        <v>0</v>
      </c>
      <c r="O1764" s="268">
        <f t="shared" si="285"/>
        <v>0</v>
      </c>
      <c r="P1764" s="239"/>
      <c r="Q1764" s="239"/>
      <c r="R1764" s="239"/>
      <c r="S1764" s="239"/>
      <c r="T1764" s="239"/>
      <c r="U1764" s="239"/>
      <c r="V1764" s="240"/>
      <c r="W1764" s="240"/>
      <c r="X1764" s="278"/>
      <c r="Y1764" s="243"/>
      <c r="Z1764" s="237"/>
      <c r="AA1764" s="279"/>
      <c r="AB1764" s="238"/>
      <c r="AC1764" s="196">
        <f t="shared" si="292"/>
        <v>0</v>
      </c>
      <c r="AD1764" s="196">
        <f t="shared" si="293"/>
        <v>0</v>
      </c>
      <c r="AE1764" s="196">
        <f t="shared" si="294"/>
        <v>0</v>
      </c>
      <c r="AF1764" s="2">
        <f t="shared" si="295"/>
        <v>0</v>
      </c>
      <c r="AG1764" s="2">
        <f t="shared" si="296"/>
        <v>0</v>
      </c>
    </row>
    <row r="1765" spans="1:33">
      <c r="A1765" s="20" t="s">
        <v>23068</v>
      </c>
      <c r="B1765" s="150"/>
      <c r="C1765" s="21" t="s">
        <v>23064</v>
      </c>
      <c r="D1765" s="109" t="s">
        <v>3137</v>
      </c>
      <c r="E1765" s="109"/>
      <c r="F1765" s="391" t="s">
        <v>23080</v>
      </c>
      <c r="G1765" s="23" t="s">
        <v>13942</v>
      </c>
      <c r="H1765" s="23"/>
      <c r="I1765" s="23"/>
      <c r="J1765" s="23"/>
      <c r="K1765" s="23"/>
      <c r="L1765" s="375" t="s">
        <v>27925</v>
      </c>
      <c r="M1765" s="351" t="s">
        <v>7787</v>
      </c>
      <c r="N1765" s="267">
        <f t="shared" si="284"/>
        <v>0</v>
      </c>
      <c r="O1765" s="268">
        <f t="shared" si="285"/>
        <v>1000</v>
      </c>
      <c r="P1765" s="239"/>
      <c r="Q1765" s="239"/>
      <c r="R1765" s="239"/>
      <c r="S1765" s="239"/>
      <c r="T1765" s="239"/>
      <c r="U1765" s="239">
        <f>400-250</f>
        <v>150</v>
      </c>
      <c r="V1765" s="240"/>
      <c r="W1765" s="240"/>
      <c r="X1765" s="278"/>
      <c r="Y1765" s="239">
        <v>850</v>
      </c>
      <c r="Z1765" s="237"/>
      <c r="AA1765" s="279"/>
      <c r="AB1765" s="238" t="s">
        <v>27915</v>
      </c>
      <c r="AC1765" s="196">
        <f t="shared" si="292"/>
        <v>1000</v>
      </c>
      <c r="AD1765" s="196">
        <f t="shared" si="293"/>
        <v>1000</v>
      </c>
      <c r="AE1765" s="196">
        <f t="shared" si="294"/>
        <v>0</v>
      </c>
      <c r="AF1765" s="2">
        <f t="shared" si="295"/>
        <v>1000</v>
      </c>
      <c r="AG1765" s="2">
        <f t="shared" si="296"/>
        <v>0</v>
      </c>
    </row>
    <row r="1766" spans="1:33">
      <c r="A1766" s="20" t="s">
        <v>22887</v>
      </c>
      <c r="B1766" s="150"/>
      <c r="C1766" s="21" t="s">
        <v>22926</v>
      </c>
      <c r="D1766" s="109" t="s">
        <v>7761</v>
      </c>
      <c r="E1766" s="109"/>
      <c r="F1766" s="391" t="s">
        <v>22927</v>
      </c>
      <c r="G1766" s="23" t="s">
        <v>22928</v>
      </c>
      <c r="H1766" s="23"/>
      <c r="I1766" s="23"/>
      <c r="J1766" s="23"/>
      <c r="K1766" s="23"/>
      <c r="L1766" s="375" t="s">
        <v>7787</v>
      </c>
      <c r="M1766" s="351" t="s">
        <v>7787</v>
      </c>
      <c r="N1766" s="267">
        <f t="shared" si="284"/>
        <v>0</v>
      </c>
      <c r="O1766" s="268">
        <f t="shared" si="285"/>
        <v>150</v>
      </c>
      <c r="P1766" s="239"/>
      <c r="Q1766" s="239"/>
      <c r="R1766" s="239"/>
      <c r="S1766" s="239"/>
      <c r="T1766" s="239"/>
      <c r="U1766" s="239"/>
      <c r="V1766" s="240"/>
      <c r="W1766" s="240"/>
      <c r="X1766" s="278"/>
      <c r="Y1766" s="237">
        <v>150</v>
      </c>
      <c r="Z1766" s="237"/>
      <c r="AA1766" s="279"/>
      <c r="AB1766" s="238"/>
      <c r="AC1766" s="196">
        <f t="shared" si="292"/>
        <v>150</v>
      </c>
      <c r="AD1766" s="196">
        <f t="shared" si="293"/>
        <v>150</v>
      </c>
      <c r="AE1766" s="196">
        <f t="shared" si="294"/>
        <v>0</v>
      </c>
      <c r="AF1766" s="2">
        <f t="shared" si="295"/>
        <v>150</v>
      </c>
      <c r="AG1766" s="2">
        <f t="shared" si="296"/>
        <v>0</v>
      </c>
    </row>
    <row r="1767" spans="1:33">
      <c r="A1767" s="20" t="s">
        <v>1866</v>
      </c>
      <c r="B1767" s="150"/>
      <c r="C1767" s="21" t="s">
        <v>285</v>
      </c>
      <c r="D1767" s="109" t="s">
        <v>13949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4"/>
        <v>0</v>
      </c>
      <c r="O1767" s="268">
        <f t="shared" si="285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2"/>
        <v>0</v>
      </c>
      <c r="AD1767" s="196">
        <f t="shared" si="293"/>
        <v>0</v>
      </c>
      <c r="AE1767" s="196">
        <f t="shared" si="294"/>
        <v>0</v>
      </c>
      <c r="AF1767" s="2">
        <f t="shared" si="295"/>
        <v>0</v>
      </c>
      <c r="AG1767" s="2">
        <f t="shared" si="296"/>
        <v>0</v>
      </c>
    </row>
    <row r="1768" spans="1:33">
      <c r="A1768" s="20" t="s">
        <v>1867</v>
      </c>
      <c r="B1768" s="150"/>
      <c r="C1768" s="21" t="s">
        <v>285</v>
      </c>
      <c r="D1768" s="109" t="s">
        <v>13613</v>
      </c>
      <c r="E1768" s="109"/>
      <c r="F1768" s="391" t="s">
        <v>15083</v>
      </c>
      <c r="G1768" s="23"/>
      <c r="H1768" s="23"/>
      <c r="I1768" s="23"/>
      <c r="J1768" s="23"/>
      <c r="K1768" s="23"/>
      <c r="L1768" s="350"/>
      <c r="M1768" s="351"/>
      <c r="N1768" s="267">
        <f t="shared" si="284"/>
        <v>0</v>
      </c>
      <c r="O1768" s="268">
        <f t="shared" si="285"/>
        <v>0</v>
      </c>
      <c r="P1768" s="239"/>
      <c r="Q1768" s="239"/>
      <c r="R1768" s="239"/>
      <c r="S1768" s="239"/>
      <c r="T1768" s="239"/>
      <c r="U1768" s="240"/>
      <c r="V1768" s="240"/>
      <c r="W1768" s="240"/>
      <c r="X1768" s="278"/>
      <c r="Y1768" s="237"/>
      <c r="Z1768" s="237"/>
      <c r="AA1768" s="279"/>
      <c r="AB1768" s="238"/>
      <c r="AC1768" s="196">
        <f t="shared" si="292"/>
        <v>0</v>
      </c>
      <c r="AD1768" s="196">
        <f t="shared" si="293"/>
        <v>0</v>
      </c>
      <c r="AE1768" s="196">
        <f t="shared" si="294"/>
        <v>0</v>
      </c>
      <c r="AF1768" s="2">
        <f t="shared" si="295"/>
        <v>0</v>
      </c>
      <c r="AG1768" s="2">
        <f t="shared" si="296"/>
        <v>0</v>
      </c>
    </row>
    <row r="1769" spans="1:33">
      <c r="A1769" s="20" t="s">
        <v>24257</v>
      </c>
      <c r="B1769" s="150"/>
      <c r="C1769" s="21" t="s">
        <v>24340</v>
      </c>
      <c r="D1769" s="109" t="s">
        <v>3137</v>
      </c>
      <c r="E1769" s="109" t="s">
        <v>24343</v>
      </c>
      <c r="F1769" s="391" t="s">
        <v>24342</v>
      </c>
      <c r="G1769" s="23" t="s">
        <v>24341</v>
      </c>
      <c r="H1769" s="23"/>
      <c r="I1769" s="23"/>
      <c r="J1769" s="23"/>
      <c r="K1769" s="23"/>
      <c r="L1769" s="350"/>
      <c r="M1769" s="351"/>
      <c r="N1769" s="267">
        <f t="shared" ref="N1769:N1771" si="308">SUM(L1769:M1769)</f>
        <v>0</v>
      </c>
      <c r="O1769" s="268">
        <f t="shared" ref="O1769:O1771" si="309">SUM(P1769:Z1769)</f>
        <v>4150</v>
      </c>
      <c r="P1769" s="239"/>
      <c r="Q1769" s="239">
        <f>3600-2000+3600-500-100-450</f>
        <v>4150</v>
      </c>
      <c r="R1769" s="239"/>
      <c r="S1769" s="239"/>
      <c r="T1769" s="239"/>
      <c r="U1769" s="240"/>
      <c r="V1769" s="240"/>
      <c r="W1769" s="240"/>
      <c r="X1769" s="278"/>
      <c r="Y1769" s="239"/>
      <c r="Z1769" s="237"/>
      <c r="AA1769" s="279"/>
      <c r="AB1769" s="238" t="s">
        <v>27446</v>
      </c>
      <c r="AC1769" s="196">
        <f t="shared" si="292"/>
        <v>4150</v>
      </c>
      <c r="AD1769" s="196">
        <f t="shared" si="293"/>
        <v>4150</v>
      </c>
      <c r="AE1769" s="196">
        <f t="shared" si="294"/>
        <v>0</v>
      </c>
      <c r="AF1769" s="2">
        <f t="shared" si="295"/>
        <v>4150</v>
      </c>
      <c r="AG1769" s="2">
        <f t="shared" si="296"/>
        <v>0</v>
      </c>
    </row>
    <row r="1770" spans="1:33">
      <c r="A1770" s="20" t="s">
        <v>1868</v>
      </c>
      <c r="B1770" s="150"/>
      <c r="C1770" s="21" t="s">
        <v>286</v>
      </c>
      <c r="D1770" s="109" t="s">
        <v>15073</v>
      </c>
      <c r="E1770" s="109"/>
      <c r="F1770" s="391" t="s">
        <v>15084</v>
      </c>
      <c r="G1770" s="23"/>
      <c r="H1770" s="23"/>
      <c r="I1770" s="23"/>
      <c r="J1770" s="23"/>
      <c r="K1770" s="23"/>
      <c r="L1770" s="350"/>
      <c r="M1770" s="351"/>
      <c r="N1770" s="267">
        <f t="shared" si="308"/>
        <v>0</v>
      </c>
      <c r="O1770" s="268">
        <f t="shared" si="309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2"/>
        <v>0</v>
      </c>
      <c r="AD1770" s="196">
        <f t="shared" si="293"/>
        <v>0</v>
      </c>
      <c r="AE1770" s="196">
        <f t="shared" si="294"/>
        <v>0</v>
      </c>
      <c r="AF1770" s="2">
        <f t="shared" si="295"/>
        <v>0</v>
      </c>
      <c r="AG1770" s="2">
        <f t="shared" si="296"/>
        <v>0</v>
      </c>
    </row>
    <row r="1771" spans="1:33">
      <c r="A1771" s="20" t="s">
        <v>1869</v>
      </c>
      <c r="B1771" s="150"/>
      <c r="C1771" s="21" t="s">
        <v>287</v>
      </c>
      <c r="D1771" s="109" t="s">
        <v>13949</v>
      </c>
      <c r="E1771" s="109"/>
      <c r="F1771" s="391" t="s">
        <v>15085</v>
      </c>
      <c r="G1771" s="23"/>
      <c r="H1771" s="23"/>
      <c r="I1771" s="23"/>
      <c r="J1771" s="23"/>
      <c r="K1771" s="23"/>
      <c r="L1771" s="350"/>
      <c r="M1771" s="351"/>
      <c r="N1771" s="267">
        <f t="shared" si="308"/>
        <v>0</v>
      </c>
      <c r="O1771" s="268">
        <f t="shared" si="309"/>
        <v>0</v>
      </c>
      <c r="P1771" s="239"/>
      <c r="Q1771" s="239"/>
      <c r="R1771" s="239"/>
      <c r="S1771" s="239"/>
      <c r="T1771" s="239"/>
      <c r="U1771" s="240"/>
      <c r="V1771" s="240"/>
      <c r="W1771" s="240"/>
      <c r="X1771" s="278"/>
      <c r="Y1771" s="237"/>
      <c r="Z1771" s="237"/>
      <c r="AA1771" s="279"/>
      <c r="AB1771" s="238"/>
      <c r="AC1771" s="196">
        <f t="shared" si="292"/>
        <v>0</v>
      </c>
      <c r="AD1771" s="196">
        <f t="shared" si="293"/>
        <v>0</v>
      </c>
      <c r="AE1771" s="196">
        <f t="shared" si="294"/>
        <v>0</v>
      </c>
      <c r="AF1771" s="2">
        <f t="shared" si="295"/>
        <v>0</v>
      </c>
      <c r="AG1771" s="2">
        <f t="shared" si="296"/>
        <v>0</v>
      </c>
    </row>
    <row r="1772" spans="1:33">
      <c r="A1772" s="20" t="s">
        <v>22888</v>
      </c>
      <c r="B1772" s="150"/>
      <c r="C1772" s="21" t="s">
        <v>22950</v>
      </c>
      <c r="D1772" s="109" t="s">
        <v>3137</v>
      </c>
      <c r="E1772" s="109" t="s">
        <v>22282</v>
      </c>
      <c r="F1772" s="391" t="s">
        <v>22954</v>
      </c>
      <c r="G1772" s="23" t="s">
        <v>22952</v>
      </c>
      <c r="H1772" s="23" t="s">
        <v>22953</v>
      </c>
      <c r="I1772" s="23" t="s">
        <v>13942</v>
      </c>
      <c r="J1772" s="23"/>
      <c r="K1772" s="23" t="s">
        <v>26925</v>
      </c>
      <c r="L1772" s="375" t="s">
        <v>27870</v>
      </c>
      <c r="M1772" s="351" t="s">
        <v>45</v>
      </c>
      <c r="N1772" s="267">
        <f t="shared" si="284"/>
        <v>0</v>
      </c>
      <c r="O1772" s="268">
        <f t="shared" si="285"/>
        <v>1900</v>
      </c>
      <c r="P1772" s="237"/>
      <c r="Q1772" s="239">
        <f>2350+1950-600-500-500-800</f>
        <v>1900</v>
      </c>
      <c r="R1772" s="239"/>
      <c r="S1772" s="239"/>
      <c r="T1772" s="239"/>
      <c r="U1772" s="239"/>
      <c r="V1772" s="240"/>
      <c r="W1772" s="240"/>
      <c r="X1772" s="278"/>
      <c r="Y1772" s="239"/>
      <c r="Z1772" s="237"/>
      <c r="AA1772" s="279"/>
      <c r="AB1772" s="238" t="s">
        <v>27869</v>
      </c>
      <c r="AC1772" s="196">
        <f t="shared" si="292"/>
        <v>1900</v>
      </c>
      <c r="AD1772" s="196">
        <f t="shared" si="293"/>
        <v>1900</v>
      </c>
      <c r="AE1772" s="196">
        <f t="shared" si="294"/>
        <v>0</v>
      </c>
      <c r="AF1772" s="2">
        <f t="shared" si="295"/>
        <v>1900</v>
      </c>
      <c r="AG1772" s="2">
        <f t="shared" si="296"/>
        <v>0</v>
      </c>
    </row>
    <row r="1773" spans="1:33">
      <c r="A1773" s="20" t="s">
        <v>23116</v>
      </c>
      <c r="B1773" s="150"/>
      <c r="C1773" s="21" t="s">
        <v>22950</v>
      </c>
      <c r="D1773" s="109" t="s">
        <v>23722</v>
      </c>
      <c r="E1773" s="109" t="s">
        <v>22282</v>
      </c>
      <c r="F1773" s="391" t="s">
        <v>22954</v>
      </c>
      <c r="G1773" s="23" t="s">
        <v>14311</v>
      </c>
      <c r="H1773" s="23"/>
      <c r="I1773" s="23"/>
      <c r="J1773" s="23"/>
      <c r="K1773" s="23"/>
      <c r="L1773" s="375" t="s">
        <v>45</v>
      </c>
      <c r="M1773" s="351" t="s">
        <v>45</v>
      </c>
      <c r="N1773" s="267">
        <f t="shared" si="284"/>
        <v>0</v>
      </c>
      <c r="O1773" s="268">
        <f t="shared" si="285"/>
        <v>1100</v>
      </c>
      <c r="P1773" s="239">
        <f>900-400-300+1400-500</f>
        <v>1100</v>
      </c>
      <c r="Q1773" s="239"/>
      <c r="R1773" s="239"/>
      <c r="S1773" s="239"/>
      <c r="T1773" s="239"/>
      <c r="U1773" s="240"/>
      <c r="V1773" s="240"/>
      <c r="W1773" s="240"/>
      <c r="X1773" s="278"/>
      <c r="Y1773" s="239"/>
      <c r="Z1773" s="237"/>
      <c r="AA1773" s="279"/>
      <c r="AB1773" s="238" t="s">
        <v>26805</v>
      </c>
      <c r="AC1773" s="196">
        <f t="shared" si="292"/>
        <v>1100</v>
      </c>
      <c r="AD1773" s="196">
        <f t="shared" si="293"/>
        <v>1100</v>
      </c>
      <c r="AE1773" s="196">
        <f t="shared" si="294"/>
        <v>0</v>
      </c>
      <c r="AF1773" s="2">
        <f t="shared" si="295"/>
        <v>1100</v>
      </c>
      <c r="AG1773" s="2">
        <f t="shared" si="296"/>
        <v>0</v>
      </c>
    </row>
    <row r="1774" spans="1:33">
      <c r="A1774" s="20" t="s">
        <v>22784</v>
      </c>
      <c r="B1774" s="150"/>
      <c r="C1774" s="21" t="s">
        <v>22864</v>
      </c>
      <c r="D1774" s="109" t="s">
        <v>3137</v>
      </c>
      <c r="E1774" s="109"/>
      <c r="F1774" s="391" t="s">
        <v>22865</v>
      </c>
      <c r="G1774" s="23" t="s">
        <v>13215</v>
      </c>
      <c r="H1774" s="23"/>
      <c r="I1774" s="23"/>
      <c r="J1774" s="23"/>
      <c r="K1774" s="23"/>
      <c r="L1774" s="375" t="s">
        <v>7787</v>
      </c>
      <c r="M1774" s="351" t="s">
        <v>7787</v>
      </c>
      <c r="N1774" s="267">
        <f t="shared" si="284"/>
        <v>0</v>
      </c>
      <c r="O1774" s="268">
        <f t="shared" si="285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2"/>
        <v>0</v>
      </c>
      <c r="AD1774" s="196">
        <f t="shared" si="293"/>
        <v>0</v>
      </c>
      <c r="AE1774" s="196">
        <f t="shared" si="294"/>
        <v>0</v>
      </c>
      <c r="AF1774" s="2">
        <f t="shared" si="295"/>
        <v>0</v>
      </c>
      <c r="AG1774" s="2">
        <f t="shared" si="296"/>
        <v>0</v>
      </c>
    </row>
    <row r="1775" spans="1:33">
      <c r="A1775" s="20" t="s">
        <v>23001</v>
      </c>
      <c r="B1775" s="150"/>
      <c r="C1775" s="21" t="s">
        <v>23039</v>
      </c>
      <c r="D1775" s="109" t="s">
        <v>3137</v>
      </c>
      <c r="E1775" s="109"/>
      <c r="F1775" s="391" t="s">
        <v>23045</v>
      </c>
      <c r="G1775" s="23" t="s">
        <v>23046</v>
      </c>
      <c r="H1775" s="23" t="s">
        <v>24161</v>
      </c>
      <c r="I1775" s="23"/>
      <c r="J1775" s="23"/>
      <c r="K1775" s="23"/>
      <c r="L1775" s="375" t="s">
        <v>7787</v>
      </c>
      <c r="M1775" s="351" t="s">
        <v>7787</v>
      </c>
      <c r="N1775" s="267">
        <f t="shared" si="284"/>
        <v>0</v>
      </c>
      <c r="O1775" s="268">
        <f t="shared" si="285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2"/>
        <v>0</v>
      </c>
      <c r="AD1775" s="196">
        <f t="shared" si="293"/>
        <v>0</v>
      </c>
      <c r="AE1775" s="196">
        <f t="shared" si="294"/>
        <v>0</v>
      </c>
      <c r="AF1775" s="2">
        <f t="shared" si="295"/>
        <v>0</v>
      </c>
      <c r="AG1775" s="2">
        <f t="shared" si="296"/>
        <v>0</v>
      </c>
    </row>
    <row r="1776" spans="1:33">
      <c r="A1776" s="20" t="s">
        <v>23633</v>
      </c>
      <c r="B1776" s="150"/>
      <c r="C1776" s="21" t="s">
        <v>23039</v>
      </c>
      <c r="D1776" s="109" t="s">
        <v>23652</v>
      </c>
      <c r="E1776" s="109"/>
      <c r="F1776" s="391" t="s">
        <v>23045</v>
      </c>
      <c r="G1776" s="23" t="s">
        <v>23671</v>
      </c>
      <c r="H1776" s="23"/>
      <c r="I1776" s="23"/>
      <c r="J1776" s="23"/>
      <c r="K1776" s="23"/>
      <c r="L1776" s="375" t="s">
        <v>7787</v>
      </c>
      <c r="M1776" s="351"/>
      <c r="N1776" s="267">
        <f t="shared" si="284"/>
        <v>0</v>
      </c>
      <c r="O1776" s="268">
        <f t="shared" si="285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2"/>
        <v>0</v>
      </c>
      <c r="AD1776" s="196">
        <f t="shared" si="293"/>
        <v>0</v>
      </c>
      <c r="AE1776" s="196">
        <f t="shared" si="294"/>
        <v>0</v>
      </c>
      <c r="AF1776" s="2">
        <f t="shared" si="295"/>
        <v>0</v>
      </c>
      <c r="AG1776" s="2">
        <f t="shared" si="296"/>
        <v>0</v>
      </c>
    </row>
    <row r="1777" spans="1:33">
      <c r="A1777" s="20" t="s">
        <v>1870</v>
      </c>
      <c r="B1777" s="150"/>
      <c r="C1777" s="21" t="s">
        <v>288</v>
      </c>
      <c r="D1777" s="109" t="s">
        <v>13949</v>
      </c>
      <c r="E1777" s="109"/>
      <c r="F1777" s="391" t="s">
        <v>15086</v>
      </c>
      <c r="G1777" s="23"/>
      <c r="H1777" s="23"/>
      <c r="I1777" s="23"/>
      <c r="J1777" s="23"/>
      <c r="K1777" s="23"/>
      <c r="L1777" s="350"/>
      <c r="M1777" s="351"/>
      <c r="N1777" s="267">
        <f t="shared" si="284"/>
        <v>0</v>
      </c>
      <c r="O1777" s="268">
        <f t="shared" si="285"/>
        <v>0</v>
      </c>
      <c r="P1777" s="239"/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/>
      <c r="AC1777" s="196">
        <f t="shared" si="292"/>
        <v>0</v>
      </c>
      <c r="AD1777" s="196">
        <f t="shared" si="293"/>
        <v>0</v>
      </c>
      <c r="AE1777" s="196">
        <f t="shared" si="294"/>
        <v>0</v>
      </c>
      <c r="AF1777" s="2">
        <f t="shared" si="295"/>
        <v>0</v>
      </c>
      <c r="AG1777" s="2">
        <f t="shared" si="296"/>
        <v>0</v>
      </c>
    </row>
    <row r="1778" spans="1:33">
      <c r="A1778" s="20" t="s">
        <v>1871</v>
      </c>
      <c r="B1778" s="150"/>
      <c r="C1778" s="21" t="s">
        <v>288</v>
      </c>
      <c r="D1778" s="109" t="s">
        <v>13613</v>
      </c>
      <c r="E1778" s="109"/>
      <c r="F1778" s="391" t="s">
        <v>15086</v>
      </c>
      <c r="G1778" s="23" t="s">
        <v>25387</v>
      </c>
      <c r="H1778" s="23"/>
      <c r="I1778" s="23"/>
      <c r="J1778" s="23"/>
      <c r="K1778" s="23"/>
      <c r="L1778" s="375" t="s">
        <v>45</v>
      </c>
      <c r="M1778" s="351" t="s">
        <v>45</v>
      </c>
      <c r="N1778" s="267">
        <f t="shared" si="284"/>
        <v>0</v>
      </c>
      <c r="O1778" s="268">
        <f t="shared" si="285"/>
        <v>100</v>
      </c>
      <c r="P1778" s="239">
        <f>400+200-500</f>
        <v>100</v>
      </c>
      <c r="Q1778" s="239"/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25388</v>
      </c>
      <c r="AC1778" s="196">
        <f t="shared" si="292"/>
        <v>100</v>
      </c>
      <c r="AD1778" s="196">
        <f t="shared" si="293"/>
        <v>100</v>
      </c>
      <c r="AE1778" s="196">
        <f t="shared" si="294"/>
        <v>0</v>
      </c>
      <c r="AF1778" s="2">
        <f t="shared" si="295"/>
        <v>100</v>
      </c>
      <c r="AG1778" s="2">
        <f t="shared" si="296"/>
        <v>0</v>
      </c>
    </row>
    <row r="1779" spans="1:33">
      <c r="A1779" s="20" t="s">
        <v>23000</v>
      </c>
      <c r="B1779" s="150"/>
      <c r="C1779" s="21" t="s">
        <v>23052</v>
      </c>
      <c r="D1779" s="109" t="s">
        <v>3137</v>
      </c>
      <c r="E1779" s="109"/>
      <c r="F1779" s="391" t="s">
        <v>23057</v>
      </c>
      <c r="G1779" s="23" t="s">
        <v>23056</v>
      </c>
      <c r="H1779" s="23" t="s">
        <v>13942</v>
      </c>
      <c r="I1779" s="23"/>
      <c r="J1779" s="23"/>
      <c r="K1779" s="23"/>
      <c r="L1779" s="375" t="s">
        <v>45</v>
      </c>
      <c r="M1779" s="351" t="s">
        <v>45</v>
      </c>
      <c r="N1779" s="267">
        <f t="shared" si="284"/>
        <v>0</v>
      </c>
      <c r="O1779" s="268">
        <f t="shared" si="285"/>
        <v>200</v>
      </c>
      <c r="P1779" s="239"/>
      <c r="Q1779" s="239">
        <f>1000-850+1050-1000</f>
        <v>200</v>
      </c>
      <c r="R1779" s="239"/>
      <c r="S1779" s="239"/>
      <c r="T1779" s="239"/>
      <c r="U1779" s="240"/>
      <c r="V1779" s="240"/>
      <c r="W1779" s="240"/>
      <c r="X1779" s="278"/>
      <c r="Y1779" s="237"/>
      <c r="Z1779" s="237"/>
      <c r="AA1779" s="279"/>
      <c r="AB1779" s="238" t="s">
        <v>26194</v>
      </c>
      <c r="AC1779" s="196">
        <f t="shared" si="292"/>
        <v>200</v>
      </c>
      <c r="AD1779" s="196">
        <f t="shared" si="293"/>
        <v>200</v>
      </c>
      <c r="AE1779" s="196">
        <f t="shared" si="294"/>
        <v>0</v>
      </c>
      <c r="AF1779" s="2">
        <f t="shared" si="295"/>
        <v>200</v>
      </c>
      <c r="AG1779" s="2">
        <f t="shared" si="296"/>
        <v>0</v>
      </c>
    </row>
    <row r="1780" spans="1:33">
      <c r="A1780" s="20" t="s">
        <v>24138</v>
      </c>
      <c r="B1780" s="150"/>
      <c r="C1780" s="21" t="s">
        <v>24187</v>
      </c>
      <c r="D1780" s="109" t="s">
        <v>3133</v>
      </c>
      <c r="E1780" s="109"/>
      <c r="F1780" s="391" t="s">
        <v>24188</v>
      </c>
      <c r="G1780" s="23" t="s">
        <v>13942</v>
      </c>
      <c r="H1780" s="23"/>
      <c r="I1780" s="23"/>
      <c r="J1780" s="23"/>
      <c r="K1780" s="23"/>
      <c r="L1780" s="375" t="s">
        <v>45</v>
      </c>
      <c r="M1780" s="351"/>
      <c r="N1780" s="267">
        <f t="shared" ref="N1780" si="310">SUM(L1780:M1780)</f>
        <v>0</v>
      </c>
      <c r="O1780" s="268">
        <f t="shared" ref="O1780" si="311">SUM(P1780:Z1780)</f>
        <v>100</v>
      </c>
      <c r="P1780" s="239"/>
      <c r="Q1780" s="239"/>
      <c r="R1780" s="239"/>
      <c r="S1780" s="239"/>
      <c r="T1780" s="239"/>
      <c r="U1780" s="240"/>
      <c r="V1780" s="240">
        <f>500-400</f>
        <v>100</v>
      </c>
      <c r="W1780" s="240"/>
      <c r="X1780" s="278"/>
      <c r="Y1780" s="237"/>
      <c r="Z1780" s="237"/>
      <c r="AA1780" s="279"/>
      <c r="AB1780" s="238" t="s">
        <v>26658</v>
      </c>
      <c r="AC1780" s="196">
        <f t="shared" si="292"/>
        <v>100</v>
      </c>
      <c r="AD1780" s="196">
        <f t="shared" si="293"/>
        <v>100</v>
      </c>
      <c r="AE1780" s="196">
        <f t="shared" si="294"/>
        <v>0</v>
      </c>
      <c r="AF1780" s="2">
        <f t="shared" si="295"/>
        <v>100</v>
      </c>
      <c r="AG1780" s="2">
        <f t="shared" si="296"/>
        <v>0</v>
      </c>
    </row>
    <row r="1781" spans="1:33">
      <c r="A1781" s="20" t="s">
        <v>1874</v>
      </c>
      <c r="B1781" s="150"/>
      <c r="C1781" s="21" t="s">
        <v>289</v>
      </c>
      <c r="D1781" s="109" t="s">
        <v>13945</v>
      </c>
      <c r="E1781" s="109" t="s">
        <v>14600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4"/>
        <v>0</v>
      </c>
      <c r="O1781" s="268">
        <f t="shared" si="285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2"/>
        <v>0</v>
      </c>
      <c r="AD1781" s="196">
        <f t="shared" si="293"/>
        <v>0</v>
      </c>
      <c r="AE1781" s="196">
        <f t="shared" si="294"/>
        <v>0</v>
      </c>
      <c r="AF1781" s="2">
        <f t="shared" si="295"/>
        <v>0</v>
      </c>
      <c r="AG1781" s="2">
        <f t="shared" si="296"/>
        <v>0</v>
      </c>
    </row>
    <row r="1782" spans="1:33">
      <c r="A1782" s="20" t="s">
        <v>1872</v>
      </c>
      <c r="B1782" s="150"/>
      <c r="C1782" s="21" t="s">
        <v>289</v>
      </c>
      <c r="D1782" s="109" t="s">
        <v>13612</v>
      </c>
      <c r="E1782" s="109" t="s">
        <v>13611</v>
      </c>
      <c r="F1782" s="391" t="s">
        <v>15087</v>
      </c>
      <c r="G1782" s="23"/>
      <c r="H1782" s="23"/>
      <c r="I1782" s="23"/>
      <c r="J1782" s="23"/>
      <c r="K1782" s="23"/>
      <c r="L1782" s="350"/>
      <c r="M1782" s="351"/>
      <c r="N1782" s="267">
        <f t="shared" si="284"/>
        <v>0</v>
      </c>
      <c r="O1782" s="268">
        <f t="shared" si="285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79"/>
      <c r="AB1782" s="238"/>
      <c r="AC1782" s="196">
        <f t="shared" si="292"/>
        <v>0</v>
      </c>
      <c r="AD1782" s="196">
        <f t="shared" si="293"/>
        <v>0</v>
      </c>
      <c r="AE1782" s="196">
        <f t="shared" si="294"/>
        <v>0</v>
      </c>
      <c r="AF1782" s="2">
        <f t="shared" si="295"/>
        <v>0</v>
      </c>
      <c r="AG1782" s="2">
        <f t="shared" si="296"/>
        <v>0</v>
      </c>
    </row>
    <row r="1783" spans="1:33">
      <c r="A1783" s="20" t="s">
        <v>1873</v>
      </c>
      <c r="B1783" s="150"/>
      <c r="C1783" s="21" t="s">
        <v>289</v>
      </c>
      <c r="D1783" s="109" t="s">
        <v>13613</v>
      </c>
      <c r="E1783" s="109"/>
      <c r="F1783" s="391" t="s">
        <v>15087</v>
      </c>
      <c r="G1783" s="23" t="s">
        <v>14866</v>
      </c>
      <c r="H1783" s="23"/>
      <c r="I1783" s="23"/>
      <c r="J1783" s="23"/>
      <c r="K1783" s="23"/>
      <c r="L1783" s="375" t="s">
        <v>7787</v>
      </c>
      <c r="M1783" s="351"/>
      <c r="N1783" s="267">
        <f t="shared" si="284"/>
        <v>0</v>
      </c>
      <c r="O1783" s="268">
        <f t="shared" si="285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39"/>
      <c r="AB1783" s="238"/>
      <c r="AC1783" s="196">
        <f t="shared" si="292"/>
        <v>0</v>
      </c>
      <c r="AD1783" s="196">
        <f t="shared" si="293"/>
        <v>0</v>
      </c>
      <c r="AE1783" s="196">
        <f t="shared" si="294"/>
        <v>0</v>
      </c>
      <c r="AF1783" s="2">
        <f t="shared" si="295"/>
        <v>0</v>
      </c>
      <c r="AG1783" s="2">
        <f t="shared" si="296"/>
        <v>0</v>
      </c>
    </row>
    <row r="1784" spans="1:33">
      <c r="A1784" s="20" t="s">
        <v>1875</v>
      </c>
      <c r="B1784" s="150"/>
      <c r="C1784" s="21" t="s">
        <v>289</v>
      </c>
      <c r="D1784" s="109" t="s">
        <v>13955</v>
      </c>
      <c r="E1784" s="109"/>
      <c r="F1784" s="391" t="s">
        <v>15087</v>
      </c>
      <c r="G1784" s="23"/>
      <c r="H1784" s="23"/>
      <c r="I1784" s="23"/>
      <c r="J1784" s="23"/>
      <c r="K1784" s="23"/>
      <c r="L1784" s="350"/>
      <c r="M1784" s="351"/>
      <c r="N1784" s="267">
        <f t="shared" si="284"/>
        <v>0</v>
      </c>
      <c r="O1784" s="268">
        <f t="shared" si="285"/>
        <v>0</v>
      </c>
      <c r="P1784" s="239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2"/>
        <v>0</v>
      </c>
      <c r="AD1784" s="196">
        <f t="shared" si="293"/>
        <v>0</v>
      </c>
      <c r="AE1784" s="196">
        <f t="shared" si="294"/>
        <v>0</v>
      </c>
      <c r="AF1784" s="2">
        <f t="shared" si="295"/>
        <v>0</v>
      </c>
      <c r="AG1784" s="2">
        <f t="shared" si="296"/>
        <v>0</v>
      </c>
    </row>
    <row r="1785" spans="1:33">
      <c r="A1785" s="20" t="s">
        <v>23171</v>
      </c>
      <c r="B1785" s="150"/>
      <c r="C1785" s="21" t="s">
        <v>23218</v>
      </c>
      <c r="D1785" s="109" t="s">
        <v>3137</v>
      </c>
      <c r="E1785" s="109" t="s">
        <v>25528</v>
      </c>
      <c r="F1785" s="391" t="s">
        <v>23222</v>
      </c>
      <c r="G1785" s="23" t="s">
        <v>21282</v>
      </c>
      <c r="H1785" s="23" t="s">
        <v>25529</v>
      </c>
      <c r="I1785" s="23"/>
      <c r="J1785" s="23"/>
      <c r="K1785" s="23"/>
      <c r="L1785" s="375">
        <v>100</v>
      </c>
      <c r="M1785" s="351" t="s">
        <v>27991</v>
      </c>
      <c r="N1785" s="267">
        <f t="shared" ref="N1785:N1852" si="312">SUM(L1785:M1785)</f>
        <v>100</v>
      </c>
      <c r="O1785" s="268">
        <f t="shared" ref="O1785:O1852" si="313">SUM(P1785:Z1785)</f>
        <v>0</v>
      </c>
      <c r="P1785" s="240"/>
      <c r="Q1785" s="239"/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/>
      <c r="AC1785" s="196">
        <f t="shared" si="292"/>
        <v>0</v>
      </c>
      <c r="AD1785" s="196">
        <f t="shared" si="293"/>
        <v>0</v>
      </c>
      <c r="AE1785" s="196">
        <f t="shared" si="294"/>
        <v>0</v>
      </c>
      <c r="AF1785" s="2">
        <f t="shared" si="295"/>
        <v>0</v>
      </c>
      <c r="AG1785" s="2">
        <f t="shared" si="296"/>
        <v>0</v>
      </c>
    </row>
    <row r="1786" spans="1:33">
      <c r="A1786" s="20" t="s">
        <v>23072</v>
      </c>
      <c r="B1786" s="150"/>
      <c r="C1786" s="21" t="s">
        <v>23095</v>
      </c>
      <c r="D1786" s="109" t="s">
        <v>3137</v>
      </c>
      <c r="E1786" s="109"/>
      <c r="F1786" s="391" t="s">
        <v>23097</v>
      </c>
      <c r="G1786" s="23" t="s">
        <v>23096</v>
      </c>
      <c r="H1786" s="23" t="s">
        <v>26830</v>
      </c>
      <c r="I1786" s="23"/>
      <c r="J1786" s="23"/>
      <c r="K1786" s="23"/>
      <c r="L1786" s="375" t="s">
        <v>27603</v>
      </c>
      <c r="M1786" s="351" t="s">
        <v>45</v>
      </c>
      <c r="N1786" s="267">
        <f t="shared" si="312"/>
        <v>0</v>
      </c>
      <c r="O1786" s="268">
        <f t="shared" si="313"/>
        <v>400</v>
      </c>
      <c r="P1786" s="239"/>
      <c r="Q1786" s="239">
        <f>750-350</f>
        <v>400</v>
      </c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 t="s">
        <v>27598</v>
      </c>
      <c r="AC1786" s="196">
        <f t="shared" si="292"/>
        <v>400</v>
      </c>
      <c r="AD1786" s="196">
        <f t="shared" si="293"/>
        <v>400</v>
      </c>
      <c r="AE1786" s="196">
        <f t="shared" si="294"/>
        <v>0</v>
      </c>
      <c r="AF1786" s="2">
        <f t="shared" si="295"/>
        <v>400</v>
      </c>
      <c r="AG1786" s="2">
        <f t="shared" si="296"/>
        <v>0</v>
      </c>
    </row>
    <row r="1787" spans="1:33">
      <c r="A1787" s="20" t="s">
        <v>23069</v>
      </c>
      <c r="B1787" s="150"/>
      <c r="C1787" s="21" t="s">
        <v>23065</v>
      </c>
      <c r="D1787" s="109" t="s">
        <v>3137</v>
      </c>
      <c r="E1787" s="109"/>
      <c r="F1787" s="391" t="s">
        <v>23081</v>
      </c>
      <c r="G1787" s="23" t="s">
        <v>13215</v>
      </c>
      <c r="H1787" s="23"/>
      <c r="I1787" s="23"/>
      <c r="J1787" s="23"/>
      <c r="K1787" s="23"/>
      <c r="L1787" s="375" t="s">
        <v>7787</v>
      </c>
      <c r="M1787" s="351"/>
      <c r="N1787" s="267">
        <f t="shared" si="312"/>
        <v>0</v>
      </c>
      <c r="O1787" s="268">
        <f t="shared" si="313"/>
        <v>0</v>
      </c>
      <c r="P1787" s="239"/>
      <c r="Q1787" s="239"/>
      <c r="R1787" s="239"/>
      <c r="S1787" s="239"/>
      <c r="T1787" s="239"/>
      <c r="U1787" s="240"/>
      <c r="V1787" s="240"/>
      <c r="W1787" s="240"/>
      <c r="X1787" s="278"/>
      <c r="Y1787" s="237"/>
      <c r="Z1787" s="237"/>
      <c r="AA1787" s="279"/>
      <c r="AB1787" s="238"/>
      <c r="AC1787" s="196">
        <f t="shared" si="292"/>
        <v>0</v>
      </c>
      <c r="AD1787" s="196">
        <f t="shared" si="293"/>
        <v>0</v>
      </c>
      <c r="AE1787" s="196">
        <f t="shared" si="294"/>
        <v>0</v>
      </c>
      <c r="AF1787" s="2">
        <f t="shared" si="295"/>
        <v>0</v>
      </c>
      <c r="AG1787" s="2">
        <f t="shared" si="296"/>
        <v>0</v>
      </c>
    </row>
    <row r="1788" spans="1:33">
      <c r="A1788" s="20" t="s">
        <v>23172</v>
      </c>
      <c r="B1788" s="150"/>
      <c r="C1788" s="21" t="s">
        <v>23224</v>
      </c>
      <c r="D1788" s="109" t="s">
        <v>3137</v>
      </c>
      <c r="E1788" s="109"/>
      <c r="F1788" s="391" t="s">
        <v>23226</v>
      </c>
      <c r="G1788" s="23" t="s">
        <v>13942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2"/>
        <v>0</v>
      </c>
      <c r="O1788" s="268">
        <f t="shared" si="313"/>
        <v>0</v>
      </c>
      <c r="P1788" s="240"/>
      <c r="Q1788" s="240"/>
      <c r="R1788" s="239"/>
      <c r="S1788" s="239"/>
      <c r="T1788" s="239"/>
      <c r="U1788" s="240"/>
      <c r="V1788" s="240"/>
      <c r="W1788" s="240"/>
      <c r="X1788" s="278"/>
      <c r="Y1788" s="243"/>
      <c r="Z1788" s="237"/>
      <c r="AA1788" s="279"/>
      <c r="AB1788" s="238"/>
      <c r="AC1788" s="196">
        <f t="shared" si="292"/>
        <v>0</v>
      </c>
      <c r="AD1788" s="196">
        <f t="shared" si="293"/>
        <v>0</v>
      </c>
      <c r="AE1788" s="196">
        <f t="shared" si="294"/>
        <v>0</v>
      </c>
      <c r="AF1788" s="2">
        <f t="shared" si="295"/>
        <v>0</v>
      </c>
      <c r="AG1788" s="2">
        <f t="shared" si="296"/>
        <v>0</v>
      </c>
    </row>
    <row r="1789" spans="1:33">
      <c r="A1789" s="20" t="s">
        <v>23075</v>
      </c>
      <c r="B1789" s="150"/>
      <c r="C1789" s="21" t="s">
        <v>23102</v>
      </c>
      <c r="D1789" s="109" t="s">
        <v>3137</v>
      </c>
      <c r="E1789" s="109" t="s">
        <v>23083</v>
      </c>
      <c r="F1789" s="391" t="s">
        <v>23106</v>
      </c>
      <c r="G1789" s="23" t="s">
        <v>23119</v>
      </c>
      <c r="H1789" s="23"/>
      <c r="I1789" s="23"/>
      <c r="J1789" s="23"/>
      <c r="K1789" s="23"/>
      <c r="L1789" s="375" t="s">
        <v>7787</v>
      </c>
      <c r="M1789" s="351" t="s">
        <v>7787</v>
      </c>
      <c r="N1789" s="267">
        <f t="shared" si="312"/>
        <v>0</v>
      </c>
      <c r="O1789" s="268">
        <f t="shared" si="313"/>
        <v>650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9">
        <f>750-100</f>
        <v>650</v>
      </c>
      <c r="Z1789" s="237"/>
      <c r="AA1789" s="279"/>
      <c r="AB1789" s="238"/>
      <c r="AC1789" s="196">
        <f t="shared" si="292"/>
        <v>650</v>
      </c>
      <c r="AD1789" s="196">
        <f t="shared" si="293"/>
        <v>650</v>
      </c>
      <c r="AE1789" s="196">
        <f t="shared" si="294"/>
        <v>0</v>
      </c>
      <c r="AF1789" s="2">
        <f t="shared" si="295"/>
        <v>650</v>
      </c>
      <c r="AG1789" s="2">
        <f t="shared" si="296"/>
        <v>0</v>
      </c>
    </row>
    <row r="1790" spans="1:33">
      <c r="A1790" s="20" t="s">
        <v>1876</v>
      </c>
      <c r="B1790" s="151" t="s">
        <v>15088</v>
      </c>
      <c r="C1790" s="21" t="s">
        <v>290</v>
      </c>
      <c r="D1790" s="109" t="s">
        <v>13949</v>
      </c>
      <c r="E1790" s="109"/>
      <c r="F1790" s="391" t="s">
        <v>15089</v>
      </c>
      <c r="G1790" s="23" t="s">
        <v>14562</v>
      </c>
      <c r="H1790" s="23" t="s">
        <v>13942</v>
      </c>
      <c r="I1790" s="23"/>
      <c r="J1790" s="23"/>
      <c r="K1790" s="23"/>
      <c r="L1790" s="375" t="s">
        <v>7787</v>
      </c>
      <c r="M1790" s="351"/>
      <c r="N1790" s="267">
        <f t="shared" si="312"/>
        <v>0</v>
      </c>
      <c r="O1790" s="268">
        <f t="shared" si="313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2"/>
        <v>0</v>
      </c>
      <c r="AD1790" s="196">
        <f t="shared" si="293"/>
        <v>0</v>
      </c>
      <c r="AE1790" s="196">
        <f t="shared" si="294"/>
        <v>0</v>
      </c>
      <c r="AF1790" s="2">
        <f t="shared" si="295"/>
        <v>0</v>
      </c>
      <c r="AG1790" s="2">
        <f t="shared" si="296"/>
        <v>0</v>
      </c>
    </row>
    <row r="1791" spans="1:33">
      <c r="A1791" s="20" t="s">
        <v>23822</v>
      </c>
      <c r="B1791" s="156"/>
      <c r="C1791" s="21" t="s">
        <v>23891</v>
      </c>
      <c r="D1791" s="109" t="s">
        <v>3137</v>
      </c>
      <c r="E1791" s="109"/>
      <c r="F1791" s="391" t="s">
        <v>23892</v>
      </c>
      <c r="G1791" s="23" t="s">
        <v>17522</v>
      </c>
      <c r="H1791" s="23"/>
      <c r="I1791" s="23"/>
      <c r="J1791" s="23"/>
      <c r="K1791" s="23"/>
      <c r="L1791" s="375"/>
      <c r="M1791" s="351"/>
      <c r="N1791" s="267">
        <f t="shared" si="312"/>
        <v>0</v>
      </c>
      <c r="O1791" s="268">
        <f t="shared" si="313"/>
        <v>0</v>
      </c>
      <c r="P1791" s="239"/>
      <c r="Q1791" s="239"/>
      <c r="R1791" s="239"/>
      <c r="S1791" s="239"/>
      <c r="T1791" s="239"/>
      <c r="U1791" s="240"/>
      <c r="V1791" s="240"/>
      <c r="W1791" s="240"/>
      <c r="X1791" s="278"/>
      <c r="Y1791" s="237"/>
      <c r="Z1791" s="237"/>
      <c r="AA1791" s="279"/>
      <c r="AB1791" s="238"/>
      <c r="AC1791" s="196">
        <f t="shared" si="292"/>
        <v>0</v>
      </c>
      <c r="AD1791" s="196">
        <f t="shared" si="293"/>
        <v>0</v>
      </c>
      <c r="AE1791" s="196">
        <f t="shared" si="294"/>
        <v>0</v>
      </c>
      <c r="AF1791" s="2">
        <f t="shared" si="295"/>
        <v>0</v>
      </c>
      <c r="AG1791" s="2">
        <f t="shared" si="296"/>
        <v>0</v>
      </c>
    </row>
    <row r="1792" spans="1:33">
      <c r="A1792" s="20" t="s">
        <v>23117</v>
      </c>
      <c r="B1792" s="156"/>
      <c r="C1792" s="21" t="s">
        <v>23150</v>
      </c>
      <c r="D1792" s="109" t="s">
        <v>3137</v>
      </c>
      <c r="E1792" s="109"/>
      <c r="F1792" s="391" t="s">
        <v>23175</v>
      </c>
      <c r="G1792" s="23" t="s">
        <v>23189</v>
      </c>
      <c r="H1792" s="23"/>
      <c r="I1792" s="23"/>
      <c r="J1792" s="23"/>
      <c r="K1792" s="23"/>
      <c r="L1792" s="375" t="s">
        <v>45</v>
      </c>
      <c r="M1792" s="351" t="s">
        <v>45</v>
      </c>
      <c r="N1792" s="267">
        <f t="shared" si="312"/>
        <v>0</v>
      </c>
      <c r="O1792" s="268">
        <f t="shared" si="313"/>
        <v>7750</v>
      </c>
      <c r="P1792" s="239"/>
      <c r="Q1792" s="239">
        <f>2400-1350+1000+4250+2500-5000+1500+2250+200-1000</f>
        <v>6750</v>
      </c>
      <c r="R1792" s="239"/>
      <c r="S1792" s="239"/>
      <c r="T1792" s="239"/>
      <c r="U1792" s="240"/>
      <c r="V1792" s="240"/>
      <c r="W1792" s="240"/>
      <c r="X1792" s="278"/>
      <c r="Y1792" s="237">
        <v>1000</v>
      </c>
      <c r="Z1792" s="237"/>
      <c r="AA1792" s="279"/>
      <c r="AB1792" s="238" t="s">
        <v>25293</v>
      </c>
      <c r="AC1792" s="196">
        <f t="shared" si="292"/>
        <v>7750</v>
      </c>
      <c r="AD1792" s="196">
        <f t="shared" si="293"/>
        <v>7750</v>
      </c>
      <c r="AE1792" s="196">
        <f t="shared" si="294"/>
        <v>0</v>
      </c>
      <c r="AF1792" s="2">
        <f t="shared" si="295"/>
        <v>7750</v>
      </c>
      <c r="AG1792" s="2">
        <f t="shared" si="296"/>
        <v>0</v>
      </c>
    </row>
    <row r="1793" spans="1:33">
      <c r="A1793" s="20" t="s">
        <v>23635</v>
      </c>
      <c r="B1793" s="156"/>
      <c r="C1793" s="21" t="s">
        <v>23659</v>
      </c>
      <c r="D1793" s="109" t="s">
        <v>3137</v>
      </c>
      <c r="E1793" s="109" t="s">
        <v>23660</v>
      </c>
      <c r="F1793" s="391" t="s">
        <v>22258</v>
      </c>
      <c r="G1793" s="23" t="s">
        <v>13942</v>
      </c>
      <c r="H1793" s="23"/>
      <c r="I1793" s="23"/>
      <c r="J1793" s="23"/>
      <c r="K1793" s="23"/>
      <c r="L1793" s="375" t="s">
        <v>28053</v>
      </c>
      <c r="M1793" s="351"/>
      <c r="N1793" s="267">
        <f t="shared" si="312"/>
        <v>0</v>
      </c>
      <c r="O1793" s="268">
        <f t="shared" si="313"/>
        <v>600</v>
      </c>
      <c r="P1793" s="239"/>
      <c r="Q1793" s="239"/>
      <c r="R1793" s="239"/>
      <c r="S1793" s="239"/>
      <c r="T1793" s="239"/>
      <c r="U1793" s="239">
        <v>600</v>
      </c>
      <c r="V1793" s="240"/>
      <c r="W1793" s="240"/>
      <c r="X1793" s="278"/>
      <c r="Y1793" s="237"/>
      <c r="Z1793" s="237"/>
      <c r="AA1793" s="279"/>
      <c r="AB1793" s="238" t="s">
        <v>28037</v>
      </c>
      <c r="AC1793" s="196">
        <f t="shared" si="292"/>
        <v>600</v>
      </c>
      <c r="AD1793" s="196">
        <f t="shared" si="293"/>
        <v>600</v>
      </c>
      <c r="AE1793" s="196">
        <f t="shared" si="294"/>
        <v>0</v>
      </c>
      <c r="AF1793" s="2">
        <f t="shared" si="295"/>
        <v>600</v>
      </c>
      <c r="AG1793" s="2">
        <f t="shared" si="296"/>
        <v>0</v>
      </c>
    </row>
    <row r="1794" spans="1:33">
      <c r="A1794" s="20" t="s">
        <v>23294</v>
      </c>
      <c r="B1794" s="156"/>
      <c r="C1794" s="21" t="s">
        <v>23339</v>
      </c>
      <c r="D1794" s="109" t="s">
        <v>3133</v>
      </c>
      <c r="E1794" s="109"/>
      <c r="F1794" s="391" t="s">
        <v>23368</v>
      </c>
      <c r="G1794" s="23" t="s">
        <v>13629</v>
      </c>
      <c r="H1794" s="23"/>
      <c r="I1794" s="23"/>
      <c r="J1794" s="23"/>
      <c r="K1794" s="23"/>
      <c r="L1794" s="375" t="s">
        <v>7787</v>
      </c>
      <c r="M1794" s="351"/>
      <c r="N1794" s="267">
        <f t="shared" si="312"/>
        <v>0</v>
      </c>
      <c r="O1794" s="268">
        <f t="shared" si="313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2"/>
        <v>0</v>
      </c>
      <c r="AD1794" s="196">
        <f t="shared" si="293"/>
        <v>0</v>
      </c>
      <c r="AE1794" s="196">
        <f t="shared" si="294"/>
        <v>0</v>
      </c>
      <c r="AF1794" s="2">
        <f t="shared" si="295"/>
        <v>0</v>
      </c>
      <c r="AG1794" s="2">
        <f t="shared" si="296"/>
        <v>0</v>
      </c>
    </row>
    <row r="1795" spans="1:33">
      <c r="A1795" s="20" t="s">
        <v>23291</v>
      </c>
      <c r="B1795" s="156"/>
      <c r="C1795" s="21" t="s">
        <v>23316</v>
      </c>
      <c r="D1795" s="109" t="s">
        <v>3137</v>
      </c>
      <c r="E1795" s="109"/>
      <c r="F1795" s="391" t="s">
        <v>23322</v>
      </c>
      <c r="G1795" s="23" t="s">
        <v>23342</v>
      </c>
      <c r="H1795" s="23"/>
      <c r="I1795" s="23"/>
      <c r="J1795" s="23"/>
      <c r="K1795" s="23"/>
      <c r="L1795" s="375" t="s">
        <v>7787</v>
      </c>
      <c r="M1795" s="351"/>
      <c r="N1795" s="267">
        <f t="shared" si="312"/>
        <v>0</v>
      </c>
      <c r="O1795" s="268">
        <f t="shared" si="313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2"/>
        <v>0</v>
      </c>
      <c r="AD1795" s="196">
        <f t="shared" si="293"/>
        <v>0</v>
      </c>
      <c r="AE1795" s="196">
        <f t="shared" si="294"/>
        <v>0</v>
      </c>
      <c r="AF1795" s="2">
        <f t="shared" si="295"/>
        <v>0</v>
      </c>
      <c r="AG1795" s="2">
        <f t="shared" si="296"/>
        <v>0</v>
      </c>
    </row>
    <row r="1796" spans="1:33">
      <c r="A1796" s="20" t="s">
        <v>1877</v>
      </c>
      <c r="B1796" s="150"/>
      <c r="C1796" s="21" t="s">
        <v>291</v>
      </c>
      <c r="D1796" s="109" t="s">
        <v>13949</v>
      </c>
      <c r="E1796" s="109"/>
      <c r="F1796" s="391" t="s">
        <v>15090</v>
      </c>
      <c r="G1796" s="23" t="s">
        <v>14562</v>
      </c>
      <c r="H1796" s="23"/>
      <c r="I1796" s="23"/>
      <c r="J1796" s="23"/>
      <c r="K1796" s="23"/>
      <c r="L1796" s="350"/>
      <c r="M1796" s="351"/>
      <c r="N1796" s="267">
        <f t="shared" si="312"/>
        <v>0</v>
      </c>
      <c r="O1796" s="268">
        <f t="shared" si="313"/>
        <v>0</v>
      </c>
      <c r="P1796" s="239"/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79"/>
      <c r="AB1796" s="238"/>
      <c r="AC1796" s="196">
        <f t="shared" si="292"/>
        <v>0</v>
      </c>
      <c r="AD1796" s="196">
        <f t="shared" si="293"/>
        <v>0</v>
      </c>
      <c r="AE1796" s="196">
        <f t="shared" si="294"/>
        <v>0</v>
      </c>
      <c r="AF1796" s="2">
        <f t="shared" si="295"/>
        <v>0</v>
      </c>
      <c r="AG1796" s="2">
        <f t="shared" si="296"/>
        <v>0</v>
      </c>
    </row>
    <row r="1797" spans="1:33">
      <c r="A1797" s="20" t="s">
        <v>1878</v>
      </c>
      <c r="B1797" s="150"/>
      <c r="C1797" s="21" t="s">
        <v>291</v>
      </c>
      <c r="D1797" s="109" t="s">
        <v>13613</v>
      </c>
      <c r="E1797" s="109"/>
      <c r="F1797" s="391" t="s">
        <v>15090</v>
      </c>
      <c r="G1797" s="23" t="s">
        <v>25101</v>
      </c>
      <c r="H1797" s="23"/>
      <c r="I1797" s="23"/>
      <c r="J1797" s="23"/>
      <c r="K1797" s="23"/>
      <c r="L1797" s="375" t="s">
        <v>7787</v>
      </c>
      <c r="M1797" s="351" t="s">
        <v>7787</v>
      </c>
      <c r="N1797" s="267">
        <f t="shared" si="312"/>
        <v>0</v>
      </c>
      <c r="O1797" s="268">
        <f t="shared" si="313"/>
        <v>100</v>
      </c>
      <c r="P1797" s="239">
        <f>300+300-500</f>
        <v>100</v>
      </c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85"/>
      <c r="AB1797" s="238" t="s">
        <v>25097</v>
      </c>
      <c r="AC1797" s="196">
        <f t="shared" si="292"/>
        <v>100</v>
      </c>
      <c r="AD1797" s="196">
        <f t="shared" si="293"/>
        <v>100</v>
      </c>
      <c r="AE1797" s="196">
        <f t="shared" si="294"/>
        <v>0</v>
      </c>
      <c r="AF1797" s="2">
        <f t="shared" si="295"/>
        <v>100</v>
      </c>
      <c r="AG1797" s="2">
        <f t="shared" si="296"/>
        <v>0</v>
      </c>
    </row>
    <row r="1798" spans="1:33">
      <c r="A1798" s="20" t="s">
        <v>1879</v>
      </c>
      <c r="B1798" s="150"/>
      <c r="C1798" s="21" t="s">
        <v>291</v>
      </c>
      <c r="D1798" s="109" t="s">
        <v>13955</v>
      </c>
      <c r="E1798" s="109"/>
      <c r="F1798" s="391" t="s">
        <v>15090</v>
      </c>
      <c r="G1798" s="23" t="s">
        <v>15091</v>
      </c>
      <c r="H1798" s="23"/>
      <c r="I1798" s="23"/>
      <c r="J1798" s="23"/>
      <c r="K1798" s="23"/>
      <c r="L1798" s="350"/>
      <c r="M1798" s="351"/>
      <c r="N1798" s="267">
        <f t="shared" si="312"/>
        <v>0</v>
      </c>
      <c r="O1798" s="268">
        <f t="shared" si="313"/>
        <v>0</v>
      </c>
      <c r="P1798" s="239"/>
      <c r="Q1798" s="239"/>
      <c r="R1798" s="239"/>
      <c r="S1798" s="239"/>
      <c r="T1798" s="239"/>
      <c r="U1798" s="240"/>
      <c r="V1798" s="240"/>
      <c r="W1798" s="240"/>
      <c r="X1798" s="278"/>
      <c r="Y1798" s="237"/>
      <c r="Z1798" s="237"/>
      <c r="AA1798" s="279"/>
      <c r="AB1798" s="238"/>
      <c r="AC1798" s="196">
        <f t="shared" si="292"/>
        <v>0</v>
      </c>
      <c r="AD1798" s="196">
        <f t="shared" si="293"/>
        <v>0</v>
      </c>
      <c r="AE1798" s="196">
        <f t="shared" si="294"/>
        <v>0</v>
      </c>
      <c r="AF1798" s="2">
        <f t="shared" si="295"/>
        <v>0</v>
      </c>
      <c r="AG1798" s="2">
        <f t="shared" si="296"/>
        <v>0</v>
      </c>
    </row>
    <row r="1799" spans="1:33">
      <c r="A1799" s="20" t="s">
        <v>24831</v>
      </c>
      <c r="B1799" s="150"/>
      <c r="C1799" s="21" t="s">
        <v>24874</v>
      </c>
      <c r="D1799" s="109" t="s">
        <v>3101</v>
      </c>
      <c r="E1799" s="109"/>
      <c r="F1799" s="391" t="s">
        <v>24885</v>
      </c>
      <c r="G1799" s="23" t="s">
        <v>14716</v>
      </c>
      <c r="H1799" s="23"/>
      <c r="I1799" s="23"/>
      <c r="J1799" s="23"/>
      <c r="K1799" s="23"/>
      <c r="L1799" s="375" t="s">
        <v>7787</v>
      </c>
      <c r="M1799" s="351"/>
      <c r="N1799" s="267">
        <f t="shared" ref="N1799" si="314">SUM(L1799:M1799)</f>
        <v>0</v>
      </c>
      <c r="O1799" s="268">
        <f t="shared" ref="O1799" si="315">SUM(P1799:Z1799)</f>
        <v>650</v>
      </c>
      <c r="P1799" s="239"/>
      <c r="Q1799" s="239"/>
      <c r="R1799" s="239"/>
      <c r="S1799" s="239"/>
      <c r="T1799" s="239"/>
      <c r="U1799" s="240">
        <f>650</f>
        <v>650</v>
      </c>
      <c r="V1799" s="240"/>
      <c r="W1799" s="240"/>
      <c r="X1799" s="278"/>
      <c r="Y1799" s="237"/>
      <c r="Z1799" s="237"/>
      <c r="AA1799" s="279"/>
      <c r="AB1799" s="238" t="s">
        <v>24886</v>
      </c>
      <c r="AC1799" s="196">
        <f t="shared" si="292"/>
        <v>650</v>
      </c>
      <c r="AD1799" s="196">
        <f t="shared" si="293"/>
        <v>650</v>
      </c>
      <c r="AE1799" s="196">
        <f t="shared" si="294"/>
        <v>0</v>
      </c>
      <c r="AF1799" s="2">
        <f t="shared" si="295"/>
        <v>650</v>
      </c>
      <c r="AG1799" s="2">
        <f t="shared" si="296"/>
        <v>0</v>
      </c>
    </row>
    <row r="1800" spans="1:33">
      <c r="A1800" s="20" t="s">
        <v>23292</v>
      </c>
      <c r="B1800" s="150"/>
      <c r="C1800" s="21" t="s">
        <v>23314</v>
      </c>
      <c r="D1800" s="109" t="s">
        <v>3933</v>
      </c>
      <c r="E1800" s="109"/>
      <c r="F1800" s="391" t="s">
        <v>23323</v>
      </c>
      <c r="G1800" s="23" t="s">
        <v>23324</v>
      </c>
      <c r="H1800" s="23"/>
      <c r="I1800" s="23"/>
      <c r="J1800" s="23"/>
      <c r="K1800" s="23"/>
      <c r="L1800" s="375" t="s">
        <v>7787</v>
      </c>
      <c r="M1800" s="351" t="s">
        <v>7787</v>
      </c>
      <c r="N1800" s="267">
        <f t="shared" si="312"/>
        <v>0</v>
      </c>
      <c r="O1800" s="268">
        <f t="shared" si="313"/>
        <v>0</v>
      </c>
      <c r="P1800" s="239"/>
      <c r="Q1800" s="239"/>
      <c r="R1800" s="239"/>
      <c r="S1800" s="239"/>
      <c r="T1800" s="239"/>
      <c r="U1800" s="240"/>
      <c r="V1800" s="240"/>
      <c r="W1800" s="240"/>
      <c r="X1800" s="278"/>
      <c r="Y1800" s="237"/>
      <c r="Z1800" s="237"/>
      <c r="AA1800" s="279"/>
      <c r="AB1800" s="238"/>
      <c r="AC1800" s="196">
        <f t="shared" si="292"/>
        <v>0</v>
      </c>
      <c r="AD1800" s="196">
        <f t="shared" si="293"/>
        <v>0</v>
      </c>
      <c r="AE1800" s="196">
        <f t="shared" si="294"/>
        <v>0</v>
      </c>
      <c r="AF1800" s="2">
        <f t="shared" si="295"/>
        <v>0</v>
      </c>
      <c r="AG1800" s="2">
        <f t="shared" si="296"/>
        <v>0</v>
      </c>
    </row>
    <row r="1801" spans="1:33">
      <c r="A1801" s="20" t="s">
        <v>23289</v>
      </c>
      <c r="B1801" s="150"/>
      <c r="C1801" s="21" t="s">
        <v>23315</v>
      </c>
      <c r="D1801" s="109" t="s">
        <v>3137</v>
      </c>
      <c r="E1801" s="109"/>
      <c r="F1801" s="435" t="s">
        <v>23317</v>
      </c>
      <c r="G1801" s="23" t="s">
        <v>15071</v>
      </c>
      <c r="H1801" s="23"/>
      <c r="I1801" s="23"/>
      <c r="J1801" s="23"/>
      <c r="K1801" s="23"/>
      <c r="L1801" s="375"/>
      <c r="M1801" s="351"/>
      <c r="N1801" s="267">
        <f t="shared" si="312"/>
        <v>0</v>
      </c>
      <c r="O1801" s="268">
        <f t="shared" si="313"/>
        <v>550</v>
      </c>
      <c r="P1801" s="239"/>
      <c r="Q1801" s="239"/>
      <c r="R1801" s="239"/>
      <c r="S1801" s="239"/>
      <c r="T1801" s="239"/>
      <c r="U1801" s="240">
        <f>350-200+700-300</f>
        <v>550</v>
      </c>
      <c r="V1801" s="240"/>
      <c r="W1801" s="240"/>
      <c r="X1801" s="278"/>
      <c r="Y1801" s="237"/>
      <c r="Z1801" s="237"/>
      <c r="AA1801" s="279"/>
      <c r="AB1801" s="238" t="s">
        <v>24310</v>
      </c>
      <c r="AC1801" s="196">
        <f t="shared" si="292"/>
        <v>550</v>
      </c>
      <c r="AD1801" s="196">
        <f t="shared" si="293"/>
        <v>550</v>
      </c>
      <c r="AE1801" s="196">
        <f t="shared" si="294"/>
        <v>0</v>
      </c>
      <c r="AF1801" s="2">
        <f t="shared" si="295"/>
        <v>550</v>
      </c>
      <c r="AG1801" s="2">
        <f t="shared" si="296"/>
        <v>0</v>
      </c>
    </row>
    <row r="1802" spans="1:33">
      <c r="A1802" s="20" t="s">
        <v>23364</v>
      </c>
      <c r="B1802" s="150"/>
      <c r="C1802" s="21" t="s">
        <v>23411</v>
      </c>
      <c r="D1802" s="109" t="s">
        <v>3137</v>
      </c>
      <c r="E1802" s="109"/>
      <c r="F1802" s="435" t="s">
        <v>23412</v>
      </c>
      <c r="G1802" s="23" t="s">
        <v>13942</v>
      </c>
      <c r="H1802" s="23"/>
      <c r="I1802" s="23"/>
      <c r="J1802" s="23"/>
      <c r="K1802" s="23"/>
      <c r="L1802" s="375"/>
      <c r="M1802" s="351" t="s">
        <v>7787</v>
      </c>
      <c r="N1802" s="267">
        <f t="shared" si="312"/>
        <v>0</v>
      </c>
      <c r="O1802" s="268">
        <f t="shared" si="313"/>
        <v>0</v>
      </c>
      <c r="P1802" s="239"/>
      <c r="Q1802" s="239"/>
      <c r="R1802" s="239"/>
      <c r="S1802" s="239"/>
      <c r="T1802" s="239"/>
      <c r="U1802" s="240"/>
      <c r="V1802" s="240"/>
      <c r="W1802" s="240"/>
      <c r="X1802" s="278"/>
      <c r="Y1802" s="237"/>
      <c r="Z1802" s="237"/>
      <c r="AA1802" s="279"/>
      <c r="AB1802" s="238"/>
      <c r="AC1802" s="196">
        <f t="shared" si="292"/>
        <v>0</v>
      </c>
      <c r="AD1802" s="196">
        <f t="shared" si="293"/>
        <v>0</v>
      </c>
      <c r="AE1802" s="196">
        <f t="shared" si="294"/>
        <v>0</v>
      </c>
      <c r="AF1802" s="2">
        <f t="shared" si="295"/>
        <v>0</v>
      </c>
      <c r="AG1802" s="2">
        <f t="shared" si="296"/>
        <v>0</v>
      </c>
    </row>
    <row r="1803" spans="1:33">
      <c r="A1803" s="20" t="s">
        <v>23474</v>
      </c>
      <c r="B1803" s="150"/>
      <c r="C1803" s="21" t="s">
        <v>23521</v>
      </c>
      <c r="D1803" s="109" t="s">
        <v>3137</v>
      </c>
      <c r="E1803" s="109"/>
      <c r="F1803" s="435" t="s">
        <v>23531</v>
      </c>
      <c r="G1803" s="23" t="s">
        <v>13942</v>
      </c>
      <c r="H1803" s="23"/>
      <c r="I1803" s="23"/>
      <c r="J1803" s="23"/>
      <c r="K1803" s="23"/>
      <c r="L1803" s="375" t="s">
        <v>7787</v>
      </c>
      <c r="M1803" s="351" t="s">
        <v>7787</v>
      </c>
      <c r="N1803" s="267">
        <f t="shared" si="312"/>
        <v>0</v>
      </c>
      <c r="O1803" s="268">
        <f t="shared" si="313"/>
        <v>0</v>
      </c>
      <c r="P1803" s="239"/>
      <c r="Q1803" s="239"/>
      <c r="R1803" s="239"/>
      <c r="S1803" s="239"/>
      <c r="T1803" s="239"/>
      <c r="U1803" s="239"/>
      <c r="V1803" s="240"/>
      <c r="W1803" s="240"/>
      <c r="X1803" s="278"/>
      <c r="Y1803" s="237"/>
      <c r="Z1803" s="237"/>
      <c r="AA1803" s="279"/>
      <c r="AB1803" s="238"/>
      <c r="AC1803" s="196">
        <f t="shared" ref="AC1803:AC1867" si="316">SUM(P1803:AA1803)</f>
        <v>0</v>
      </c>
      <c r="AD1803" s="196">
        <f t="shared" ref="AD1803:AD1867" si="317">SUM(P1803:AB1803)</f>
        <v>0</v>
      </c>
      <c r="AE1803" s="196">
        <f t="shared" ref="AE1803:AE1867" si="318">SUM(AC1803-AD1803)</f>
        <v>0</v>
      </c>
      <c r="AF1803" s="2">
        <f t="shared" ref="AF1803:AF1867" si="319">+AC1803</f>
        <v>0</v>
      </c>
      <c r="AG1803" s="2">
        <f t="shared" ref="AG1803:AG1867" si="320">+AC1803-AF1803</f>
        <v>0</v>
      </c>
    </row>
    <row r="1804" spans="1:33">
      <c r="A1804" s="20" t="s">
        <v>23295</v>
      </c>
      <c r="B1804" s="150"/>
      <c r="C1804" s="21" t="s">
        <v>23341</v>
      </c>
      <c r="D1804" s="109" t="s">
        <v>3137</v>
      </c>
      <c r="E1804" s="109"/>
      <c r="F1804" s="435" t="s">
        <v>23369</v>
      </c>
      <c r="G1804" s="23" t="s">
        <v>13942</v>
      </c>
      <c r="H1804" s="23"/>
      <c r="I1804" s="23"/>
      <c r="J1804" s="23"/>
      <c r="K1804" s="23"/>
      <c r="L1804" s="375" t="s">
        <v>27930</v>
      </c>
      <c r="M1804" s="351"/>
      <c r="N1804" s="267">
        <f t="shared" si="312"/>
        <v>0</v>
      </c>
      <c r="O1804" s="268">
        <f t="shared" si="313"/>
        <v>200</v>
      </c>
      <c r="P1804" s="239"/>
      <c r="Q1804" s="239"/>
      <c r="R1804" s="239"/>
      <c r="S1804" s="239"/>
      <c r="T1804" s="239"/>
      <c r="U1804" s="240">
        <v>200</v>
      </c>
      <c r="V1804" s="240"/>
      <c r="W1804" s="240"/>
      <c r="X1804" s="278"/>
      <c r="Y1804" s="237"/>
      <c r="Z1804" s="237"/>
      <c r="AA1804" s="279"/>
      <c r="AB1804" s="238" t="s">
        <v>27927</v>
      </c>
      <c r="AC1804" s="196">
        <f t="shared" si="316"/>
        <v>200</v>
      </c>
      <c r="AD1804" s="196">
        <f t="shared" si="317"/>
        <v>200</v>
      </c>
      <c r="AE1804" s="196">
        <f t="shared" si="318"/>
        <v>0</v>
      </c>
      <c r="AF1804" s="2">
        <f t="shared" si="319"/>
        <v>200</v>
      </c>
      <c r="AG1804" s="2">
        <f t="shared" si="320"/>
        <v>0</v>
      </c>
    </row>
    <row r="1805" spans="1:33">
      <c r="A1805" s="20" t="s">
        <v>23470</v>
      </c>
      <c r="B1805" s="150"/>
      <c r="C1805" s="21" t="s">
        <v>23400</v>
      </c>
      <c r="D1805" s="109" t="s">
        <v>3137</v>
      </c>
      <c r="E1805" s="109"/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si="312"/>
        <v>0</v>
      </c>
      <c r="O1805" s="268">
        <f t="shared" si="313"/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6"/>
        <v>0</v>
      </c>
      <c r="AD1805" s="196">
        <f t="shared" si="317"/>
        <v>0</v>
      </c>
      <c r="AE1805" s="196">
        <f t="shared" si="318"/>
        <v>0</v>
      </c>
      <c r="AF1805" s="2">
        <f t="shared" si="319"/>
        <v>0</v>
      </c>
      <c r="AG1805" s="2">
        <f t="shared" si="320"/>
        <v>0</v>
      </c>
    </row>
    <row r="1806" spans="1:33">
      <c r="A1806" s="20" t="s">
        <v>25629</v>
      </c>
      <c r="B1806" s="150"/>
      <c r="C1806" s="21" t="s">
        <v>23400</v>
      </c>
      <c r="D1806" s="109" t="s">
        <v>3137</v>
      </c>
      <c r="E1806" s="109" t="s">
        <v>25591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/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0</v>
      </c>
      <c r="P1806" s="239"/>
      <c r="Q1806" s="239"/>
      <c r="R1806" s="239"/>
      <c r="S1806" s="239"/>
      <c r="T1806" s="239"/>
      <c r="U1806" s="239"/>
      <c r="V1806" s="240"/>
      <c r="W1806" s="240"/>
      <c r="X1806" s="278"/>
      <c r="Y1806" s="237"/>
      <c r="Z1806" s="237"/>
      <c r="AA1806" s="279"/>
      <c r="AB1806" s="238"/>
      <c r="AC1806" s="196">
        <f t="shared" si="316"/>
        <v>0</v>
      </c>
      <c r="AD1806" s="196">
        <f t="shared" si="317"/>
        <v>0</v>
      </c>
      <c r="AE1806" s="196">
        <f t="shared" si="318"/>
        <v>0</v>
      </c>
      <c r="AF1806" s="2">
        <f t="shared" si="319"/>
        <v>0</v>
      </c>
      <c r="AG1806" s="2">
        <f t="shared" si="320"/>
        <v>0</v>
      </c>
    </row>
    <row r="1807" spans="1:33">
      <c r="A1807" s="20" t="s">
        <v>26120</v>
      </c>
      <c r="B1807" s="150"/>
      <c r="C1807" s="21" t="s">
        <v>23400</v>
      </c>
      <c r="D1807" s="109" t="s">
        <v>3137</v>
      </c>
      <c r="E1807" s="109" t="s">
        <v>25959</v>
      </c>
      <c r="F1807" s="435" t="s">
        <v>23489</v>
      </c>
      <c r="G1807" s="23" t="s">
        <v>13942</v>
      </c>
      <c r="H1807" s="23"/>
      <c r="I1807" s="23"/>
      <c r="J1807" s="23"/>
      <c r="K1807" s="23"/>
      <c r="L1807" s="375" t="s">
        <v>27687</v>
      </c>
      <c r="M1807" s="351" t="s">
        <v>45</v>
      </c>
      <c r="N1807" s="267">
        <f t="shared" ref="N1807" si="323">SUM(L1807:M1807)</f>
        <v>0</v>
      </c>
      <c r="O1807" s="268">
        <f t="shared" ref="O1807" si="324">SUM(P1807:Z1807)</f>
        <v>2800</v>
      </c>
      <c r="P1807" s="239"/>
      <c r="Q1807" s="239"/>
      <c r="R1807" s="239"/>
      <c r="S1807" s="239"/>
      <c r="T1807" s="239"/>
      <c r="U1807" s="239">
        <f>3450-2000+1050+4050+1250-2000-3000</f>
        <v>2800</v>
      </c>
      <c r="V1807" s="240"/>
      <c r="W1807" s="240"/>
      <c r="X1807" s="278"/>
      <c r="Y1807" s="237"/>
      <c r="Z1807" s="237"/>
      <c r="AA1807" s="279"/>
      <c r="AB1807" s="238" t="s">
        <v>27702</v>
      </c>
      <c r="AC1807" s="196">
        <f t="shared" si="316"/>
        <v>2800</v>
      </c>
      <c r="AD1807" s="196">
        <f t="shared" si="317"/>
        <v>2800</v>
      </c>
      <c r="AE1807" s="196">
        <f t="shared" si="318"/>
        <v>0</v>
      </c>
      <c r="AF1807" s="2">
        <f t="shared" si="319"/>
        <v>2800</v>
      </c>
      <c r="AG1807" s="2">
        <f t="shared" si="320"/>
        <v>0</v>
      </c>
    </row>
    <row r="1808" spans="1:33">
      <c r="A1808" s="20" t="s">
        <v>23593</v>
      </c>
      <c r="B1808" s="150"/>
      <c r="C1808" s="21" t="s">
        <v>23620</v>
      </c>
      <c r="D1808" s="109" t="s">
        <v>3933</v>
      </c>
      <c r="E1808" s="109"/>
      <c r="F1808" s="435" t="s">
        <v>23643</v>
      </c>
      <c r="G1808" s="23" t="s">
        <v>13301</v>
      </c>
      <c r="H1808" s="23"/>
      <c r="I1808" s="23"/>
      <c r="J1808" s="23"/>
      <c r="K1808" s="23"/>
      <c r="L1808" s="375" t="s">
        <v>27571</v>
      </c>
      <c r="M1808" s="351" t="s">
        <v>45</v>
      </c>
      <c r="N1808" s="267">
        <f t="shared" si="312"/>
        <v>0</v>
      </c>
      <c r="O1808" s="268">
        <f t="shared" si="313"/>
        <v>800</v>
      </c>
      <c r="P1808" s="239"/>
      <c r="Q1808" s="239"/>
      <c r="R1808" s="239"/>
      <c r="S1808" s="239"/>
      <c r="T1808" s="239"/>
      <c r="U1808" s="240">
        <f>1950-150-1000</f>
        <v>800</v>
      </c>
      <c r="V1808" s="240"/>
      <c r="W1808" s="240"/>
      <c r="X1808" s="278"/>
      <c r="Y1808" s="237"/>
      <c r="Z1808" s="237"/>
      <c r="AA1808" s="279"/>
      <c r="AB1808" s="238" t="s">
        <v>27566</v>
      </c>
      <c r="AC1808" s="196">
        <f t="shared" si="316"/>
        <v>800</v>
      </c>
      <c r="AD1808" s="196">
        <f t="shared" si="317"/>
        <v>800</v>
      </c>
      <c r="AE1808" s="196">
        <f t="shared" si="318"/>
        <v>0</v>
      </c>
      <c r="AF1808" s="2">
        <f t="shared" si="319"/>
        <v>800</v>
      </c>
      <c r="AG1808" s="2">
        <f t="shared" si="320"/>
        <v>0</v>
      </c>
    </row>
    <row r="1809" spans="1:33">
      <c r="A1809" s="20" t="s">
        <v>23475</v>
      </c>
      <c r="B1809" s="150"/>
      <c r="C1809" s="21" t="s">
        <v>23525</v>
      </c>
      <c r="D1809" s="109" t="s">
        <v>3137</v>
      </c>
      <c r="E1809" s="109"/>
      <c r="F1809" s="435" t="s">
        <v>23532</v>
      </c>
      <c r="G1809" s="23" t="s">
        <v>13942</v>
      </c>
      <c r="H1809" s="23" t="s">
        <v>25500</v>
      </c>
      <c r="I1809" s="23" t="s">
        <v>26517</v>
      </c>
      <c r="J1809" s="23"/>
      <c r="K1809" s="23"/>
      <c r="L1809" s="375" t="s">
        <v>27500</v>
      </c>
      <c r="M1809" s="351" t="s">
        <v>45</v>
      </c>
      <c r="N1809" s="267">
        <f t="shared" si="312"/>
        <v>0</v>
      </c>
      <c r="O1809" s="268">
        <f t="shared" si="313"/>
        <v>2150</v>
      </c>
      <c r="P1809" s="239"/>
      <c r="Q1809" s="240">
        <f>850+1300</f>
        <v>2150</v>
      </c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 t="s">
        <v>27497</v>
      </c>
      <c r="AC1809" s="196">
        <f t="shared" si="316"/>
        <v>2150</v>
      </c>
      <c r="AD1809" s="196">
        <f t="shared" si="317"/>
        <v>2150</v>
      </c>
      <c r="AE1809" s="196">
        <f t="shared" si="318"/>
        <v>0</v>
      </c>
      <c r="AF1809" s="2">
        <f t="shared" si="319"/>
        <v>2150</v>
      </c>
      <c r="AG1809" s="2">
        <f t="shared" si="320"/>
        <v>0</v>
      </c>
    </row>
    <row r="1810" spans="1:33">
      <c r="A1810" s="20" t="s">
        <v>23585</v>
      </c>
      <c r="B1810" s="150"/>
      <c r="C1810" s="21" t="s">
        <v>23597</v>
      </c>
      <c r="D1810" s="109" t="s">
        <v>3137</v>
      </c>
      <c r="E1810" s="109"/>
      <c r="F1810" s="453" t="s">
        <v>23605</v>
      </c>
      <c r="G1810" s="23" t="s">
        <v>14785</v>
      </c>
      <c r="H1810" s="23"/>
      <c r="I1810" s="23"/>
      <c r="J1810" s="23"/>
      <c r="K1810" s="23"/>
      <c r="L1810" s="375"/>
      <c r="M1810" s="351"/>
      <c r="N1810" s="267">
        <f t="shared" si="312"/>
        <v>0</v>
      </c>
      <c r="O1810" s="268">
        <f t="shared" si="313"/>
        <v>0</v>
      </c>
      <c r="P1810" s="239"/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/>
      <c r="AC1810" s="196">
        <f t="shared" si="316"/>
        <v>0</v>
      </c>
      <c r="AD1810" s="196">
        <f t="shared" si="317"/>
        <v>0</v>
      </c>
      <c r="AE1810" s="196">
        <f t="shared" si="318"/>
        <v>0</v>
      </c>
      <c r="AF1810" s="2">
        <f t="shared" si="319"/>
        <v>0</v>
      </c>
      <c r="AG1810" s="2">
        <f t="shared" si="320"/>
        <v>0</v>
      </c>
    </row>
    <row r="1811" spans="1:33">
      <c r="A1811" s="20" t="s">
        <v>25810</v>
      </c>
      <c r="B1811" s="150"/>
      <c r="C1811" s="21" t="s">
        <v>23597</v>
      </c>
      <c r="D1811" s="109" t="s">
        <v>3137</v>
      </c>
      <c r="E1811" s="109" t="s">
        <v>25846</v>
      </c>
      <c r="F1811" s="454" t="s">
        <v>25847</v>
      </c>
      <c r="G1811" s="23" t="s">
        <v>14785</v>
      </c>
      <c r="H1811" s="23"/>
      <c r="I1811" s="23"/>
      <c r="J1811" s="23"/>
      <c r="K1811" s="23"/>
      <c r="L1811" s="375" t="s">
        <v>45</v>
      </c>
      <c r="M1811" s="351"/>
      <c r="N1811" s="267">
        <f t="shared" ref="N1811" si="325">SUM(L1811:M1811)</f>
        <v>0</v>
      </c>
      <c r="O1811" s="268">
        <f t="shared" ref="O1811" si="326">SUM(P1811:Z1811)</f>
        <v>50</v>
      </c>
      <c r="P1811" s="239">
        <f>2950+1650+750-5300</f>
        <v>50</v>
      </c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 t="s">
        <v>25928</v>
      </c>
      <c r="AC1811" s="196">
        <f t="shared" si="316"/>
        <v>50</v>
      </c>
      <c r="AD1811" s="196">
        <f t="shared" si="317"/>
        <v>50</v>
      </c>
      <c r="AE1811" s="196">
        <f t="shared" si="318"/>
        <v>0</v>
      </c>
      <c r="AF1811" s="2">
        <f t="shared" si="319"/>
        <v>50</v>
      </c>
      <c r="AG1811" s="2">
        <f t="shared" si="320"/>
        <v>0</v>
      </c>
    </row>
    <row r="1812" spans="1:33">
      <c r="A1812" s="20" t="s">
        <v>1880</v>
      </c>
      <c r="B1812" s="150"/>
      <c r="C1812" s="21" t="s">
        <v>292</v>
      </c>
      <c r="D1812" s="109" t="s">
        <v>13612</v>
      </c>
      <c r="E1812" s="109" t="s">
        <v>13611</v>
      </c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2"/>
        <v>0</v>
      </c>
      <c r="O1812" s="268">
        <f t="shared" si="313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6"/>
        <v>0</v>
      </c>
      <c r="AD1812" s="196">
        <f t="shared" si="317"/>
        <v>0</v>
      </c>
      <c r="AE1812" s="196">
        <f t="shared" si="318"/>
        <v>0</v>
      </c>
      <c r="AF1812" s="2">
        <f t="shared" si="319"/>
        <v>0</v>
      </c>
      <c r="AG1812" s="2">
        <f t="shared" si="320"/>
        <v>0</v>
      </c>
    </row>
    <row r="1813" spans="1:33">
      <c r="A1813" s="20" t="s">
        <v>1881</v>
      </c>
      <c r="B1813" s="150"/>
      <c r="C1813" s="21" t="s">
        <v>292</v>
      </c>
      <c r="D1813" s="109" t="s">
        <v>13949</v>
      </c>
      <c r="E1813" s="109"/>
      <c r="F1813" s="391" t="s">
        <v>15092</v>
      </c>
      <c r="G1813" s="23"/>
      <c r="H1813" s="23"/>
      <c r="I1813" s="23"/>
      <c r="J1813" s="23"/>
      <c r="K1813" s="23"/>
      <c r="L1813" s="350"/>
      <c r="M1813" s="351"/>
      <c r="N1813" s="267">
        <f t="shared" si="312"/>
        <v>0</v>
      </c>
      <c r="O1813" s="268">
        <f t="shared" si="313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6"/>
        <v>0</v>
      </c>
      <c r="AD1813" s="196">
        <f t="shared" si="317"/>
        <v>0</v>
      </c>
      <c r="AE1813" s="196">
        <f t="shared" si="318"/>
        <v>0</v>
      </c>
      <c r="AF1813" s="2">
        <f t="shared" si="319"/>
        <v>0</v>
      </c>
      <c r="AG1813" s="2">
        <f t="shared" si="320"/>
        <v>0</v>
      </c>
    </row>
    <row r="1814" spans="1:33">
      <c r="A1814" s="20" t="s">
        <v>23545</v>
      </c>
      <c r="B1814" s="150"/>
      <c r="C1814" s="21" t="s">
        <v>23581</v>
      </c>
      <c r="D1814" s="109" t="s">
        <v>3137</v>
      </c>
      <c r="E1814" s="109"/>
      <c r="F1814" s="391" t="s">
        <v>23583</v>
      </c>
      <c r="G1814" s="23" t="s">
        <v>14785</v>
      </c>
      <c r="H1814" s="23"/>
      <c r="I1814" s="23"/>
      <c r="J1814" s="23"/>
      <c r="K1814" s="23"/>
      <c r="L1814" s="375" t="s">
        <v>7787</v>
      </c>
      <c r="M1814" s="351"/>
      <c r="N1814" s="267">
        <f t="shared" si="312"/>
        <v>0</v>
      </c>
      <c r="O1814" s="268">
        <f t="shared" si="313"/>
        <v>0</v>
      </c>
      <c r="P1814" s="239"/>
      <c r="Q1814" s="239"/>
      <c r="R1814" s="239"/>
      <c r="S1814" s="239"/>
      <c r="T1814" s="239"/>
      <c r="U1814" s="240"/>
      <c r="V1814" s="240"/>
      <c r="W1814" s="240"/>
      <c r="X1814" s="278"/>
      <c r="Y1814" s="237"/>
      <c r="Z1814" s="237"/>
      <c r="AA1814" s="279"/>
      <c r="AB1814" s="238"/>
      <c r="AC1814" s="196">
        <f t="shared" si="316"/>
        <v>0</v>
      </c>
      <c r="AD1814" s="196">
        <f t="shared" si="317"/>
        <v>0</v>
      </c>
      <c r="AE1814" s="196">
        <f t="shared" si="318"/>
        <v>0</v>
      </c>
      <c r="AF1814" s="2">
        <f t="shared" si="319"/>
        <v>0</v>
      </c>
      <c r="AG1814" s="2">
        <f t="shared" si="320"/>
        <v>0</v>
      </c>
    </row>
    <row r="1815" spans="1:33">
      <c r="A1815" s="20" t="s">
        <v>23476</v>
      </c>
      <c r="B1815" s="150"/>
      <c r="C1815" s="21" t="s">
        <v>23520</v>
      </c>
      <c r="D1815" s="109" t="s">
        <v>3137</v>
      </c>
      <c r="E1815" s="109"/>
      <c r="F1815" s="391" t="s">
        <v>23533</v>
      </c>
      <c r="G1815" s="23" t="s">
        <v>13942</v>
      </c>
      <c r="H1815" s="23"/>
      <c r="I1815" s="23"/>
      <c r="J1815" s="23"/>
      <c r="K1815" s="23"/>
      <c r="L1815" s="375" t="s">
        <v>27747</v>
      </c>
      <c r="M1815" s="351" t="s">
        <v>45</v>
      </c>
      <c r="N1815" s="267">
        <f t="shared" si="312"/>
        <v>0</v>
      </c>
      <c r="O1815" s="268">
        <f t="shared" si="313"/>
        <v>950</v>
      </c>
      <c r="P1815" s="239"/>
      <c r="Q1815" s="239"/>
      <c r="R1815" s="239"/>
      <c r="S1815" s="239"/>
      <c r="T1815" s="239"/>
      <c r="U1815" s="240">
        <v>950</v>
      </c>
      <c r="V1815" s="240"/>
      <c r="W1815" s="240"/>
      <c r="X1815" s="278"/>
      <c r="Y1815" s="237"/>
      <c r="Z1815" s="237"/>
      <c r="AA1815" s="279"/>
      <c r="AB1815" s="238" t="s">
        <v>27738</v>
      </c>
      <c r="AC1815" s="196">
        <f t="shared" si="316"/>
        <v>950</v>
      </c>
      <c r="AD1815" s="196">
        <f t="shared" si="317"/>
        <v>950</v>
      </c>
      <c r="AE1815" s="196">
        <f t="shared" si="318"/>
        <v>0</v>
      </c>
      <c r="AF1815" s="2">
        <f t="shared" si="319"/>
        <v>950</v>
      </c>
      <c r="AG1815" s="2">
        <f t="shared" si="320"/>
        <v>0</v>
      </c>
    </row>
    <row r="1816" spans="1:33">
      <c r="A1816" s="20" t="s">
        <v>23592</v>
      </c>
      <c r="B1816" s="150"/>
      <c r="C1816" s="21" t="s">
        <v>23607</v>
      </c>
      <c r="D1816" s="109" t="s">
        <v>3137</v>
      </c>
      <c r="E1816" s="109"/>
      <c r="F1816" s="391" t="s">
        <v>23642</v>
      </c>
      <c r="G1816" s="23" t="s">
        <v>13370</v>
      </c>
      <c r="H1816" s="23"/>
      <c r="I1816" s="23"/>
      <c r="J1816" s="23"/>
      <c r="K1816" s="23"/>
      <c r="L1816" s="375" t="s">
        <v>7787</v>
      </c>
      <c r="M1816" s="351"/>
      <c r="N1816" s="267">
        <f t="shared" si="312"/>
        <v>0</v>
      </c>
      <c r="O1816" s="268">
        <f t="shared" si="313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6"/>
        <v>0</v>
      </c>
      <c r="AD1816" s="196">
        <f t="shared" si="317"/>
        <v>0</v>
      </c>
      <c r="AE1816" s="196">
        <f t="shared" si="318"/>
        <v>0</v>
      </c>
      <c r="AF1816" s="2">
        <f t="shared" si="319"/>
        <v>0</v>
      </c>
      <c r="AG1816" s="2">
        <f t="shared" si="320"/>
        <v>0</v>
      </c>
    </row>
    <row r="1817" spans="1:33">
      <c r="A1817" s="20" t="s">
        <v>23430</v>
      </c>
      <c r="B1817" s="150"/>
      <c r="C1817" s="21" t="s">
        <v>23455</v>
      </c>
      <c r="D1817" s="109" t="s">
        <v>3137</v>
      </c>
      <c r="E1817" s="109"/>
      <c r="F1817" s="391" t="s">
        <v>23462</v>
      </c>
      <c r="G1817" s="23" t="s">
        <v>23458</v>
      </c>
      <c r="H1817" s="23" t="s">
        <v>24789</v>
      </c>
      <c r="I1817" s="23"/>
      <c r="J1817" s="23"/>
      <c r="K1817" s="23"/>
      <c r="L1817" s="375" t="s">
        <v>7787</v>
      </c>
      <c r="M1817" s="351"/>
      <c r="N1817" s="267">
        <f t="shared" si="312"/>
        <v>0</v>
      </c>
      <c r="O1817" s="268">
        <f t="shared" si="313"/>
        <v>0</v>
      </c>
      <c r="P1817" s="239"/>
      <c r="Q1817" s="239"/>
      <c r="R1817" s="239"/>
      <c r="S1817" s="239"/>
      <c r="T1817" s="239"/>
      <c r="U1817" s="240"/>
      <c r="V1817" s="240"/>
      <c r="W1817" s="240"/>
      <c r="X1817" s="278"/>
      <c r="Y1817" s="237"/>
      <c r="Z1817" s="237"/>
      <c r="AA1817" s="279"/>
      <c r="AB1817" s="238"/>
      <c r="AC1817" s="196">
        <f t="shared" si="316"/>
        <v>0</v>
      </c>
      <c r="AD1817" s="196">
        <f t="shared" si="317"/>
        <v>0</v>
      </c>
      <c r="AE1817" s="196">
        <f t="shared" si="318"/>
        <v>0</v>
      </c>
      <c r="AF1817" s="2">
        <f t="shared" si="319"/>
        <v>0</v>
      </c>
      <c r="AG1817" s="2">
        <f t="shared" si="320"/>
        <v>0</v>
      </c>
    </row>
    <row r="1818" spans="1:33">
      <c r="A1818" s="20" t="s">
        <v>23540</v>
      </c>
      <c r="B1818" s="150"/>
      <c r="C1818" s="21" t="s">
        <v>23560</v>
      </c>
      <c r="D1818" s="109" t="s">
        <v>3137</v>
      </c>
      <c r="E1818" s="109"/>
      <c r="F1818" s="391" t="s">
        <v>23564</v>
      </c>
      <c r="G1818" s="23" t="s">
        <v>23561</v>
      </c>
      <c r="H1818" s="23" t="s">
        <v>13942</v>
      </c>
      <c r="I1818" s="23"/>
      <c r="J1818" s="23"/>
      <c r="K1818" s="23"/>
      <c r="L1818" s="375" t="s">
        <v>27895</v>
      </c>
      <c r="M1818" s="351" t="s">
        <v>45</v>
      </c>
      <c r="N1818" s="267">
        <f t="shared" si="312"/>
        <v>0</v>
      </c>
      <c r="O1818" s="268">
        <f t="shared" si="313"/>
        <v>350</v>
      </c>
      <c r="P1818" s="239"/>
      <c r="Q1818" s="239"/>
      <c r="R1818" s="239"/>
      <c r="S1818" s="239"/>
      <c r="T1818" s="239"/>
      <c r="U1818" s="240">
        <f>600-350-100-100+700-400</f>
        <v>350</v>
      </c>
      <c r="V1818" s="240"/>
      <c r="W1818" s="240"/>
      <c r="X1818" s="278"/>
      <c r="Y1818" s="237"/>
      <c r="Z1818" s="237"/>
      <c r="AA1818" s="279"/>
      <c r="AB1818" s="238" t="s">
        <v>27893</v>
      </c>
      <c r="AC1818" s="196">
        <f t="shared" si="316"/>
        <v>350</v>
      </c>
      <c r="AD1818" s="196">
        <f t="shared" si="317"/>
        <v>350</v>
      </c>
      <c r="AE1818" s="196">
        <f t="shared" si="318"/>
        <v>0</v>
      </c>
      <c r="AF1818" s="2">
        <f t="shared" si="319"/>
        <v>350</v>
      </c>
      <c r="AG1818" s="2">
        <f t="shared" si="320"/>
        <v>0</v>
      </c>
    </row>
    <row r="1819" spans="1:33">
      <c r="A1819" s="20" t="s">
        <v>1905</v>
      </c>
      <c r="B1819" s="150"/>
      <c r="C1819" s="21" t="s">
        <v>779</v>
      </c>
      <c r="D1819" s="109" t="s">
        <v>13945</v>
      </c>
      <c r="E1819" s="109" t="s">
        <v>13947</v>
      </c>
      <c r="F1819" s="391" t="s">
        <v>15093</v>
      </c>
      <c r="G1819" s="23" t="s">
        <v>15094</v>
      </c>
      <c r="H1819" s="23"/>
      <c r="I1819" s="23"/>
      <c r="J1819" s="23"/>
      <c r="K1819" s="23"/>
      <c r="L1819" s="375" t="s">
        <v>7787</v>
      </c>
      <c r="M1819" s="351" t="s">
        <v>7787</v>
      </c>
      <c r="N1819" s="267">
        <f t="shared" si="312"/>
        <v>0</v>
      </c>
      <c r="O1819" s="268">
        <f t="shared" si="313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6"/>
        <v>0</v>
      </c>
      <c r="AD1819" s="196">
        <f t="shared" si="317"/>
        <v>0</v>
      </c>
      <c r="AE1819" s="196">
        <f t="shared" si="318"/>
        <v>0</v>
      </c>
      <c r="AF1819" s="2">
        <f t="shared" si="319"/>
        <v>0</v>
      </c>
      <c r="AG1819" s="2">
        <f t="shared" si="320"/>
        <v>0</v>
      </c>
    </row>
    <row r="1820" spans="1:33">
      <c r="A1820" s="20" t="s">
        <v>1906</v>
      </c>
      <c r="B1820" s="150"/>
      <c r="C1820" s="21" t="s">
        <v>23375</v>
      </c>
      <c r="D1820" s="109" t="s">
        <v>13945</v>
      </c>
      <c r="E1820" s="109" t="s">
        <v>13947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2"/>
        <v>0</v>
      </c>
      <c r="O1820" s="268">
        <f t="shared" si="313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6"/>
        <v>0</v>
      </c>
      <c r="AD1820" s="196">
        <f t="shared" si="317"/>
        <v>0</v>
      </c>
      <c r="AE1820" s="196">
        <f t="shared" si="318"/>
        <v>0</v>
      </c>
      <c r="AF1820" s="2">
        <f t="shared" si="319"/>
        <v>0</v>
      </c>
      <c r="AG1820" s="2">
        <f t="shared" si="320"/>
        <v>0</v>
      </c>
    </row>
    <row r="1821" spans="1:33">
      <c r="A1821" s="20" t="s">
        <v>1904</v>
      </c>
      <c r="B1821" s="150"/>
      <c r="C1821" s="21" t="s">
        <v>779</v>
      </c>
      <c r="D1821" s="109" t="s">
        <v>13612</v>
      </c>
      <c r="E1821" s="109" t="s">
        <v>13611</v>
      </c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2"/>
        <v>0</v>
      </c>
      <c r="O1821" s="268">
        <f t="shared" si="313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6"/>
        <v>0</v>
      </c>
      <c r="AD1821" s="196">
        <f t="shared" si="317"/>
        <v>0</v>
      </c>
      <c r="AE1821" s="196">
        <f t="shared" si="318"/>
        <v>0</v>
      </c>
      <c r="AF1821" s="2">
        <f t="shared" si="319"/>
        <v>0</v>
      </c>
      <c r="AG1821" s="2">
        <f t="shared" si="320"/>
        <v>0</v>
      </c>
    </row>
    <row r="1822" spans="1:33">
      <c r="A1822" s="20" t="s">
        <v>1901</v>
      </c>
      <c r="B1822" s="150"/>
      <c r="C1822" s="21" t="s">
        <v>779</v>
      </c>
      <c r="D1822" s="109" t="s">
        <v>13949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2"/>
        <v>0</v>
      </c>
      <c r="O1822" s="268">
        <f t="shared" si="313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6"/>
        <v>0</v>
      </c>
      <c r="AD1822" s="196">
        <f t="shared" si="317"/>
        <v>0</v>
      </c>
      <c r="AE1822" s="196">
        <f t="shared" si="318"/>
        <v>0</v>
      </c>
      <c r="AF1822" s="2">
        <f t="shared" si="319"/>
        <v>0</v>
      </c>
      <c r="AG1822" s="2">
        <f t="shared" si="320"/>
        <v>0</v>
      </c>
    </row>
    <row r="1823" spans="1:33">
      <c r="A1823" s="20" t="s">
        <v>1902</v>
      </c>
      <c r="B1823" s="150"/>
      <c r="C1823" s="21" t="s">
        <v>779</v>
      </c>
      <c r="D1823" s="109" t="s">
        <v>13613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2"/>
        <v>0</v>
      </c>
      <c r="O1823" s="268">
        <f t="shared" si="313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6"/>
        <v>0</v>
      </c>
      <c r="AD1823" s="196">
        <f t="shared" si="317"/>
        <v>0</v>
      </c>
      <c r="AE1823" s="196">
        <f t="shared" si="318"/>
        <v>0</v>
      </c>
      <c r="AF1823" s="2">
        <f t="shared" si="319"/>
        <v>0</v>
      </c>
      <c r="AG1823" s="2">
        <f t="shared" si="320"/>
        <v>0</v>
      </c>
    </row>
    <row r="1824" spans="1:33">
      <c r="A1824" s="20" t="s">
        <v>1903</v>
      </c>
      <c r="B1824" s="150"/>
      <c r="C1824" s="21" t="s">
        <v>779</v>
      </c>
      <c r="D1824" s="109" t="s">
        <v>15095</v>
      </c>
      <c r="E1824" s="109"/>
      <c r="F1824" s="391" t="s">
        <v>15093</v>
      </c>
      <c r="G1824" s="23"/>
      <c r="H1824" s="23"/>
      <c r="I1824" s="23"/>
      <c r="J1824" s="23"/>
      <c r="K1824" s="23"/>
      <c r="L1824" s="350"/>
      <c r="M1824" s="351"/>
      <c r="N1824" s="267">
        <f t="shared" si="312"/>
        <v>0</v>
      </c>
      <c r="O1824" s="268">
        <f t="shared" si="313"/>
        <v>0</v>
      </c>
      <c r="P1824" s="239"/>
      <c r="Q1824" s="239"/>
      <c r="R1824" s="239"/>
      <c r="S1824" s="239"/>
      <c r="T1824" s="239"/>
      <c r="U1824" s="240"/>
      <c r="V1824" s="240"/>
      <c r="W1824" s="240"/>
      <c r="X1824" s="278"/>
      <c r="Y1824" s="237"/>
      <c r="Z1824" s="237"/>
      <c r="AA1824" s="279"/>
      <c r="AB1824" s="238"/>
      <c r="AC1824" s="196">
        <f t="shared" si="316"/>
        <v>0</v>
      </c>
      <c r="AD1824" s="196">
        <f t="shared" si="317"/>
        <v>0</v>
      </c>
      <c r="AE1824" s="196">
        <f t="shared" si="318"/>
        <v>0</v>
      </c>
      <c r="AF1824" s="2">
        <f t="shared" si="319"/>
        <v>0</v>
      </c>
      <c r="AG1824" s="2">
        <f t="shared" si="320"/>
        <v>0</v>
      </c>
    </row>
    <row r="1825" spans="1:33">
      <c r="A1825" s="20" t="s">
        <v>24002</v>
      </c>
      <c r="B1825" s="150"/>
      <c r="C1825" s="21" t="s">
        <v>24081</v>
      </c>
      <c r="D1825" s="109" t="s">
        <v>3137</v>
      </c>
      <c r="E1825" s="109"/>
      <c r="F1825" s="391" t="s">
        <v>24087</v>
      </c>
      <c r="G1825" s="23" t="s">
        <v>13571</v>
      </c>
      <c r="H1825" s="23"/>
      <c r="I1825" s="23"/>
      <c r="J1825" s="23"/>
      <c r="K1825" s="23"/>
      <c r="L1825" s="375" t="s">
        <v>7787</v>
      </c>
      <c r="M1825" s="351"/>
      <c r="N1825" s="267">
        <f t="shared" si="312"/>
        <v>0</v>
      </c>
      <c r="O1825" s="268">
        <f t="shared" si="313"/>
        <v>0</v>
      </c>
      <c r="P1825" s="239"/>
      <c r="Q1825" s="239"/>
      <c r="R1825" s="239"/>
      <c r="S1825" s="239"/>
      <c r="T1825" s="239"/>
      <c r="U1825" s="239"/>
      <c r="V1825" s="240"/>
      <c r="W1825" s="240"/>
      <c r="X1825" s="278"/>
      <c r="Y1825" s="237"/>
      <c r="Z1825" s="237"/>
      <c r="AA1825" s="279"/>
      <c r="AB1825" s="238"/>
      <c r="AC1825" s="196">
        <f t="shared" si="316"/>
        <v>0</v>
      </c>
      <c r="AD1825" s="196">
        <f t="shared" si="317"/>
        <v>0</v>
      </c>
      <c r="AE1825" s="196">
        <f t="shared" si="318"/>
        <v>0</v>
      </c>
      <c r="AF1825" s="2">
        <f t="shared" si="319"/>
        <v>0</v>
      </c>
      <c r="AG1825" s="2">
        <f t="shared" si="320"/>
        <v>0</v>
      </c>
    </row>
    <row r="1826" spans="1:33">
      <c r="A1826" s="20" t="s">
        <v>23683</v>
      </c>
      <c r="B1826" s="150"/>
      <c r="C1826" s="21" t="s">
        <v>23737</v>
      </c>
      <c r="D1826" s="109" t="s">
        <v>3137</v>
      </c>
      <c r="E1826" s="109"/>
      <c r="F1826" s="391" t="s">
        <v>23740</v>
      </c>
      <c r="G1826" s="23" t="s">
        <v>23739</v>
      </c>
      <c r="H1826" s="23"/>
      <c r="I1826" s="23"/>
      <c r="J1826" s="23"/>
      <c r="K1826" s="23"/>
      <c r="L1826" s="375" t="s">
        <v>7787</v>
      </c>
      <c r="M1826" s="351" t="s">
        <v>7787</v>
      </c>
      <c r="N1826" s="267">
        <f t="shared" si="312"/>
        <v>0</v>
      </c>
      <c r="O1826" s="268">
        <f t="shared" si="313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6"/>
        <v>0</v>
      </c>
      <c r="AD1826" s="196">
        <f t="shared" si="317"/>
        <v>0</v>
      </c>
      <c r="AE1826" s="196">
        <f t="shared" si="318"/>
        <v>0</v>
      </c>
      <c r="AF1826" s="2">
        <f t="shared" si="319"/>
        <v>0</v>
      </c>
      <c r="AG1826" s="2">
        <f t="shared" si="320"/>
        <v>0</v>
      </c>
    </row>
    <row r="1827" spans="1:33">
      <c r="A1827" s="20" t="s">
        <v>23677</v>
      </c>
      <c r="B1827" s="150"/>
      <c r="C1827" s="21" t="s">
        <v>23697</v>
      </c>
      <c r="D1827" s="109" t="s">
        <v>3137</v>
      </c>
      <c r="E1827" s="109"/>
      <c r="F1827" s="391" t="s">
        <v>23699</v>
      </c>
      <c r="G1827" s="23" t="s">
        <v>14785</v>
      </c>
      <c r="H1827" s="23"/>
      <c r="I1827" s="23"/>
      <c r="J1827" s="23"/>
      <c r="K1827" s="23"/>
      <c r="L1827" s="375" t="s">
        <v>7787</v>
      </c>
      <c r="M1827" s="351"/>
      <c r="N1827" s="267">
        <f t="shared" si="312"/>
        <v>0</v>
      </c>
      <c r="O1827" s="268">
        <f t="shared" si="313"/>
        <v>0</v>
      </c>
      <c r="P1827" s="239"/>
      <c r="Q1827" s="239"/>
      <c r="R1827" s="239"/>
      <c r="S1827" s="239"/>
      <c r="T1827" s="239"/>
      <c r="U1827" s="240"/>
      <c r="V1827" s="240"/>
      <c r="W1827" s="240"/>
      <c r="X1827" s="278"/>
      <c r="Y1827" s="237"/>
      <c r="Z1827" s="237"/>
      <c r="AA1827" s="279"/>
      <c r="AB1827" s="238"/>
      <c r="AC1827" s="196">
        <f t="shared" si="316"/>
        <v>0</v>
      </c>
      <c r="AD1827" s="196">
        <f t="shared" si="317"/>
        <v>0</v>
      </c>
      <c r="AE1827" s="196">
        <f t="shared" si="318"/>
        <v>0</v>
      </c>
      <c r="AF1827" s="2">
        <f t="shared" si="319"/>
        <v>0</v>
      </c>
      <c r="AG1827" s="2">
        <f t="shared" si="320"/>
        <v>0</v>
      </c>
    </row>
    <row r="1828" spans="1:33">
      <c r="A1828" s="20" t="s">
        <v>23742</v>
      </c>
      <c r="B1828" s="150"/>
      <c r="C1828" s="21" t="s">
        <v>23754</v>
      </c>
      <c r="D1828" s="109" t="s">
        <v>3137</v>
      </c>
      <c r="E1828" s="109"/>
      <c r="F1828" s="391" t="s">
        <v>23767</v>
      </c>
      <c r="G1828" s="23" t="s">
        <v>23766</v>
      </c>
      <c r="H1828" s="23" t="s">
        <v>24561</v>
      </c>
      <c r="I1828" s="23" t="s">
        <v>24637</v>
      </c>
      <c r="J1828" s="23" t="s">
        <v>25737</v>
      </c>
      <c r="K1828" s="23"/>
      <c r="L1828" s="375" t="s">
        <v>27931</v>
      </c>
      <c r="M1828" s="351"/>
      <c r="N1828" s="267">
        <f t="shared" si="312"/>
        <v>0</v>
      </c>
      <c r="O1828" s="268">
        <f t="shared" si="313"/>
        <v>5300</v>
      </c>
      <c r="P1828" s="239"/>
      <c r="Q1828" s="239"/>
      <c r="R1828" s="239"/>
      <c r="S1828" s="239"/>
      <c r="T1828" s="239"/>
      <c r="U1828" s="240">
        <f>1400+3500+2200-3000+9400-9600+1200+2400+1600-1800-2000</f>
        <v>5300</v>
      </c>
      <c r="V1828" s="240"/>
      <c r="W1828" s="240"/>
      <c r="X1828" s="278"/>
      <c r="Y1828" s="237"/>
      <c r="Z1828" s="237"/>
      <c r="AA1828" s="279"/>
      <c r="AB1828" s="238" t="s">
        <v>27921</v>
      </c>
      <c r="AC1828" s="196">
        <f t="shared" si="316"/>
        <v>5300</v>
      </c>
      <c r="AD1828" s="196">
        <f t="shared" si="317"/>
        <v>5300</v>
      </c>
      <c r="AE1828" s="196">
        <f t="shared" si="318"/>
        <v>0</v>
      </c>
      <c r="AF1828" s="2">
        <f t="shared" si="319"/>
        <v>5300</v>
      </c>
      <c r="AG1828" s="2">
        <f t="shared" si="320"/>
        <v>0</v>
      </c>
    </row>
    <row r="1829" spans="1:33">
      <c r="A1829" s="20" t="s">
        <v>23910</v>
      </c>
      <c r="B1829" s="150"/>
      <c r="C1829" s="21" t="s">
        <v>23928</v>
      </c>
      <c r="D1829" s="109" t="s">
        <v>3137</v>
      </c>
      <c r="E1829" s="109"/>
      <c r="F1829" s="391" t="s">
        <v>23964</v>
      </c>
      <c r="G1829" s="23" t="s">
        <v>14785</v>
      </c>
      <c r="H1829" s="23"/>
      <c r="I1829" s="23"/>
      <c r="J1829" s="23"/>
      <c r="K1829" s="23"/>
      <c r="L1829" s="375" t="s">
        <v>7787</v>
      </c>
      <c r="M1829" s="351"/>
      <c r="N1829" s="267">
        <f t="shared" si="312"/>
        <v>0</v>
      </c>
      <c r="O1829" s="268">
        <f t="shared" si="313"/>
        <v>0</v>
      </c>
      <c r="P1829" s="239"/>
      <c r="Q1829" s="239"/>
      <c r="R1829" s="239"/>
      <c r="S1829" s="239"/>
      <c r="T1829" s="239"/>
      <c r="U1829" s="240"/>
      <c r="V1829" s="240"/>
      <c r="W1829" s="240"/>
      <c r="X1829" s="278"/>
      <c r="Y1829" s="237"/>
      <c r="Z1829" s="237"/>
      <c r="AA1829" s="279"/>
      <c r="AB1829" s="238"/>
      <c r="AC1829" s="196">
        <f t="shared" si="316"/>
        <v>0</v>
      </c>
      <c r="AD1829" s="196">
        <f t="shared" si="317"/>
        <v>0</v>
      </c>
      <c r="AE1829" s="196">
        <f t="shared" si="318"/>
        <v>0</v>
      </c>
      <c r="AF1829" s="2">
        <f t="shared" si="319"/>
        <v>0</v>
      </c>
      <c r="AG1829" s="2">
        <f t="shared" si="320"/>
        <v>0</v>
      </c>
    </row>
    <row r="1830" spans="1:33">
      <c r="A1830" s="20" t="s">
        <v>23684</v>
      </c>
      <c r="B1830" s="150"/>
      <c r="C1830" s="21" t="s">
        <v>23734</v>
      </c>
      <c r="D1830" s="109" t="s">
        <v>3137</v>
      </c>
      <c r="E1830" s="109"/>
      <c r="F1830" s="391" t="s">
        <v>23738</v>
      </c>
      <c r="G1830" s="23" t="s">
        <v>23739</v>
      </c>
      <c r="H1830" s="23"/>
      <c r="I1830" s="23"/>
      <c r="J1830" s="23"/>
      <c r="K1830" s="23"/>
      <c r="L1830" s="375" t="s">
        <v>7787</v>
      </c>
      <c r="M1830" s="351" t="s">
        <v>7787</v>
      </c>
      <c r="N1830" s="267">
        <f t="shared" si="312"/>
        <v>0</v>
      </c>
      <c r="O1830" s="268">
        <f t="shared" si="313"/>
        <v>0</v>
      </c>
      <c r="P1830" s="239"/>
      <c r="Q1830" s="239"/>
      <c r="R1830" s="239"/>
      <c r="S1830" s="239"/>
      <c r="T1830" s="239"/>
      <c r="U1830" s="239"/>
      <c r="V1830" s="240"/>
      <c r="W1830" s="240"/>
      <c r="X1830" s="278"/>
      <c r="Y1830" s="237"/>
      <c r="Z1830" s="237"/>
      <c r="AA1830" s="279"/>
      <c r="AB1830" s="238"/>
      <c r="AC1830" s="196">
        <f t="shared" si="316"/>
        <v>0</v>
      </c>
      <c r="AD1830" s="196">
        <f t="shared" si="317"/>
        <v>0</v>
      </c>
      <c r="AE1830" s="196">
        <f t="shared" si="318"/>
        <v>0</v>
      </c>
      <c r="AF1830" s="2">
        <f t="shared" si="319"/>
        <v>0</v>
      </c>
      <c r="AG1830" s="2">
        <f t="shared" si="320"/>
        <v>0</v>
      </c>
    </row>
    <row r="1831" spans="1:33">
      <c r="A1831" s="20" t="s">
        <v>23991</v>
      </c>
      <c r="B1831" s="150"/>
      <c r="C1831" s="21" t="s">
        <v>24047</v>
      </c>
      <c r="D1831" s="109" t="s">
        <v>3137</v>
      </c>
      <c r="E1831" s="109" t="s">
        <v>24048</v>
      </c>
      <c r="F1831" s="391" t="s">
        <v>23080</v>
      </c>
      <c r="G1831" s="23" t="s">
        <v>13942</v>
      </c>
      <c r="H1831" s="23" t="s">
        <v>27492</v>
      </c>
      <c r="I1831" s="23"/>
      <c r="J1831" s="23"/>
      <c r="K1831" s="23"/>
      <c r="L1831" s="375" t="s">
        <v>27487</v>
      </c>
      <c r="M1831" s="351" t="s">
        <v>45</v>
      </c>
      <c r="N1831" s="267">
        <f t="shared" si="312"/>
        <v>0</v>
      </c>
      <c r="O1831" s="268">
        <f t="shared" si="313"/>
        <v>550</v>
      </c>
      <c r="P1831" s="239"/>
      <c r="Q1831" s="239"/>
      <c r="R1831" s="239"/>
      <c r="S1831" s="239"/>
      <c r="T1831" s="239"/>
      <c r="U1831" s="240">
        <f>800-250</f>
        <v>550</v>
      </c>
      <c r="V1831" s="240"/>
      <c r="W1831" s="240"/>
      <c r="X1831" s="278"/>
      <c r="Y1831" s="240"/>
      <c r="Z1831" s="237"/>
      <c r="AA1831" s="279"/>
      <c r="AB1831" s="238" t="s">
        <v>27484</v>
      </c>
      <c r="AC1831" s="196">
        <f t="shared" si="316"/>
        <v>550</v>
      </c>
      <c r="AD1831" s="196">
        <f t="shared" si="317"/>
        <v>550</v>
      </c>
      <c r="AE1831" s="196">
        <f t="shared" si="318"/>
        <v>0</v>
      </c>
      <c r="AF1831" s="2">
        <f t="shared" si="319"/>
        <v>550</v>
      </c>
      <c r="AG1831" s="2">
        <f t="shared" si="320"/>
        <v>0</v>
      </c>
    </row>
    <row r="1832" spans="1:33">
      <c r="A1832" s="20" t="s">
        <v>23909</v>
      </c>
      <c r="B1832" s="150"/>
      <c r="C1832" s="21" t="s">
        <v>23941</v>
      </c>
      <c r="D1832" s="109" t="s">
        <v>3137</v>
      </c>
      <c r="E1832" s="109"/>
      <c r="F1832" s="391" t="s">
        <v>23942</v>
      </c>
      <c r="G1832" s="23" t="s">
        <v>23950</v>
      </c>
      <c r="H1832" s="23"/>
      <c r="I1832" s="23"/>
      <c r="J1832" s="23"/>
      <c r="K1832" s="23"/>
      <c r="L1832" s="375" t="s">
        <v>7787</v>
      </c>
      <c r="M1832" s="351"/>
      <c r="N1832" s="267">
        <f t="shared" si="312"/>
        <v>0</v>
      </c>
      <c r="O1832" s="268">
        <f t="shared" si="313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6"/>
        <v>0</v>
      </c>
      <c r="AD1832" s="196">
        <f t="shared" si="317"/>
        <v>0</v>
      </c>
      <c r="AE1832" s="196">
        <f t="shared" si="318"/>
        <v>0</v>
      </c>
      <c r="AF1832" s="2">
        <f t="shared" si="319"/>
        <v>0</v>
      </c>
      <c r="AG1832" s="2">
        <f t="shared" si="320"/>
        <v>0</v>
      </c>
    </row>
    <row r="1833" spans="1:33">
      <c r="A1833" s="20" t="s">
        <v>1882</v>
      </c>
      <c r="B1833" s="150"/>
      <c r="C1833" s="21" t="s">
        <v>293</v>
      </c>
      <c r="D1833" s="109" t="s">
        <v>13949</v>
      </c>
      <c r="E1833" s="109"/>
      <c r="F1833" s="391" t="s">
        <v>15096</v>
      </c>
      <c r="G1833" s="23"/>
      <c r="H1833" s="23"/>
      <c r="I1833" s="23"/>
      <c r="J1833" s="23"/>
      <c r="K1833" s="23"/>
      <c r="L1833" s="350"/>
      <c r="M1833" s="351"/>
      <c r="N1833" s="267">
        <f t="shared" si="312"/>
        <v>0</v>
      </c>
      <c r="O1833" s="268">
        <f t="shared" si="313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6"/>
        <v>0</v>
      </c>
      <c r="AD1833" s="196">
        <f t="shared" si="317"/>
        <v>0</v>
      </c>
      <c r="AE1833" s="196">
        <f t="shared" si="318"/>
        <v>0</v>
      </c>
      <c r="AF1833" s="2">
        <f t="shared" si="319"/>
        <v>0</v>
      </c>
      <c r="AG1833" s="2">
        <f t="shared" si="320"/>
        <v>0</v>
      </c>
    </row>
    <row r="1834" spans="1:33">
      <c r="A1834" s="20" t="s">
        <v>1883</v>
      </c>
      <c r="B1834" s="150"/>
      <c r="C1834" s="21" t="s">
        <v>293</v>
      </c>
      <c r="D1834" s="109" t="s">
        <v>15097</v>
      </c>
      <c r="E1834" s="109"/>
      <c r="F1834" s="391" t="s">
        <v>15098</v>
      </c>
      <c r="G1834" s="23"/>
      <c r="H1834" s="23"/>
      <c r="I1834" s="23"/>
      <c r="J1834" s="23"/>
      <c r="K1834" s="23"/>
      <c r="L1834" s="350"/>
      <c r="M1834" s="351"/>
      <c r="N1834" s="267">
        <f t="shared" si="312"/>
        <v>0</v>
      </c>
      <c r="O1834" s="268">
        <f t="shared" si="313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6"/>
        <v>0</v>
      </c>
      <c r="AD1834" s="196">
        <f t="shared" si="317"/>
        <v>0</v>
      </c>
      <c r="AE1834" s="196">
        <f t="shared" si="318"/>
        <v>0</v>
      </c>
      <c r="AF1834" s="2">
        <f t="shared" si="319"/>
        <v>0</v>
      </c>
      <c r="AG1834" s="2">
        <f t="shared" si="320"/>
        <v>0</v>
      </c>
    </row>
    <row r="1835" spans="1:33">
      <c r="A1835" s="20" t="s">
        <v>22885</v>
      </c>
      <c r="B1835" s="150"/>
      <c r="C1835" s="21" t="s">
        <v>22921</v>
      </c>
      <c r="D1835" s="109" t="s">
        <v>7761</v>
      </c>
      <c r="E1835" s="109"/>
      <c r="F1835" s="391" t="s">
        <v>23123</v>
      </c>
      <c r="G1835" s="23" t="s">
        <v>13826</v>
      </c>
      <c r="H1835" s="23"/>
      <c r="I1835" s="23"/>
      <c r="J1835" s="23"/>
      <c r="K1835" s="23"/>
      <c r="L1835" s="375" t="s">
        <v>7787</v>
      </c>
      <c r="M1835" s="351"/>
      <c r="N1835" s="267">
        <f t="shared" si="312"/>
        <v>0</v>
      </c>
      <c r="O1835" s="268">
        <f t="shared" si="313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6"/>
        <v>0</v>
      </c>
      <c r="AD1835" s="196">
        <f t="shared" si="317"/>
        <v>0</v>
      </c>
      <c r="AE1835" s="196">
        <f t="shared" si="318"/>
        <v>0</v>
      </c>
      <c r="AF1835" s="2">
        <f t="shared" si="319"/>
        <v>0</v>
      </c>
      <c r="AG1835" s="2">
        <f t="shared" si="320"/>
        <v>0</v>
      </c>
    </row>
    <row r="1836" spans="1:33">
      <c r="A1836" s="20" t="s">
        <v>23359</v>
      </c>
      <c r="B1836" s="150"/>
      <c r="C1836" s="21" t="s">
        <v>23406</v>
      </c>
      <c r="D1836" s="109" t="s">
        <v>3137</v>
      </c>
      <c r="E1836" s="109"/>
      <c r="F1836" s="391" t="s">
        <v>23409</v>
      </c>
      <c r="G1836" s="23" t="s">
        <v>23407</v>
      </c>
      <c r="H1836" s="23"/>
      <c r="I1836" s="23"/>
      <c r="J1836" s="23"/>
      <c r="K1836" s="23"/>
      <c r="L1836" s="375" t="s">
        <v>7787</v>
      </c>
      <c r="M1836" s="351"/>
      <c r="N1836" s="267">
        <f t="shared" si="312"/>
        <v>0</v>
      </c>
      <c r="O1836" s="268">
        <f t="shared" si="313"/>
        <v>0</v>
      </c>
      <c r="P1836" s="239"/>
      <c r="Q1836" s="239"/>
      <c r="R1836" s="239"/>
      <c r="S1836" s="239"/>
      <c r="T1836" s="239"/>
      <c r="U1836" s="240"/>
      <c r="V1836" s="240"/>
      <c r="W1836" s="240"/>
      <c r="X1836" s="278"/>
      <c r="Y1836" s="237"/>
      <c r="Z1836" s="237"/>
      <c r="AA1836" s="279"/>
      <c r="AB1836" s="238"/>
      <c r="AC1836" s="196">
        <f t="shared" si="316"/>
        <v>0</v>
      </c>
      <c r="AD1836" s="196">
        <f t="shared" si="317"/>
        <v>0</v>
      </c>
      <c r="AE1836" s="196">
        <f t="shared" si="318"/>
        <v>0</v>
      </c>
      <c r="AF1836" s="2">
        <f t="shared" si="319"/>
        <v>0</v>
      </c>
      <c r="AG1836" s="2">
        <f t="shared" si="320"/>
        <v>0</v>
      </c>
    </row>
    <row r="1837" spans="1:33">
      <c r="A1837" s="20" t="s">
        <v>23118</v>
      </c>
      <c r="B1837" s="150"/>
      <c r="C1837" s="21" t="s">
        <v>23138</v>
      </c>
      <c r="D1837" s="109" t="s">
        <v>3137</v>
      </c>
      <c r="E1837" s="109" t="s">
        <v>23217</v>
      </c>
      <c r="F1837" s="391" t="s">
        <v>23143</v>
      </c>
      <c r="G1837" s="23" t="s">
        <v>23199</v>
      </c>
      <c r="H1837" s="23"/>
      <c r="I1837" s="23"/>
      <c r="J1837" s="23"/>
      <c r="K1837" s="23"/>
      <c r="L1837" s="375" t="s">
        <v>45</v>
      </c>
      <c r="M1837" s="351" t="s">
        <v>7787</v>
      </c>
      <c r="N1837" s="267">
        <f t="shared" si="312"/>
        <v>0</v>
      </c>
      <c r="O1837" s="268">
        <f t="shared" si="313"/>
        <v>50</v>
      </c>
      <c r="P1837" s="239"/>
      <c r="Q1837" s="239"/>
      <c r="R1837" s="239"/>
      <c r="S1837" s="239">
        <f>250-200</f>
        <v>50</v>
      </c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25185</v>
      </c>
      <c r="AC1837" s="196">
        <f t="shared" si="316"/>
        <v>50</v>
      </c>
      <c r="AD1837" s="196">
        <f t="shared" si="317"/>
        <v>50</v>
      </c>
      <c r="AE1837" s="196">
        <f t="shared" si="318"/>
        <v>0</v>
      </c>
      <c r="AF1837" s="2">
        <f t="shared" si="319"/>
        <v>50</v>
      </c>
      <c r="AG1837" s="2">
        <f t="shared" si="320"/>
        <v>0</v>
      </c>
    </row>
    <row r="1838" spans="1:33">
      <c r="A1838" s="20" t="s">
        <v>23112</v>
      </c>
      <c r="B1838" s="150"/>
      <c r="C1838" s="21" t="s">
        <v>23136</v>
      </c>
      <c r="D1838" s="109" t="s">
        <v>3137</v>
      </c>
      <c r="E1838" s="109" t="s">
        <v>23217</v>
      </c>
      <c r="F1838" s="391" t="s">
        <v>23137</v>
      </c>
      <c r="G1838" s="23" t="s">
        <v>23199</v>
      </c>
      <c r="H1838" s="23"/>
      <c r="I1838" s="23"/>
      <c r="J1838" s="23"/>
      <c r="K1838" s="23"/>
      <c r="L1838" s="375"/>
      <c r="M1838" s="351"/>
      <c r="N1838" s="267">
        <f t="shared" si="312"/>
        <v>0</v>
      </c>
      <c r="O1838" s="268">
        <f t="shared" si="313"/>
        <v>100</v>
      </c>
      <c r="P1838" s="239">
        <f>600-500</f>
        <v>100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26697</v>
      </c>
      <c r="AC1838" s="196">
        <f t="shared" si="316"/>
        <v>100</v>
      </c>
      <c r="AD1838" s="196">
        <f t="shared" si="317"/>
        <v>100</v>
      </c>
      <c r="AE1838" s="196">
        <f t="shared" si="318"/>
        <v>0</v>
      </c>
      <c r="AF1838" s="2">
        <f t="shared" si="319"/>
        <v>100</v>
      </c>
      <c r="AG1838" s="2">
        <f t="shared" si="320"/>
        <v>0</v>
      </c>
    </row>
    <row r="1839" spans="1:33">
      <c r="A1839" s="20" t="s">
        <v>23367</v>
      </c>
      <c r="B1839" s="150"/>
      <c r="C1839" s="21" t="s">
        <v>23421</v>
      </c>
      <c r="D1839" s="109" t="s">
        <v>3096</v>
      </c>
      <c r="E1839" s="109"/>
      <c r="F1839" s="391" t="s">
        <v>23433</v>
      </c>
      <c r="G1839" s="23" t="s">
        <v>26232</v>
      </c>
      <c r="H1839" s="23"/>
      <c r="I1839" s="23"/>
      <c r="J1839" s="23"/>
      <c r="K1839" s="23"/>
      <c r="L1839" s="375" t="s">
        <v>45</v>
      </c>
      <c r="M1839" s="351"/>
      <c r="N1839" s="267">
        <f t="shared" si="312"/>
        <v>0</v>
      </c>
      <c r="O1839" s="268">
        <f t="shared" si="313"/>
        <v>200</v>
      </c>
      <c r="P1839" s="239">
        <f>850-800+550+650-1000+750+200-1000</f>
        <v>200</v>
      </c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 t="s">
        <v>26489</v>
      </c>
      <c r="AC1839" s="196">
        <f t="shared" si="316"/>
        <v>200</v>
      </c>
      <c r="AD1839" s="196">
        <f t="shared" si="317"/>
        <v>200</v>
      </c>
      <c r="AE1839" s="196">
        <f t="shared" si="318"/>
        <v>0</v>
      </c>
      <c r="AF1839" s="2">
        <f t="shared" si="319"/>
        <v>200</v>
      </c>
      <c r="AG1839" s="2">
        <f t="shared" si="320"/>
        <v>0</v>
      </c>
    </row>
    <row r="1840" spans="1:33">
      <c r="A1840" s="20" t="s">
        <v>23109</v>
      </c>
      <c r="B1840" s="150"/>
      <c r="C1840" s="21" t="s">
        <v>23122</v>
      </c>
      <c r="D1840" s="109" t="s">
        <v>7761</v>
      </c>
      <c r="E1840" s="109"/>
      <c r="F1840" s="391" t="s">
        <v>23124</v>
      </c>
      <c r="G1840" s="23" t="s">
        <v>13826</v>
      </c>
      <c r="H1840" s="23" t="s">
        <v>23126</v>
      </c>
      <c r="I1840" s="23"/>
      <c r="J1840" s="23"/>
      <c r="K1840" s="23"/>
      <c r="L1840" s="375" t="s">
        <v>7787</v>
      </c>
      <c r="M1840" s="351"/>
      <c r="N1840" s="267">
        <f t="shared" si="312"/>
        <v>0</v>
      </c>
      <c r="O1840" s="268">
        <f t="shared" si="313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6"/>
        <v>0</v>
      </c>
      <c r="AD1840" s="196">
        <f t="shared" si="317"/>
        <v>0</v>
      </c>
      <c r="AE1840" s="196">
        <f t="shared" si="318"/>
        <v>0</v>
      </c>
      <c r="AF1840" s="2">
        <f t="shared" si="319"/>
        <v>0</v>
      </c>
      <c r="AG1840" s="2">
        <f t="shared" si="320"/>
        <v>0</v>
      </c>
    </row>
    <row r="1841" spans="1:33">
      <c r="A1841" s="20" t="s">
        <v>23207</v>
      </c>
      <c r="B1841" s="150"/>
      <c r="C1841" s="21" t="s">
        <v>23257</v>
      </c>
      <c r="D1841" s="109" t="s">
        <v>3096</v>
      </c>
      <c r="E1841" s="109"/>
      <c r="F1841" s="391" t="s">
        <v>23258</v>
      </c>
      <c r="G1841" s="23" t="s">
        <v>14407</v>
      </c>
      <c r="H1841" s="23"/>
      <c r="I1841" s="23"/>
      <c r="J1841" s="23"/>
      <c r="K1841" s="23"/>
      <c r="L1841" s="375" t="s">
        <v>7787</v>
      </c>
      <c r="M1841" s="351"/>
      <c r="N1841" s="267">
        <f t="shared" si="312"/>
        <v>0</v>
      </c>
      <c r="O1841" s="268">
        <f t="shared" si="313"/>
        <v>0</v>
      </c>
      <c r="P1841" s="239"/>
      <c r="Q1841" s="239"/>
      <c r="R1841" s="239"/>
      <c r="S1841" s="239"/>
      <c r="T1841" s="239"/>
      <c r="U1841" s="240"/>
      <c r="V1841" s="240"/>
      <c r="W1841" s="240"/>
      <c r="X1841" s="278"/>
      <c r="Y1841" s="237"/>
      <c r="Z1841" s="237"/>
      <c r="AA1841" s="279"/>
      <c r="AB1841" s="238"/>
      <c r="AC1841" s="196">
        <f t="shared" si="316"/>
        <v>0</v>
      </c>
      <c r="AD1841" s="196">
        <f t="shared" si="317"/>
        <v>0</v>
      </c>
      <c r="AE1841" s="196">
        <f t="shared" si="318"/>
        <v>0</v>
      </c>
      <c r="AF1841" s="2">
        <f t="shared" si="319"/>
        <v>0</v>
      </c>
      <c r="AG1841" s="2">
        <f t="shared" si="320"/>
        <v>0</v>
      </c>
    </row>
    <row r="1842" spans="1:33">
      <c r="A1842" s="20" t="s">
        <v>23356</v>
      </c>
      <c r="B1842" s="150"/>
      <c r="C1842" s="21" t="s">
        <v>23381</v>
      </c>
      <c r="D1842" s="109" t="s">
        <v>3096</v>
      </c>
      <c r="E1842" s="109"/>
      <c r="F1842" s="391" t="s">
        <v>23398</v>
      </c>
      <c r="G1842" s="23" t="s">
        <v>21185</v>
      </c>
      <c r="H1842" s="23" t="s">
        <v>26169</v>
      </c>
      <c r="I1842" s="23"/>
      <c r="J1842" s="23"/>
      <c r="K1842" s="23"/>
      <c r="L1842" s="375" t="s">
        <v>27912</v>
      </c>
      <c r="M1842" s="351"/>
      <c r="N1842" s="267">
        <f t="shared" si="312"/>
        <v>0</v>
      </c>
      <c r="O1842" s="268">
        <f t="shared" si="313"/>
        <v>1200</v>
      </c>
      <c r="P1842" s="239"/>
      <c r="Q1842" s="239"/>
      <c r="R1842" s="239"/>
      <c r="S1842" s="239"/>
      <c r="T1842" s="239"/>
      <c r="U1842" s="240">
        <f>3150-1650-300</f>
        <v>1200</v>
      </c>
      <c r="V1842" s="240"/>
      <c r="W1842" s="240"/>
      <c r="X1842" s="278"/>
      <c r="Y1842" s="237"/>
      <c r="Z1842" s="237"/>
      <c r="AA1842" s="279"/>
      <c r="AB1842" s="238" t="s">
        <v>27906</v>
      </c>
      <c r="AC1842" s="196">
        <f t="shared" si="316"/>
        <v>1200</v>
      </c>
      <c r="AD1842" s="196">
        <f t="shared" si="317"/>
        <v>1200</v>
      </c>
      <c r="AE1842" s="196">
        <f t="shared" si="318"/>
        <v>0</v>
      </c>
      <c r="AF1842" s="2">
        <f t="shared" si="319"/>
        <v>1200</v>
      </c>
      <c r="AG1842" s="2">
        <f t="shared" si="320"/>
        <v>0</v>
      </c>
    </row>
    <row r="1843" spans="1:33">
      <c r="A1843" s="20" t="s">
        <v>23911</v>
      </c>
      <c r="B1843" s="150"/>
      <c r="C1843" s="21" t="s">
        <v>23957</v>
      </c>
      <c r="D1843" s="109" t="s">
        <v>20325</v>
      </c>
      <c r="E1843" s="109"/>
      <c r="F1843" s="391" t="s">
        <v>23965</v>
      </c>
      <c r="G1843" s="23" t="s">
        <v>13249</v>
      </c>
      <c r="H1843" s="23"/>
      <c r="I1843" s="23"/>
      <c r="J1843" s="23"/>
      <c r="K1843" s="23"/>
      <c r="L1843" s="375" t="s">
        <v>27827</v>
      </c>
      <c r="M1843" s="351"/>
      <c r="N1843" s="267">
        <f t="shared" si="312"/>
        <v>0</v>
      </c>
      <c r="O1843" s="268">
        <f t="shared" si="313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6"/>
        <v>0</v>
      </c>
      <c r="AD1843" s="196">
        <f t="shared" si="317"/>
        <v>0</v>
      </c>
      <c r="AE1843" s="196">
        <f t="shared" si="318"/>
        <v>0</v>
      </c>
      <c r="AF1843" s="2">
        <f t="shared" si="319"/>
        <v>0</v>
      </c>
      <c r="AG1843" s="2">
        <f t="shared" si="320"/>
        <v>0</v>
      </c>
    </row>
    <row r="1844" spans="1:33">
      <c r="A1844" s="20" t="s">
        <v>23471</v>
      </c>
      <c r="B1844" s="150"/>
      <c r="C1844" s="21" t="s">
        <v>23485</v>
      </c>
      <c r="D1844" s="109" t="s">
        <v>3137</v>
      </c>
      <c r="E1844" s="109"/>
      <c r="F1844" s="391" t="s">
        <v>23486</v>
      </c>
      <c r="G1844" s="23" t="s">
        <v>23487</v>
      </c>
      <c r="H1844" s="23"/>
      <c r="I1844" s="23"/>
      <c r="J1844" s="23"/>
      <c r="K1844" s="23"/>
      <c r="L1844" s="375" t="s">
        <v>24543</v>
      </c>
      <c r="M1844" s="351" t="s">
        <v>7787</v>
      </c>
      <c r="N1844" s="267">
        <f t="shared" si="312"/>
        <v>0</v>
      </c>
      <c r="O1844" s="268">
        <f t="shared" si="313"/>
        <v>0</v>
      </c>
      <c r="P1844" s="239"/>
      <c r="Q1844" s="239"/>
      <c r="R1844" s="239"/>
      <c r="S1844" s="239"/>
      <c r="T1844" s="239"/>
      <c r="U1844" s="240"/>
      <c r="V1844" s="240"/>
      <c r="W1844" s="240"/>
      <c r="X1844" s="278"/>
      <c r="Y1844" s="237"/>
      <c r="Z1844" s="237"/>
      <c r="AA1844" s="279"/>
      <c r="AB1844" s="238"/>
      <c r="AC1844" s="196">
        <f t="shared" si="316"/>
        <v>0</v>
      </c>
      <c r="AD1844" s="196">
        <f t="shared" si="317"/>
        <v>0</v>
      </c>
      <c r="AE1844" s="196">
        <f t="shared" si="318"/>
        <v>0</v>
      </c>
      <c r="AF1844" s="2">
        <f t="shared" si="319"/>
        <v>0</v>
      </c>
      <c r="AG1844" s="2">
        <f t="shared" si="320"/>
        <v>0</v>
      </c>
    </row>
    <row r="1845" spans="1:33">
      <c r="A1845" s="20" t="s">
        <v>23823</v>
      </c>
      <c r="B1845" s="150"/>
      <c r="C1845" s="21" t="s">
        <v>23888</v>
      </c>
      <c r="D1845" s="109" t="s">
        <v>3137</v>
      </c>
      <c r="E1845" s="109" t="s">
        <v>23278</v>
      </c>
      <c r="F1845" s="391" t="s">
        <v>23895</v>
      </c>
      <c r="G1845" s="23" t="s">
        <v>22432</v>
      </c>
      <c r="H1845" s="23" t="s">
        <v>24122</v>
      </c>
      <c r="I1845" s="23"/>
      <c r="J1845" s="23"/>
      <c r="K1845" s="23"/>
      <c r="L1845" s="375" t="s">
        <v>27827</v>
      </c>
      <c r="M1845" s="351" t="s">
        <v>45</v>
      </c>
      <c r="N1845" s="267">
        <f t="shared" si="312"/>
        <v>0</v>
      </c>
      <c r="O1845" s="268">
        <f t="shared" si="313"/>
        <v>1000</v>
      </c>
      <c r="P1845" s="239"/>
      <c r="Q1845" s="239"/>
      <c r="R1845" s="239"/>
      <c r="S1845" s="239"/>
      <c r="T1845" s="239"/>
      <c r="U1845" s="240">
        <f>2100+2600-2400+550+1300-3000+3500-2250-750-1500+850</f>
        <v>1000</v>
      </c>
      <c r="V1845" s="240"/>
      <c r="W1845" s="240"/>
      <c r="X1845" s="278"/>
      <c r="Y1845" s="237"/>
      <c r="Z1845" s="237"/>
      <c r="AA1845" s="279"/>
      <c r="AB1845" s="238" t="s">
        <v>27826</v>
      </c>
      <c r="AC1845" s="196">
        <f t="shared" si="316"/>
        <v>1000</v>
      </c>
      <c r="AD1845" s="196">
        <f t="shared" si="317"/>
        <v>1000</v>
      </c>
      <c r="AE1845" s="196">
        <f t="shared" si="318"/>
        <v>0</v>
      </c>
      <c r="AF1845" s="2">
        <f t="shared" si="319"/>
        <v>1000</v>
      </c>
      <c r="AG1845" s="2">
        <f t="shared" si="320"/>
        <v>0</v>
      </c>
    </row>
    <row r="1846" spans="1:33">
      <c r="A1846" s="20" t="s">
        <v>23290</v>
      </c>
      <c r="B1846" s="150"/>
      <c r="C1846" s="21" t="s">
        <v>23309</v>
      </c>
      <c r="D1846" s="109" t="s">
        <v>3137</v>
      </c>
      <c r="E1846" s="109"/>
      <c r="F1846" s="391" t="s">
        <v>23318</v>
      </c>
      <c r="G1846" s="23" t="s">
        <v>23319</v>
      </c>
      <c r="H1846" s="23" t="s">
        <v>24224</v>
      </c>
      <c r="I1846" s="23"/>
      <c r="J1846" s="23"/>
      <c r="K1846" s="23"/>
      <c r="L1846" s="375" t="s">
        <v>7787</v>
      </c>
      <c r="M1846" s="351" t="s">
        <v>7787</v>
      </c>
      <c r="N1846" s="267">
        <f t="shared" si="312"/>
        <v>0</v>
      </c>
      <c r="O1846" s="268">
        <f t="shared" si="313"/>
        <v>0</v>
      </c>
      <c r="P1846" s="239"/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/>
      <c r="AC1846" s="196">
        <f t="shared" si="316"/>
        <v>0</v>
      </c>
      <c r="AD1846" s="196">
        <f t="shared" si="317"/>
        <v>0</v>
      </c>
      <c r="AE1846" s="196">
        <f t="shared" si="318"/>
        <v>0</v>
      </c>
      <c r="AF1846" s="2">
        <f t="shared" si="319"/>
        <v>0</v>
      </c>
      <c r="AG1846" s="2">
        <f t="shared" si="320"/>
        <v>0</v>
      </c>
    </row>
    <row r="1847" spans="1:33">
      <c r="A1847" s="20" t="s">
        <v>23212</v>
      </c>
      <c r="B1847" s="150"/>
      <c r="C1847" s="21" t="s">
        <v>23276</v>
      </c>
      <c r="D1847" s="109" t="s">
        <v>3137</v>
      </c>
      <c r="E1847" s="109" t="s">
        <v>23278</v>
      </c>
      <c r="F1847" s="391" t="s">
        <v>23296</v>
      </c>
      <c r="G1847" s="23" t="s">
        <v>23284</v>
      </c>
      <c r="H1847" s="23" t="s">
        <v>26169</v>
      </c>
      <c r="I1847" s="23" t="s">
        <v>22432</v>
      </c>
      <c r="J1847" s="23"/>
      <c r="K1847" s="23"/>
      <c r="L1847" s="375" t="s">
        <v>45</v>
      </c>
      <c r="M1847" s="351" t="s">
        <v>45</v>
      </c>
      <c r="N1847" s="267">
        <f t="shared" si="312"/>
        <v>0</v>
      </c>
      <c r="O1847" s="268">
        <f t="shared" si="313"/>
        <v>500</v>
      </c>
      <c r="P1847" s="239">
        <v>500</v>
      </c>
      <c r="Q1847" s="239"/>
      <c r="R1847" s="239"/>
      <c r="S1847" s="239"/>
      <c r="T1847" s="239"/>
      <c r="U1847" s="240"/>
      <c r="V1847" s="240"/>
      <c r="W1847" s="240"/>
      <c r="X1847" s="278"/>
      <c r="Y1847" s="237"/>
      <c r="Z1847" s="237"/>
      <c r="AA1847" s="279"/>
      <c r="AB1847" s="238" t="s">
        <v>26939</v>
      </c>
      <c r="AC1847" s="196">
        <f t="shared" si="316"/>
        <v>500</v>
      </c>
      <c r="AD1847" s="196">
        <f t="shared" si="317"/>
        <v>500</v>
      </c>
      <c r="AE1847" s="196">
        <f t="shared" si="318"/>
        <v>0</v>
      </c>
      <c r="AF1847" s="2">
        <f t="shared" si="319"/>
        <v>500</v>
      </c>
      <c r="AG1847" s="2">
        <f t="shared" si="320"/>
        <v>0</v>
      </c>
    </row>
    <row r="1848" spans="1:33">
      <c r="A1848" s="20" t="s">
        <v>23818</v>
      </c>
      <c r="B1848" s="150"/>
      <c r="C1848" s="21" t="s">
        <v>23887</v>
      </c>
      <c r="D1848" s="109" t="s">
        <v>3137</v>
      </c>
      <c r="E1848" s="109" t="s">
        <v>23278</v>
      </c>
      <c r="F1848" s="391" t="s">
        <v>22441</v>
      </c>
      <c r="G1848" s="23" t="s">
        <v>6133</v>
      </c>
      <c r="H1848" s="23" t="s">
        <v>26169</v>
      </c>
      <c r="I1848" s="23" t="s">
        <v>22432</v>
      </c>
      <c r="J1848" s="23"/>
      <c r="K1848" s="23"/>
      <c r="L1848" s="375" t="s">
        <v>7787</v>
      </c>
      <c r="M1848" s="351" t="s">
        <v>7787</v>
      </c>
      <c r="N1848" s="267">
        <f t="shared" si="312"/>
        <v>0</v>
      </c>
      <c r="O1848" s="268">
        <f t="shared" si="313"/>
        <v>0</v>
      </c>
      <c r="P1848" s="239"/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/>
      <c r="AC1848" s="196">
        <f t="shared" si="316"/>
        <v>0</v>
      </c>
      <c r="AD1848" s="196">
        <f t="shared" si="317"/>
        <v>0</v>
      </c>
      <c r="AE1848" s="196">
        <f t="shared" si="318"/>
        <v>0</v>
      </c>
      <c r="AF1848" s="2">
        <f t="shared" si="319"/>
        <v>0</v>
      </c>
      <c r="AG1848" s="2">
        <f t="shared" si="320"/>
        <v>0</v>
      </c>
    </row>
    <row r="1849" spans="1:33">
      <c r="A1849" s="20" t="s">
        <v>23213</v>
      </c>
      <c r="B1849" s="150"/>
      <c r="C1849" s="21" t="s">
        <v>23277</v>
      </c>
      <c r="D1849" s="109" t="s">
        <v>3137</v>
      </c>
      <c r="E1849" s="109" t="s">
        <v>23278</v>
      </c>
      <c r="F1849" s="391" t="s">
        <v>23297</v>
      </c>
      <c r="G1849" s="23" t="s">
        <v>23284</v>
      </c>
      <c r="H1849" s="23" t="s">
        <v>26169</v>
      </c>
      <c r="I1849" s="23" t="s">
        <v>22432</v>
      </c>
      <c r="J1849" s="23" t="s">
        <v>23385</v>
      </c>
      <c r="K1849" s="23"/>
      <c r="L1849" s="375" t="s">
        <v>45</v>
      </c>
      <c r="M1849" s="351" t="s">
        <v>45</v>
      </c>
      <c r="N1849" s="267">
        <f t="shared" si="312"/>
        <v>0</v>
      </c>
      <c r="O1849" s="268">
        <f t="shared" si="313"/>
        <v>3200</v>
      </c>
      <c r="P1849" s="239">
        <f>3650-150-300</f>
        <v>3200</v>
      </c>
      <c r="Q1849" s="239"/>
      <c r="R1849" s="239"/>
      <c r="S1849" s="239"/>
      <c r="T1849" s="239"/>
      <c r="U1849" s="240"/>
      <c r="V1849" s="240"/>
      <c r="W1849" s="240"/>
      <c r="X1849" s="278"/>
      <c r="Y1849" s="239"/>
      <c r="Z1849" s="237"/>
      <c r="AA1849" s="279"/>
      <c r="AB1849" s="238" t="s">
        <v>26170</v>
      </c>
      <c r="AC1849" s="196">
        <f t="shared" si="316"/>
        <v>3200</v>
      </c>
      <c r="AD1849" s="196">
        <f t="shared" si="317"/>
        <v>3200</v>
      </c>
      <c r="AE1849" s="196">
        <f t="shared" si="318"/>
        <v>0</v>
      </c>
      <c r="AF1849" s="2">
        <f t="shared" si="319"/>
        <v>3200</v>
      </c>
      <c r="AG1849" s="2">
        <f t="shared" si="320"/>
        <v>0</v>
      </c>
    </row>
    <row r="1850" spans="1:33">
      <c r="A1850" s="20" t="s">
        <v>23824</v>
      </c>
      <c r="B1850" s="150"/>
      <c r="C1850" s="21" t="s">
        <v>23757</v>
      </c>
      <c r="D1850" s="109" t="s">
        <v>23760</v>
      </c>
      <c r="E1850" s="109" t="s">
        <v>23758</v>
      </c>
      <c r="F1850" s="391" t="s">
        <v>23759</v>
      </c>
      <c r="G1850" s="23" t="s">
        <v>23761</v>
      </c>
      <c r="H1850" s="23"/>
      <c r="I1850" s="23"/>
      <c r="J1850" s="23"/>
      <c r="K1850" s="23"/>
      <c r="L1850" s="375"/>
      <c r="M1850" s="351"/>
      <c r="N1850" s="267">
        <f t="shared" si="312"/>
        <v>0</v>
      </c>
      <c r="O1850" s="268">
        <f t="shared" si="313"/>
        <v>0</v>
      </c>
      <c r="P1850" s="239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6"/>
        <v>0</v>
      </c>
      <c r="AD1850" s="196">
        <f t="shared" si="317"/>
        <v>0</v>
      </c>
      <c r="AE1850" s="196">
        <f t="shared" si="318"/>
        <v>0</v>
      </c>
      <c r="AF1850" s="2">
        <f t="shared" si="319"/>
        <v>0</v>
      </c>
      <c r="AG1850" s="2">
        <f t="shared" si="320"/>
        <v>0</v>
      </c>
    </row>
    <row r="1851" spans="1:33">
      <c r="A1851" s="20" t="s">
        <v>23358</v>
      </c>
      <c r="B1851" s="150"/>
      <c r="C1851" s="21" t="s">
        <v>23394</v>
      </c>
      <c r="D1851" s="109" t="s">
        <v>3137</v>
      </c>
      <c r="E1851" s="109" t="s">
        <v>23278</v>
      </c>
      <c r="F1851" s="391" t="s">
        <v>23402</v>
      </c>
      <c r="G1851" s="23" t="s">
        <v>22432</v>
      </c>
      <c r="H1851" s="23"/>
      <c r="I1851" s="23"/>
      <c r="J1851" s="23"/>
      <c r="K1851" s="23"/>
      <c r="L1851" s="375" t="s">
        <v>7787</v>
      </c>
      <c r="M1851" s="351" t="s">
        <v>7787</v>
      </c>
      <c r="N1851" s="267">
        <f t="shared" si="312"/>
        <v>0</v>
      </c>
      <c r="O1851" s="268">
        <f t="shared" si="313"/>
        <v>0</v>
      </c>
      <c r="P1851" s="240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6"/>
        <v>0</v>
      </c>
      <c r="AD1851" s="196">
        <f t="shared" si="317"/>
        <v>0</v>
      </c>
      <c r="AE1851" s="196">
        <f t="shared" si="318"/>
        <v>0</v>
      </c>
      <c r="AF1851" s="2">
        <f t="shared" si="319"/>
        <v>0</v>
      </c>
      <c r="AG1851" s="2">
        <f t="shared" si="320"/>
        <v>0</v>
      </c>
    </row>
    <row r="1852" spans="1:33">
      <c r="A1852" s="20" t="s">
        <v>23477</v>
      </c>
      <c r="B1852" s="150"/>
      <c r="C1852" s="21" t="s">
        <v>23517</v>
      </c>
      <c r="D1852" s="109" t="s">
        <v>7761</v>
      </c>
      <c r="E1852" s="109"/>
      <c r="F1852" s="391" t="s">
        <v>23519</v>
      </c>
      <c r="G1852" s="23" t="s">
        <v>13826</v>
      </c>
      <c r="H1852" s="23"/>
      <c r="I1852" s="23"/>
      <c r="J1852" s="23"/>
      <c r="K1852" s="23"/>
      <c r="L1852" s="375"/>
      <c r="M1852" s="351" t="s">
        <v>7787</v>
      </c>
      <c r="N1852" s="267">
        <f t="shared" si="312"/>
        <v>0</v>
      </c>
      <c r="O1852" s="268">
        <f t="shared" si="313"/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6"/>
        <v>0</v>
      </c>
      <c r="AD1852" s="196">
        <f t="shared" si="317"/>
        <v>0</v>
      </c>
      <c r="AE1852" s="196">
        <f t="shared" si="318"/>
        <v>0</v>
      </c>
      <c r="AF1852" s="2">
        <f t="shared" si="319"/>
        <v>0</v>
      </c>
      <c r="AG1852" s="2">
        <f t="shared" si="320"/>
        <v>0</v>
      </c>
    </row>
    <row r="1853" spans="1:33">
      <c r="A1853" s="20" t="s">
        <v>23543</v>
      </c>
      <c r="B1853" s="150"/>
      <c r="C1853" s="21" t="s">
        <v>23573</v>
      </c>
      <c r="D1853" s="109" t="s">
        <v>7761</v>
      </c>
      <c r="E1853" s="109"/>
      <c r="F1853" s="391" t="s">
        <v>23574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ref="N1853:N2029" si="327">SUM(L1853:M1853)</f>
        <v>0</v>
      </c>
      <c r="O1853" s="268">
        <f t="shared" ref="O1853:O2029" si="328">SUM(P1853:Z1853)</f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6"/>
        <v>0</v>
      </c>
      <c r="AD1853" s="196">
        <f t="shared" si="317"/>
        <v>0</v>
      </c>
      <c r="AE1853" s="196">
        <f t="shared" si="318"/>
        <v>0</v>
      </c>
      <c r="AF1853" s="2">
        <f t="shared" si="319"/>
        <v>0</v>
      </c>
      <c r="AG1853" s="2">
        <f t="shared" si="320"/>
        <v>0</v>
      </c>
    </row>
    <row r="1854" spans="1:33">
      <c r="A1854" s="20" t="s">
        <v>23636</v>
      </c>
      <c r="B1854" s="150"/>
      <c r="C1854" s="21" t="s">
        <v>23661</v>
      </c>
      <c r="D1854" s="109" t="s">
        <v>7761</v>
      </c>
      <c r="E1854" s="109"/>
      <c r="F1854" s="391" t="s">
        <v>23662</v>
      </c>
      <c r="G1854" s="23" t="s">
        <v>13826</v>
      </c>
      <c r="H1854" s="23"/>
      <c r="I1854" s="23"/>
      <c r="J1854" s="23"/>
      <c r="K1854" s="23"/>
      <c r="L1854" s="375" t="s">
        <v>7787</v>
      </c>
      <c r="M1854" s="351"/>
      <c r="N1854" s="267">
        <f t="shared" si="327"/>
        <v>0</v>
      </c>
      <c r="O1854" s="268">
        <f t="shared" si="328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6"/>
        <v>0</v>
      </c>
      <c r="AD1854" s="196">
        <f t="shared" si="317"/>
        <v>0</v>
      </c>
      <c r="AE1854" s="196">
        <f t="shared" si="318"/>
        <v>0</v>
      </c>
      <c r="AF1854" s="2">
        <f t="shared" si="319"/>
        <v>0</v>
      </c>
      <c r="AG1854" s="2">
        <f t="shared" si="320"/>
        <v>0</v>
      </c>
    </row>
    <row r="1855" spans="1:33">
      <c r="A1855" s="20" t="s">
        <v>23813</v>
      </c>
      <c r="B1855" s="150"/>
      <c r="C1855" s="21" t="s">
        <v>23850</v>
      </c>
      <c r="D1855" s="109" t="s">
        <v>7761</v>
      </c>
      <c r="E1855" s="109"/>
      <c r="F1855" s="391" t="s">
        <v>23851</v>
      </c>
      <c r="G1855" s="23" t="s">
        <v>13826</v>
      </c>
      <c r="H1855" s="23"/>
      <c r="I1855" s="23"/>
      <c r="J1855" s="23"/>
      <c r="K1855" s="23"/>
      <c r="L1855" s="375"/>
      <c r="M1855" s="351"/>
      <c r="N1855" s="267">
        <f t="shared" si="327"/>
        <v>0</v>
      </c>
      <c r="O1855" s="268">
        <f t="shared" si="328"/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6"/>
        <v>0</v>
      </c>
      <c r="AD1855" s="196">
        <f t="shared" si="317"/>
        <v>0</v>
      </c>
      <c r="AE1855" s="196">
        <f t="shared" si="318"/>
        <v>0</v>
      </c>
      <c r="AF1855" s="2">
        <f t="shared" si="319"/>
        <v>0</v>
      </c>
      <c r="AG1855" s="2">
        <f t="shared" si="320"/>
        <v>0</v>
      </c>
    </row>
    <row r="1856" spans="1:33">
      <c r="A1856" s="20" t="s">
        <v>24199</v>
      </c>
      <c r="B1856" s="150"/>
      <c r="C1856" s="21" t="s">
        <v>24239</v>
      </c>
      <c r="D1856" s="109" t="s">
        <v>3137</v>
      </c>
      <c r="E1856" s="109" t="s">
        <v>26021</v>
      </c>
      <c r="F1856" s="391" t="s">
        <v>24238</v>
      </c>
      <c r="G1856" s="23" t="s">
        <v>17522</v>
      </c>
      <c r="H1856" s="23"/>
      <c r="I1856" s="23"/>
      <c r="J1856" s="23"/>
      <c r="K1856" s="23"/>
      <c r="L1856" s="375"/>
      <c r="M1856" s="351"/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39"/>
      <c r="R1856" s="239"/>
      <c r="S1856" s="239"/>
      <c r="T1856" s="239"/>
      <c r="U1856" s="240"/>
      <c r="V1856" s="240"/>
      <c r="W1856" s="240"/>
      <c r="X1856" s="278"/>
      <c r="Y1856" s="237"/>
      <c r="Z1856" s="237"/>
      <c r="AA1856" s="279"/>
      <c r="AB1856" s="238"/>
      <c r="AC1856" s="196">
        <f t="shared" si="316"/>
        <v>0</v>
      </c>
      <c r="AD1856" s="196">
        <f t="shared" si="317"/>
        <v>0</v>
      </c>
      <c r="AE1856" s="196">
        <f t="shared" si="318"/>
        <v>0</v>
      </c>
      <c r="AF1856" s="2">
        <f t="shared" si="319"/>
        <v>0</v>
      </c>
      <c r="AG1856" s="2">
        <f t="shared" si="320"/>
        <v>0</v>
      </c>
    </row>
    <row r="1857" spans="1:33">
      <c r="A1857" s="20" t="s">
        <v>24369</v>
      </c>
      <c r="B1857" s="150"/>
      <c r="C1857" s="21" t="s">
        <v>24239</v>
      </c>
      <c r="D1857" s="109" t="s">
        <v>3137</v>
      </c>
      <c r="E1857" s="109" t="s">
        <v>26022</v>
      </c>
      <c r="F1857" s="391" t="s">
        <v>24238</v>
      </c>
      <c r="G1857" s="23" t="s">
        <v>17522</v>
      </c>
      <c r="H1857" s="23"/>
      <c r="I1857" s="23"/>
      <c r="J1857" s="23"/>
      <c r="K1857" s="23"/>
      <c r="L1857" s="375" t="s">
        <v>45</v>
      </c>
      <c r="M1857" s="351" t="s">
        <v>45</v>
      </c>
      <c r="N1857" s="267">
        <f t="shared" ref="N1857" si="331">SUM(L1857:M1857)</f>
        <v>0</v>
      </c>
      <c r="O1857" s="268">
        <f t="shared" ref="O1857" si="332">SUM(P1857:Z1857)</f>
        <v>0</v>
      </c>
      <c r="P1857" s="239"/>
      <c r="Q1857" s="248"/>
      <c r="R1857" s="239"/>
      <c r="S1857" s="239"/>
      <c r="T1857" s="239"/>
      <c r="U1857" s="240"/>
      <c r="V1857" s="240"/>
      <c r="W1857" s="240"/>
      <c r="X1857" s="278"/>
      <c r="Y1857" s="248"/>
      <c r="Z1857" s="237"/>
      <c r="AA1857" s="279"/>
      <c r="AB1857" s="238"/>
      <c r="AC1857" s="196">
        <f t="shared" si="316"/>
        <v>0</v>
      </c>
      <c r="AD1857" s="196">
        <f t="shared" si="317"/>
        <v>0</v>
      </c>
      <c r="AE1857" s="196">
        <f t="shared" si="318"/>
        <v>0</v>
      </c>
      <c r="AF1857" s="2">
        <f t="shared" si="319"/>
        <v>0</v>
      </c>
      <c r="AG1857" s="2">
        <f t="shared" si="320"/>
        <v>0</v>
      </c>
    </row>
    <row r="1858" spans="1:33">
      <c r="A1858" s="20" t="s">
        <v>23586</v>
      </c>
      <c r="B1858" s="150"/>
      <c r="C1858" s="21" t="s">
        <v>23601</v>
      </c>
      <c r="D1858" s="109" t="s">
        <v>3137</v>
      </c>
      <c r="E1858" s="109"/>
      <c r="F1858" s="391" t="s">
        <v>23613</v>
      </c>
      <c r="G1858" s="23" t="s">
        <v>14844</v>
      </c>
      <c r="H1858" s="23"/>
      <c r="I1858" s="23"/>
      <c r="J1858" s="23"/>
      <c r="K1858" s="23"/>
      <c r="L1858" s="375" t="s">
        <v>7787</v>
      </c>
      <c r="M1858" s="351"/>
      <c r="N1858" s="267">
        <f t="shared" si="327"/>
        <v>0</v>
      </c>
      <c r="O1858" s="268">
        <f t="shared" si="328"/>
        <v>0</v>
      </c>
      <c r="P1858" s="239"/>
      <c r="Q1858" s="239"/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/>
      <c r="AC1858" s="196">
        <f t="shared" si="316"/>
        <v>0</v>
      </c>
      <c r="AD1858" s="196">
        <f t="shared" si="317"/>
        <v>0</v>
      </c>
      <c r="AE1858" s="196">
        <f t="shared" si="318"/>
        <v>0</v>
      </c>
      <c r="AF1858" s="2">
        <f t="shared" si="319"/>
        <v>0</v>
      </c>
      <c r="AG1858" s="2">
        <f t="shared" si="320"/>
        <v>0</v>
      </c>
    </row>
    <row r="1859" spans="1:33">
      <c r="A1859" s="20" t="s">
        <v>23547</v>
      </c>
      <c r="B1859" s="150"/>
      <c r="C1859" s="21" t="s">
        <v>23595</v>
      </c>
      <c r="D1859" s="109" t="s">
        <v>3137</v>
      </c>
      <c r="E1859" s="109"/>
      <c r="F1859" s="391" t="s">
        <v>23599</v>
      </c>
      <c r="G1859" s="23" t="s">
        <v>23600</v>
      </c>
      <c r="H1859" s="23" t="s">
        <v>25864</v>
      </c>
      <c r="I1859" s="23"/>
      <c r="J1859" s="23"/>
      <c r="K1859" s="23"/>
      <c r="L1859" s="375" t="s">
        <v>27961</v>
      </c>
      <c r="M1859" s="351" t="s">
        <v>27493</v>
      </c>
      <c r="N1859" s="267">
        <f t="shared" si="327"/>
        <v>0</v>
      </c>
      <c r="O1859" s="268">
        <f t="shared" si="328"/>
        <v>1600</v>
      </c>
      <c r="P1859" s="239"/>
      <c r="Q1859" s="239">
        <f>1300+1850-2550+1000</f>
        <v>1600</v>
      </c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 t="s">
        <v>27958</v>
      </c>
      <c r="AC1859" s="196">
        <f t="shared" si="316"/>
        <v>1600</v>
      </c>
      <c r="AD1859" s="196">
        <f t="shared" si="317"/>
        <v>1600</v>
      </c>
      <c r="AE1859" s="196">
        <f t="shared" si="318"/>
        <v>0</v>
      </c>
      <c r="AF1859" s="2">
        <f t="shared" si="319"/>
        <v>1600</v>
      </c>
      <c r="AG1859" s="2">
        <f t="shared" si="320"/>
        <v>0</v>
      </c>
    </row>
    <row r="1860" spans="1:33">
      <c r="A1860" s="20" t="s">
        <v>24532</v>
      </c>
      <c r="B1860" s="150"/>
      <c r="C1860" s="21" t="s">
        <v>24558</v>
      </c>
      <c r="D1860" s="109" t="s">
        <v>3137</v>
      </c>
      <c r="E1860" s="109"/>
      <c r="F1860" s="391" t="s">
        <v>24562</v>
      </c>
      <c r="G1860" s="23" t="s">
        <v>24559</v>
      </c>
      <c r="H1860" s="23"/>
      <c r="I1860" s="23"/>
      <c r="J1860" s="23"/>
      <c r="K1860" s="23"/>
      <c r="L1860" s="375" t="s">
        <v>7787</v>
      </c>
      <c r="M1860" s="351"/>
      <c r="N1860" s="267">
        <f t="shared" ref="N1860" si="333">SUM(L1860:M1860)</f>
        <v>0</v>
      </c>
      <c r="O1860" s="268">
        <f t="shared" ref="O1860" si="334">SUM(P1860:Z1860)</f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6"/>
        <v>0</v>
      </c>
      <c r="AD1860" s="196">
        <f t="shared" si="317"/>
        <v>0</v>
      </c>
      <c r="AE1860" s="196">
        <f t="shared" si="318"/>
        <v>0</v>
      </c>
      <c r="AF1860" s="2">
        <f t="shared" si="319"/>
        <v>0</v>
      </c>
      <c r="AG1860" s="2">
        <f t="shared" si="320"/>
        <v>0</v>
      </c>
    </row>
    <row r="1861" spans="1:33">
      <c r="A1861" s="20" t="s">
        <v>23591</v>
      </c>
      <c r="B1861" s="150"/>
      <c r="C1861" s="21" t="s">
        <v>23625</v>
      </c>
      <c r="D1861" s="109" t="s">
        <v>3137</v>
      </c>
      <c r="E1861" s="109"/>
      <c r="F1861" s="391" t="s">
        <v>23626</v>
      </c>
      <c r="G1861" s="23" t="s">
        <v>17522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si="327"/>
        <v>0</v>
      </c>
      <c r="O1861" s="268">
        <f t="shared" si="328"/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si="316"/>
        <v>0</v>
      </c>
      <c r="AD1861" s="196">
        <f t="shared" si="317"/>
        <v>0</v>
      </c>
      <c r="AE1861" s="196">
        <f t="shared" si="318"/>
        <v>0</v>
      </c>
      <c r="AF1861" s="2">
        <f t="shared" si="319"/>
        <v>0</v>
      </c>
      <c r="AG1861" s="2">
        <f t="shared" si="320"/>
        <v>0</v>
      </c>
    </row>
    <row r="1862" spans="1:33">
      <c r="A1862" s="20" t="s">
        <v>27139</v>
      </c>
      <c r="B1862" s="150"/>
      <c r="C1862" s="21" t="s">
        <v>27294</v>
      </c>
      <c r="D1862" s="109" t="s">
        <v>4070</v>
      </c>
      <c r="E1862" s="109" t="s">
        <v>27297</v>
      </c>
      <c r="F1862" s="391" t="s">
        <v>27295</v>
      </c>
      <c r="G1862" s="23" t="s">
        <v>27296</v>
      </c>
      <c r="H1862" s="23"/>
      <c r="I1862" s="23"/>
      <c r="J1862" s="23"/>
      <c r="K1862" s="23"/>
      <c r="L1862" s="375" t="s">
        <v>7787</v>
      </c>
      <c r="M1862" s="351" t="s">
        <v>7787</v>
      </c>
      <c r="N1862" s="267">
        <f t="shared" ref="N1862" si="335">SUM(L1862:M1862)</f>
        <v>0</v>
      </c>
      <c r="O1862" s="268">
        <f t="shared" ref="O1862" si="336">SUM(P1862:Z1862)</f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ref="AC1862" si="337">SUM(P1862:AA1862)</f>
        <v>0</v>
      </c>
      <c r="AD1862" s="196">
        <f t="shared" ref="AD1862" si="338">SUM(P1862:AB1862)</f>
        <v>0</v>
      </c>
      <c r="AE1862" s="196">
        <f t="shared" ref="AE1862" si="339">SUM(AC1862-AD1862)</f>
        <v>0</v>
      </c>
      <c r="AF1862" s="2">
        <f t="shared" ref="AF1862" si="340">+AC1862</f>
        <v>0</v>
      </c>
      <c r="AG1862" s="2">
        <f t="shared" ref="AG1862" si="341">+AC1862-AF1862</f>
        <v>0</v>
      </c>
    </row>
    <row r="1863" spans="1:33">
      <c r="A1863" s="20" t="s">
        <v>23815</v>
      </c>
      <c r="B1863" s="150"/>
      <c r="C1863" s="21" t="s">
        <v>23855</v>
      </c>
      <c r="D1863" s="109" t="s">
        <v>3096</v>
      </c>
      <c r="E1863" s="109"/>
      <c r="F1863" s="391" t="s">
        <v>23858</v>
      </c>
      <c r="G1863" s="23" t="s">
        <v>17074</v>
      </c>
      <c r="H1863" s="23" t="s">
        <v>24568</v>
      </c>
      <c r="I1863" s="23"/>
      <c r="J1863" s="23"/>
      <c r="K1863" s="23"/>
      <c r="L1863" s="375"/>
      <c r="M1863" s="351"/>
      <c r="N1863" s="267">
        <f t="shared" si="327"/>
        <v>0</v>
      </c>
      <c r="O1863" s="268">
        <f t="shared" si="328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6"/>
        <v>0</v>
      </c>
      <c r="AD1863" s="196">
        <f t="shared" si="317"/>
        <v>0</v>
      </c>
      <c r="AE1863" s="196">
        <f t="shared" si="318"/>
        <v>0</v>
      </c>
      <c r="AF1863" s="2">
        <f t="shared" si="319"/>
        <v>0</v>
      </c>
      <c r="AG1863" s="2">
        <f t="shared" si="320"/>
        <v>0</v>
      </c>
    </row>
    <row r="1864" spans="1:33">
      <c r="A1864" s="20" t="s">
        <v>23825</v>
      </c>
      <c r="B1864" s="150"/>
      <c r="C1864" s="21" t="s">
        <v>23871</v>
      </c>
      <c r="D1864" s="109" t="s">
        <v>3096</v>
      </c>
      <c r="E1864" s="109"/>
      <c r="F1864" s="391" t="s">
        <v>23918</v>
      </c>
      <c r="G1864" s="23" t="s">
        <v>23879</v>
      </c>
      <c r="H1864" s="23"/>
      <c r="I1864" s="23"/>
      <c r="J1864" s="23"/>
      <c r="K1864" s="23"/>
      <c r="L1864" s="375"/>
      <c r="M1864" s="351" t="s">
        <v>7787</v>
      </c>
      <c r="N1864" s="267">
        <f t="shared" si="327"/>
        <v>0</v>
      </c>
      <c r="O1864" s="268">
        <f t="shared" si="328"/>
        <v>0</v>
      </c>
      <c r="P1864" s="239"/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/>
      <c r="AC1864" s="196">
        <f t="shared" si="316"/>
        <v>0</v>
      </c>
      <c r="AD1864" s="196">
        <f t="shared" si="317"/>
        <v>0</v>
      </c>
      <c r="AE1864" s="196">
        <f t="shared" si="318"/>
        <v>0</v>
      </c>
      <c r="AF1864" s="2">
        <f t="shared" si="319"/>
        <v>0</v>
      </c>
      <c r="AG1864" s="2">
        <f t="shared" si="320"/>
        <v>0</v>
      </c>
    </row>
    <row r="1865" spans="1:33">
      <c r="A1865" s="20" t="s">
        <v>25611</v>
      </c>
      <c r="B1865" s="150"/>
      <c r="C1865" s="21" t="s">
        <v>25672</v>
      </c>
      <c r="D1865" s="109" t="s">
        <v>4059</v>
      </c>
      <c r="E1865" s="109" t="s">
        <v>25675</v>
      </c>
      <c r="F1865" s="391" t="s">
        <v>25673</v>
      </c>
      <c r="G1865" s="23" t="s">
        <v>25674</v>
      </c>
      <c r="H1865" s="23"/>
      <c r="I1865" s="23"/>
      <c r="J1865" s="23"/>
      <c r="K1865" s="23"/>
      <c r="L1865" s="375" t="s">
        <v>45</v>
      </c>
      <c r="M1865" s="351" t="s">
        <v>45</v>
      </c>
      <c r="N1865" s="267">
        <f t="shared" ref="N1865" si="342">SUM(L1865:M1865)</f>
        <v>0</v>
      </c>
      <c r="O1865" s="268">
        <f t="shared" ref="O1865" si="343">SUM(P1865:Z1865)</f>
        <v>350</v>
      </c>
      <c r="P1865" s="239">
        <f>1500-1450+900+200-1000+1450-1000-500+1500-1500+2200+1050-3000</f>
        <v>350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27004</v>
      </c>
      <c r="AC1865" s="196">
        <f t="shared" si="316"/>
        <v>350</v>
      </c>
      <c r="AD1865" s="196">
        <f t="shared" si="317"/>
        <v>350</v>
      </c>
      <c r="AE1865" s="196">
        <f t="shared" si="318"/>
        <v>0</v>
      </c>
      <c r="AF1865" s="2">
        <f t="shared" si="319"/>
        <v>350</v>
      </c>
      <c r="AG1865" s="2">
        <f t="shared" si="320"/>
        <v>0</v>
      </c>
    </row>
    <row r="1866" spans="1:33">
      <c r="A1866" s="20" t="s">
        <v>23750</v>
      </c>
      <c r="B1866" s="150"/>
      <c r="C1866" s="21" t="s">
        <v>23795</v>
      </c>
      <c r="D1866" s="109" t="s">
        <v>3137</v>
      </c>
      <c r="E1866" s="109" t="s">
        <v>25258</v>
      </c>
      <c r="F1866" s="391" t="s">
        <v>23805</v>
      </c>
      <c r="G1866" s="23" t="s">
        <v>14311</v>
      </c>
      <c r="H1866" s="23"/>
      <c r="I1866" s="23"/>
      <c r="J1866" s="23"/>
      <c r="K1866" s="23"/>
      <c r="L1866" s="375" t="s">
        <v>7787</v>
      </c>
      <c r="M1866" s="351"/>
      <c r="N1866" s="267">
        <f t="shared" si="327"/>
        <v>0</v>
      </c>
      <c r="O1866" s="268">
        <f t="shared" si="328"/>
        <v>1650</v>
      </c>
      <c r="P1866" s="239">
        <f>4500-2850</f>
        <v>1650</v>
      </c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 t="s">
        <v>26131</v>
      </c>
      <c r="AC1866" s="196">
        <f t="shared" si="316"/>
        <v>1650</v>
      </c>
      <c r="AD1866" s="196">
        <f t="shared" si="317"/>
        <v>1650</v>
      </c>
      <c r="AE1866" s="196">
        <f t="shared" si="318"/>
        <v>0</v>
      </c>
      <c r="AF1866" s="2">
        <f t="shared" si="319"/>
        <v>1650</v>
      </c>
      <c r="AG1866" s="2">
        <f t="shared" si="320"/>
        <v>0</v>
      </c>
    </row>
    <row r="1867" spans="1:33">
      <c r="A1867" s="20" t="s">
        <v>1907</v>
      </c>
      <c r="B1867" s="150"/>
      <c r="C1867" s="21" t="s">
        <v>780</v>
      </c>
      <c r="D1867" s="109" t="s">
        <v>13723</v>
      </c>
      <c r="E1867" s="109"/>
      <c r="F1867" s="391" t="s">
        <v>15099</v>
      </c>
      <c r="G1867" s="23" t="s">
        <v>15100</v>
      </c>
      <c r="H1867" s="23"/>
      <c r="I1867" s="23"/>
      <c r="J1867" s="23"/>
      <c r="K1867" s="23"/>
      <c r="L1867" s="350"/>
      <c r="M1867" s="351"/>
      <c r="N1867" s="267">
        <f t="shared" si="327"/>
        <v>0</v>
      </c>
      <c r="O1867" s="268">
        <f t="shared" si="328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79"/>
      <c r="AB1867" s="238"/>
      <c r="AC1867" s="196">
        <f t="shared" si="316"/>
        <v>0</v>
      </c>
      <c r="AD1867" s="196">
        <f t="shared" si="317"/>
        <v>0</v>
      </c>
      <c r="AE1867" s="196">
        <f t="shared" si="318"/>
        <v>0</v>
      </c>
      <c r="AF1867" s="2">
        <f t="shared" si="319"/>
        <v>0</v>
      </c>
      <c r="AG1867" s="2">
        <f t="shared" si="320"/>
        <v>0</v>
      </c>
    </row>
    <row r="1868" spans="1:33">
      <c r="A1868" s="20" t="s">
        <v>1908</v>
      </c>
      <c r="B1868" s="150"/>
      <c r="C1868" s="21" t="s">
        <v>780</v>
      </c>
      <c r="D1868" s="109" t="s">
        <v>13723</v>
      </c>
      <c r="E1868" s="109"/>
      <c r="F1868" s="391" t="s">
        <v>15101</v>
      </c>
      <c r="G1868" s="23" t="s">
        <v>15102</v>
      </c>
      <c r="H1868" s="23" t="s">
        <v>15103</v>
      </c>
      <c r="I1868" s="23"/>
      <c r="J1868" s="23"/>
      <c r="K1868" s="23"/>
      <c r="L1868" s="350"/>
      <c r="M1868" s="351"/>
      <c r="N1868" s="267">
        <f t="shared" si="327"/>
        <v>0</v>
      </c>
      <c r="O1868" s="268">
        <f t="shared" si="328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85"/>
      <c r="AB1868" s="238"/>
      <c r="AC1868" s="196">
        <f t="shared" ref="AC1868:AC1933" si="344">SUM(P1868:AA1868)</f>
        <v>0</v>
      </c>
      <c r="AD1868" s="196">
        <f t="shared" ref="AD1868:AD1933" si="345">SUM(P1868:AB1868)</f>
        <v>0</v>
      </c>
      <c r="AE1868" s="196">
        <f t="shared" ref="AE1868:AE1933" si="346">SUM(AC1868-AD1868)</f>
        <v>0</v>
      </c>
      <c r="AF1868" s="2">
        <f t="shared" ref="AF1868:AF1933" si="347">+AC1868</f>
        <v>0</v>
      </c>
      <c r="AG1868" s="2">
        <f t="shared" ref="AG1868:AG1933" si="348">+AC1868-AF1868</f>
        <v>0</v>
      </c>
    </row>
    <row r="1869" spans="1:33">
      <c r="A1869" s="20" t="s">
        <v>1909</v>
      </c>
      <c r="B1869" s="150"/>
      <c r="C1869" s="21" t="s">
        <v>780</v>
      </c>
      <c r="D1869" s="109" t="s">
        <v>13723</v>
      </c>
      <c r="E1869" s="109"/>
      <c r="F1869" s="391" t="s">
        <v>15099</v>
      </c>
      <c r="G1869" s="23"/>
      <c r="H1869" s="23"/>
      <c r="I1869" s="23"/>
      <c r="J1869" s="23"/>
      <c r="K1869" s="23"/>
      <c r="L1869" s="350"/>
      <c r="M1869" s="351"/>
      <c r="N1869" s="267">
        <f t="shared" si="327"/>
        <v>0</v>
      </c>
      <c r="O1869" s="268">
        <f t="shared" si="328"/>
        <v>0</v>
      </c>
      <c r="P1869" s="239"/>
      <c r="Q1869" s="239"/>
      <c r="R1869" s="239"/>
      <c r="S1869" s="239"/>
      <c r="T1869" s="239"/>
      <c r="U1869" s="240"/>
      <c r="V1869" s="240"/>
      <c r="W1869" s="240"/>
      <c r="X1869" s="278"/>
      <c r="Y1869" s="237"/>
      <c r="Z1869" s="237"/>
      <c r="AA1869" s="279"/>
      <c r="AB1869" s="238"/>
      <c r="AC1869" s="196">
        <f t="shared" si="344"/>
        <v>0</v>
      </c>
      <c r="AD1869" s="196">
        <f t="shared" si="345"/>
        <v>0</v>
      </c>
      <c r="AE1869" s="196">
        <f t="shared" si="346"/>
        <v>0</v>
      </c>
      <c r="AF1869" s="2">
        <f t="shared" si="347"/>
        <v>0</v>
      </c>
      <c r="AG1869" s="2">
        <f t="shared" si="348"/>
        <v>0</v>
      </c>
    </row>
    <row r="1870" spans="1:33">
      <c r="A1870" s="20" t="s">
        <v>23995</v>
      </c>
      <c r="B1870" s="150"/>
      <c r="C1870" s="21" t="s">
        <v>24060</v>
      </c>
      <c r="D1870" s="109" t="s">
        <v>3137</v>
      </c>
      <c r="E1870" s="109"/>
      <c r="F1870" s="391" t="s">
        <v>24061</v>
      </c>
      <c r="G1870" s="23" t="s">
        <v>18250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7"/>
        <v>0</v>
      </c>
      <c r="O1870" s="268">
        <f t="shared" si="328"/>
        <v>0</v>
      </c>
      <c r="P1870" s="239"/>
      <c r="Q1870" s="239"/>
      <c r="R1870" s="239"/>
      <c r="S1870" s="239"/>
      <c r="T1870" s="239"/>
      <c r="U1870" s="240"/>
      <c r="V1870" s="244"/>
      <c r="W1870" s="240"/>
      <c r="X1870" s="278"/>
      <c r="Y1870" s="237"/>
      <c r="Z1870" s="237"/>
      <c r="AA1870" s="279"/>
      <c r="AB1870" s="238"/>
      <c r="AC1870" s="196">
        <f t="shared" si="344"/>
        <v>0</v>
      </c>
      <c r="AD1870" s="196">
        <f t="shared" si="345"/>
        <v>0</v>
      </c>
      <c r="AE1870" s="196">
        <f t="shared" si="346"/>
        <v>0</v>
      </c>
      <c r="AF1870" s="2">
        <f t="shared" si="347"/>
        <v>0</v>
      </c>
      <c r="AG1870" s="2">
        <f t="shared" si="348"/>
        <v>0</v>
      </c>
    </row>
    <row r="1871" spans="1:33">
      <c r="A1871" s="20" t="s">
        <v>1910</v>
      </c>
      <c r="B1871" s="150"/>
      <c r="C1871" s="21" t="s">
        <v>781</v>
      </c>
      <c r="D1871" s="109" t="s">
        <v>13723</v>
      </c>
      <c r="E1871" s="109"/>
      <c r="F1871" s="391" t="s">
        <v>15104</v>
      </c>
      <c r="G1871" s="23" t="s">
        <v>14566</v>
      </c>
      <c r="H1871" s="23"/>
      <c r="I1871" s="23"/>
      <c r="J1871" s="23"/>
      <c r="K1871" s="23"/>
      <c r="L1871" s="375" t="s">
        <v>7787</v>
      </c>
      <c r="M1871" s="351" t="s">
        <v>7787</v>
      </c>
      <c r="N1871" s="267">
        <f t="shared" si="327"/>
        <v>0</v>
      </c>
      <c r="O1871" s="268">
        <f t="shared" si="328"/>
        <v>0</v>
      </c>
      <c r="P1871" s="239"/>
      <c r="Q1871" s="239"/>
      <c r="R1871" s="239"/>
      <c r="S1871" s="239"/>
      <c r="T1871" s="239"/>
      <c r="U1871" s="240"/>
      <c r="V1871" s="239"/>
      <c r="W1871" s="240"/>
      <c r="X1871" s="278"/>
      <c r="Y1871" s="237"/>
      <c r="Z1871" s="237"/>
      <c r="AA1871" s="279"/>
      <c r="AB1871" s="238"/>
      <c r="AC1871" s="196">
        <f t="shared" si="344"/>
        <v>0</v>
      </c>
      <c r="AD1871" s="196">
        <f t="shared" si="345"/>
        <v>0</v>
      </c>
      <c r="AE1871" s="196">
        <f t="shared" si="346"/>
        <v>0</v>
      </c>
      <c r="AF1871" s="2">
        <f t="shared" si="347"/>
        <v>0</v>
      </c>
      <c r="AG1871" s="2">
        <f t="shared" si="348"/>
        <v>0</v>
      </c>
    </row>
    <row r="1872" spans="1:33">
      <c r="A1872" s="20" t="s">
        <v>1911</v>
      </c>
      <c r="B1872" s="150"/>
      <c r="C1872" s="21" t="s">
        <v>781</v>
      </c>
      <c r="D1872" s="109" t="s">
        <v>13567</v>
      </c>
      <c r="E1872" s="109"/>
      <c r="F1872" s="391" t="s">
        <v>15105</v>
      </c>
      <c r="G1872" s="23"/>
      <c r="H1872" s="23"/>
      <c r="I1872" s="23"/>
      <c r="J1872" s="23"/>
      <c r="K1872" s="23"/>
      <c r="L1872" s="350"/>
      <c r="M1872" s="351"/>
      <c r="N1872" s="267">
        <f t="shared" si="327"/>
        <v>0</v>
      </c>
      <c r="O1872" s="268">
        <f t="shared" si="328"/>
        <v>0</v>
      </c>
      <c r="P1872" s="239"/>
      <c r="Q1872" s="239"/>
      <c r="R1872" s="239"/>
      <c r="S1872" s="239"/>
      <c r="T1872" s="239"/>
      <c r="U1872" s="240"/>
      <c r="V1872" s="240"/>
      <c r="W1872" s="240"/>
      <c r="X1872" s="278"/>
      <c r="Y1872" s="237"/>
      <c r="Z1872" s="237"/>
      <c r="AA1872" s="279"/>
      <c r="AB1872" s="238"/>
      <c r="AC1872" s="196">
        <f t="shared" si="344"/>
        <v>0</v>
      </c>
      <c r="AD1872" s="196">
        <f t="shared" si="345"/>
        <v>0</v>
      </c>
      <c r="AE1872" s="196">
        <f t="shared" si="346"/>
        <v>0</v>
      </c>
      <c r="AF1872" s="2">
        <f t="shared" si="347"/>
        <v>0</v>
      </c>
      <c r="AG1872" s="2">
        <f t="shared" si="348"/>
        <v>0</v>
      </c>
    </row>
    <row r="1873" spans="1:33">
      <c r="A1873" s="20" t="s">
        <v>24000</v>
      </c>
      <c r="B1873" s="150"/>
      <c r="C1873" s="21" t="s">
        <v>24077</v>
      </c>
      <c r="D1873" s="109" t="s">
        <v>7761</v>
      </c>
      <c r="E1873" s="109" t="s">
        <v>24714</v>
      </c>
      <c r="F1873" s="391" t="s">
        <v>24078</v>
      </c>
      <c r="G1873" s="23" t="s">
        <v>13826</v>
      </c>
      <c r="H1873" s="23"/>
      <c r="I1873" s="23"/>
      <c r="J1873" s="23"/>
      <c r="K1873" s="23"/>
      <c r="L1873" s="375" t="s">
        <v>45</v>
      </c>
      <c r="M1873" s="351" t="s">
        <v>7787</v>
      </c>
      <c r="N1873" s="267">
        <f t="shared" si="327"/>
        <v>0</v>
      </c>
      <c r="O1873" s="268">
        <f t="shared" si="328"/>
        <v>0</v>
      </c>
      <c r="P1873" s="239"/>
      <c r="Q1873" s="239"/>
      <c r="R1873" s="239"/>
      <c r="S1873" s="239"/>
      <c r="T1873" s="239"/>
      <c r="U1873" s="244"/>
      <c r="V1873" s="240"/>
      <c r="W1873" s="240"/>
      <c r="X1873" s="278"/>
      <c r="Y1873" s="239"/>
      <c r="Z1873" s="237"/>
      <c r="AA1873" s="279"/>
      <c r="AB1873" s="238"/>
      <c r="AC1873" s="196">
        <f t="shared" si="344"/>
        <v>0</v>
      </c>
      <c r="AD1873" s="196">
        <f t="shared" si="345"/>
        <v>0</v>
      </c>
      <c r="AE1873" s="196">
        <f t="shared" si="346"/>
        <v>0</v>
      </c>
      <c r="AF1873" s="2">
        <f t="shared" si="347"/>
        <v>0</v>
      </c>
      <c r="AG1873" s="2">
        <f t="shared" si="348"/>
        <v>0</v>
      </c>
    </row>
    <row r="1874" spans="1:33">
      <c r="A1874" s="20" t="s">
        <v>24013</v>
      </c>
      <c r="B1874" s="150"/>
      <c r="C1874" s="21" t="s">
        <v>24110</v>
      </c>
      <c r="D1874" s="109" t="s">
        <v>9855</v>
      </c>
      <c r="E1874" s="109"/>
      <c r="F1874" s="391" t="s">
        <v>24111</v>
      </c>
      <c r="G1874" s="23" t="s">
        <v>24112</v>
      </c>
      <c r="H1874" s="23" t="s">
        <v>24121</v>
      </c>
      <c r="I1874" s="23"/>
      <c r="J1874" s="23"/>
      <c r="K1874" s="23"/>
      <c r="L1874" s="375" t="s">
        <v>27736</v>
      </c>
      <c r="M1874" s="351" t="s">
        <v>7787</v>
      </c>
      <c r="N1874" s="267">
        <f t="shared" si="327"/>
        <v>0</v>
      </c>
      <c r="O1874" s="268">
        <f t="shared" si="328"/>
        <v>250</v>
      </c>
      <c r="P1874" s="239">
        <f>400-150</f>
        <v>250</v>
      </c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 t="s">
        <v>27758</v>
      </c>
      <c r="AC1874" s="196">
        <f t="shared" si="344"/>
        <v>250</v>
      </c>
      <c r="AD1874" s="196">
        <f t="shared" si="345"/>
        <v>250</v>
      </c>
      <c r="AE1874" s="196">
        <f t="shared" si="346"/>
        <v>0</v>
      </c>
      <c r="AF1874" s="2">
        <f t="shared" si="347"/>
        <v>250</v>
      </c>
      <c r="AG1874" s="2">
        <f t="shared" si="348"/>
        <v>0</v>
      </c>
    </row>
    <row r="1875" spans="1:33">
      <c r="A1875" s="20" t="s">
        <v>27056</v>
      </c>
      <c r="B1875" s="150"/>
      <c r="C1875" s="21" t="s">
        <v>26088</v>
      </c>
      <c r="D1875" s="109" t="s">
        <v>24785</v>
      </c>
      <c r="E1875" s="109"/>
      <c r="F1875" s="391" t="s">
        <v>26089</v>
      </c>
      <c r="G1875" s="23" t="s">
        <v>24860</v>
      </c>
      <c r="H1875" s="23" t="s">
        <v>25401</v>
      </c>
      <c r="I1875" s="23"/>
      <c r="J1875" s="23"/>
      <c r="K1875" s="23"/>
      <c r="L1875" s="375"/>
      <c r="M1875" s="351" t="s">
        <v>7787</v>
      </c>
      <c r="N1875" s="267">
        <f t="shared" ref="N1875" si="349">SUM(L1875:M1875)</f>
        <v>0</v>
      </c>
      <c r="O1875" s="268">
        <f t="shared" ref="O1875" si="350">SUM(P1875:Z1875)</f>
        <v>0</v>
      </c>
      <c r="P1875" s="239"/>
      <c r="Q1875" s="239"/>
      <c r="R1875" s="239"/>
      <c r="S1875" s="239"/>
      <c r="T1875" s="239"/>
      <c r="U1875" s="244"/>
      <c r="V1875" s="240"/>
      <c r="W1875" s="240"/>
      <c r="X1875" s="278"/>
      <c r="Y1875" s="237"/>
      <c r="Z1875" s="237"/>
      <c r="AA1875" s="279"/>
      <c r="AB1875" s="238"/>
      <c r="AC1875" s="196">
        <f t="shared" si="344"/>
        <v>0</v>
      </c>
      <c r="AD1875" s="196">
        <f t="shared" si="345"/>
        <v>0</v>
      </c>
      <c r="AE1875" s="196">
        <f t="shared" si="346"/>
        <v>0</v>
      </c>
      <c r="AF1875" s="2">
        <f t="shared" si="347"/>
        <v>0</v>
      </c>
      <c r="AG1875" s="2">
        <f t="shared" si="348"/>
        <v>0</v>
      </c>
    </row>
    <row r="1876" spans="1:33">
      <c r="A1876" s="20" t="s">
        <v>23989</v>
      </c>
      <c r="B1876" s="150"/>
      <c r="C1876" s="21" t="s">
        <v>24035</v>
      </c>
      <c r="D1876" s="109" t="s">
        <v>24036</v>
      </c>
      <c r="E1876" s="109"/>
      <c r="F1876" s="391" t="s">
        <v>24041</v>
      </c>
      <c r="G1876" s="23" t="s">
        <v>24053</v>
      </c>
      <c r="H1876" s="23" t="s">
        <v>25074</v>
      </c>
      <c r="I1876" s="23"/>
      <c r="J1876" s="23"/>
      <c r="K1876" s="23"/>
      <c r="L1876" s="375" t="s">
        <v>27571</v>
      </c>
      <c r="M1876" s="351" t="s">
        <v>45</v>
      </c>
      <c r="N1876" s="267">
        <f t="shared" si="327"/>
        <v>0</v>
      </c>
      <c r="O1876" s="268">
        <f t="shared" si="328"/>
        <v>800</v>
      </c>
      <c r="P1876" s="239"/>
      <c r="Q1876" s="239">
        <f>1200-400</f>
        <v>800</v>
      </c>
      <c r="R1876" s="239"/>
      <c r="S1876" s="239"/>
      <c r="T1876" s="239"/>
      <c r="U1876" s="239"/>
      <c r="V1876" s="240"/>
      <c r="W1876" s="240"/>
      <c r="X1876" s="278"/>
      <c r="Y1876" s="237"/>
      <c r="Z1876" s="237"/>
      <c r="AA1876" s="279"/>
      <c r="AB1876" s="238" t="s">
        <v>27564</v>
      </c>
      <c r="AC1876" s="196">
        <f t="shared" si="344"/>
        <v>800</v>
      </c>
      <c r="AD1876" s="196">
        <f t="shared" si="345"/>
        <v>800</v>
      </c>
      <c r="AE1876" s="196">
        <f t="shared" si="346"/>
        <v>0</v>
      </c>
      <c r="AF1876" s="2">
        <f t="shared" si="347"/>
        <v>800</v>
      </c>
      <c r="AG1876" s="2">
        <f t="shared" si="348"/>
        <v>0</v>
      </c>
    </row>
    <row r="1877" spans="1:33">
      <c r="A1877" s="20" t="s">
        <v>24988</v>
      </c>
      <c r="B1877" s="150"/>
      <c r="C1877" s="21" t="s">
        <v>25003</v>
      </c>
      <c r="D1877" s="109" t="s">
        <v>15558</v>
      </c>
      <c r="E1877" s="109"/>
      <c r="F1877" s="391" t="s">
        <v>25011</v>
      </c>
      <c r="G1877" s="23" t="s">
        <v>24053</v>
      </c>
      <c r="H1877" s="23"/>
      <c r="I1877" s="23"/>
      <c r="J1877" s="23"/>
      <c r="K1877" s="23"/>
      <c r="L1877" s="375" t="s">
        <v>27571</v>
      </c>
      <c r="M1877" s="351"/>
      <c r="N1877" s="267">
        <f t="shared" ref="N1877" si="351">SUM(L1877:M1877)</f>
        <v>0</v>
      </c>
      <c r="O1877" s="268">
        <f t="shared" ref="O1877" si="352">SUM(P1877:Z1877)</f>
        <v>150</v>
      </c>
      <c r="P1877" s="239"/>
      <c r="Q1877" s="239"/>
      <c r="R1877" s="239"/>
      <c r="S1877" s="239"/>
      <c r="T1877" s="239"/>
      <c r="U1877" s="239">
        <f>450-300+200-200</f>
        <v>150</v>
      </c>
      <c r="V1877" s="240"/>
      <c r="W1877" s="240"/>
      <c r="X1877" s="278"/>
      <c r="Y1877" s="237"/>
      <c r="Z1877" s="237"/>
      <c r="AA1877" s="279"/>
      <c r="AB1877" s="238" t="s">
        <v>27567</v>
      </c>
      <c r="AC1877" s="196">
        <f t="shared" si="344"/>
        <v>150</v>
      </c>
      <c r="AD1877" s="196">
        <f t="shared" si="345"/>
        <v>150</v>
      </c>
      <c r="AE1877" s="196">
        <f t="shared" si="346"/>
        <v>0</v>
      </c>
      <c r="AF1877" s="2">
        <f t="shared" si="347"/>
        <v>150</v>
      </c>
      <c r="AG1877" s="2">
        <f t="shared" si="348"/>
        <v>0</v>
      </c>
    </row>
    <row r="1878" spans="1:33">
      <c r="A1878" s="20" t="s">
        <v>24014</v>
      </c>
      <c r="B1878" s="150"/>
      <c r="C1878" s="21" t="s">
        <v>24113</v>
      </c>
      <c r="D1878" s="109" t="s">
        <v>9855</v>
      </c>
      <c r="E1878" s="109"/>
      <c r="F1878" s="391" t="s">
        <v>24143</v>
      </c>
      <c r="G1878" s="23" t="s">
        <v>13942</v>
      </c>
      <c r="H1878" s="23" t="s">
        <v>24736</v>
      </c>
      <c r="I1878" s="23"/>
      <c r="J1878" s="23"/>
      <c r="K1878" s="23"/>
      <c r="L1878" s="375" t="s">
        <v>7787</v>
      </c>
      <c r="M1878" s="351" t="s">
        <v>7787</v>
      </c>
      <c r="N1878" s="267">
        <f t="shared" si="327"/>
        <v>0</v>
      </c>
      <c r="O1878" s="268">
        <f t="shared" si="328"/>
        <v>0</v>
      </c>
      <c r="P1878" s="239"/>
      <c r="Q1878" s="239"/>
      <c r="R1878" s="239"/>
      <c r="S1878" s="239"/>
      <c r="T1878" s="239"/>
      <c r="U1878" s="239"/>
      <c r="V1878" s="240"/>
      <c r="W1878" s="240"/>
      <c r="X1878" s="278"/>
      <c r="Y1878" s="237"/>
      <c r="Z1878" s="237"/>
      <c r="AA1878" s="279"/>
      <c r="AB1878" s="238"/>
      <c r="AC1878" s="196">
        <f t="shared" si="344"/>
        <v>0</v>
      </c>
      <c r="AD1878" s="196">
        <f t="shared" si="345"/>
        <v>0</v>
      </c>
      <c r="AE1878" s="196">
        <f t="shared" si="346"/>
        <v>0</v>
      </c>
      <c r="AF1878" s="2">
        <f t="shared" si="347"/>
        <v>0</v>
      </c>
      <c r="AG1878" s="2">
        <f t="shared" si="348"/>
        <v>0</v>
      </c>
    </row>
    <row r="1879" spans="1:33">
      <c r="A1879" s="20" t="s">
        <v>24992</v>
      </c>
      <c r="B1879" s="150"/>
      <c r="C1879" s="21" t="s">
        <v>25001</v>
      </c>
      <c r="D1879" s="109" t="s">
        <v>9855</v>
      </c>
      <c r="E1879" s="109"/>
      <c r="F1879" s="391" t="s">
        <v>25016</v>
      </c>
      <c r="G1879" s="23" t="s">
        <v>13942</v>
      </c>
      <c r="H1879" s="23"/>
      <c r="I1879" s="23"/>
      <c r="J1879" s="23"/>
      <c r="K1879" s="23"/>
      <c r="L1879" s="375" t="s">
        <v>27571</v>
      </c>
      <c r="M1879" s="351"/>
      <c r="N1879" s="267">
        <f t="shared" ref="N1879" si="353">SUM(L1879:M1879)</f>
        <v>0</v>
      </c>
      <c r="O1879" s="268">
        <f t="shared" ref="O1879" si="354">SUM(P1879:Z1879)</f>
        <v>200</v>
      </c>
      <c r="P1879" s="239"/>
      <c r="Q1879" s="239"/>
      <c r="R1879" s="239"/>
      <c r="S1879" s="239"/>
      <c r="T1879" s="239"/>
      <c r="U1879" s="239">
        <f>650-450</f>
        <v>200</v>
      </c>
      <c r="V1879" s="240"/>
      <c r="W1879" s="240"/>
      <c r="X1879" s="278"/>
      <c r="Y1879" s="237"/>
      <c r="Z1879" s="237"/>
      <c r="AA1879" s="279"/>
      <c r="AB1879" s="238" t="s">
        <v>27562</v>
      </c>
      <c r="AC1879" s="196">
        <f t="shared" si="344"/>
        <v>200</v>
      </c>
      <c r="AD1879" s="196">
        <f t="shared" si="345"/>
        <v>200</v>
      </c>
      <c r="AE1879" s="196">
        <f t="shared" si="346"/>
        <v>0</v>
      </c>
      <c r="AF1879" s="2">
        <f t="shared" si="347"/>
        <v>200</v>
      </c>
      <c r="AG1879" s="2">
        <f t="shared" si="348"/>
        <v>0</v>
      </c>
    </row>
    <row r="1880" spans="1:33">
      <c r="A1880" s="20" t="s">
        <v>24001</v>
      </c>
      <c r="B1880" s="150"/>
      <c r="C1880" s="21" t="s">
        <v>24075</v>
      </c>
      <c r="D1880" s="109" t="s">
        <v>9855</v>
      </c>
      <c r="E1880" s="109"/>
      <c r="F1880" s="391" t="s">
        <v>24080</v>
      </c>
      <c r="G1880" s="23" t="s">
        <v>24079</v>
      </c>
      <c r="H1880" s="23"/>
      <c r="I1880" s="23"/>
      <c r="J1880" s="23"/>
      <c r="K1880" s="23"/>
      <c r="L1880" s="375" t="s">
        <v>7787</v>
      </c>
      <c r="M1880" s="351" t="s">
        <v>7787</v>
      </c>
      <c r="N1880" s="267">
        <f t="shared" si="327"/>
        <v>0</v>
      </c>
      <c r="O1880" s="268">
        <f t="shared" si="328"/>
        <v>0</v>
      </c>
      <c r="P1880" s="239"/>
      <c r="Q1880" s="239"/>
      <c r="R1880" s="239"/>
      <c r="S1880" s="239"/>
      <c r="T1880" s="239"/>
      <c r="U1880" s="239"/>
      <c r="V1880" s="240"/>
      <c r="W1880" s="240"/>
      <c r="X1880" s="278"/>
      <c r="Y1880" s="237"/>
      <c r="Z1880" s="237"/>
      <c r="AA1880" s="279"/>
      <c r="AB1880" s="238"/>
      <c r="AC1880" s="196">
        <f t="shared" si="344"/>
        <v>0</v>
      </c>
      <c r="AD1880" s="196">
        <f t="shared" si="345"/>
        <v>0</v>
      </c>
      <c r="AE1880" s="196">
        <f t="shared" si="346"/>
        <v>0</v>
      </c>
      <c r="AF1880" s="2">
        <f t="shared" si="347"/>
        <v>0</v>
      </c>
      <c r="AG1880" s="2">
        <f t="shared" si="348"/>
        <v>0</v>
      </c>
    </row>
    <row r="1881" spans="1:33">
      <c r="A1881" s="20" t="s">
        <v>23998</v>
      </c>
      <c r="B1881" s="150"/>
      <c r="C1881" s="21" t="s">
        <v>24068</v>
      </c>
      <c r="D1881" s="109" t="s">
        <v>24036</v>
      </c>
      <c r="E1881" s="109"/>
      <c r="F1881" s="391" t="s">
        <v>24071</v>
      </c>
      <c r="G1881" s="23" t="s">
        <v>13942</v>
      </c>
      <c r="H1881" s="23" t="s">
        <v>24160</v>
      </c>
      <c r="I1881" s="23"/>
      <c r="J1881" s="23"/>
      <c r="K1881" s="23"/>
      <c r="L1881" s="375" t="s">
        <v>45</v>
      </c>
      <c r="M1881" s="351" t="s">
        <v>45</v>
      </c>
      <c r="N1881" s="267">
        <f t="shared" si="327"/>
        <v>0</v>
      </c>
      <c r="O1881" s="268">
        <f t="shared" si="328"/>
        <v>50</v>
      </c>
      <c r="P1881" s="239"/>
      <c r="Q1881" s="239"/>
      <c r="R1881" s="239"/>
      <c r="S1881" s="239"/>
      <c r="T1881" s="239"/>
      <c r="U1881" s="239">
        <f>100-50</f>
        <v>50</v>
      </c>
      <c r="V1881" s="240"/>
      <c r="W1881" s="240"/>
      <c r="X1881" s="278"/>
      <c r="Y1881" s="237"/>
      <c r="Z1881" s="237"/>
      <c r="AA1881" s="279"/>
      <c r="AB1881" s="238" t="s">
        <v>26704</v>
      </c>
      <c r="AC1881" s="196">
        <f t="shared" si="344"/>
        <v>50</v>
      </c>
      <c r="AD1881" s="196">
        <f t="shared" si="345"/>
        <v>50</v>
      </c>
      <c r="AE1881" s="196">
        <f t="shared" si="346"/>
        <v>0</v>
      </c>
      <c r="AF1881" s="2">
        <f t="shared" si="347"/>
        <v>50</v>
      </c>
      <c r="AG1881" s="2">
        <f t="shared" si="348"/>
        <v>0</v>
      </c>
    </row>
    <row r="1882" spans="1:33">
      <c r="A1882" s="20" t="s">
        <v>24249</v>
      </c>
      <c r="B1882" s="150"/>
      <c r="C1882" s="21" t="s">
        <v>24304</v>
      </c>
      <c r="D1882" s="109" t="s">
        <v>9855</v>
      </c>
      <c r="E1882" s="109"/>
      <c r="F1882" s="391" t="s">
        <v>24308</v>
      </c>
      <c r="G1882" s="23" t="s">
        <v>13942</v>
      </c>
      <c r="H1882" s="23"/>
      <c r="I1882" s="23"/>
      <c r="J1882" s="23"/>
      <c r="K1882" s="23"/>
      <c r="L1882" s="375" t="s">
        <v>7787</v>
      </c>
      <c r="M1882" s="351"/>
      <c r="N1882" s="267">
        <f t="shared" ref="N1882" si="355">SUM(L1882:M1882)</f>
        <v>0</v>
      </c>
      <c r="O1882" s="268">
        <f t="shared" ref="O1882" si="356">SUM(P1882:Z1882)</f>
        <v>0</v>
      </c>
      <c r="P1882" s="239"/>
      <c r="Q1882" s="239"/>
      <c r="R1882" s="239"/>
      <c r="S1882" s="239"/>
      <c r="T1882" s="239"/>
      <c r="U1882" s="239"/>
      <c r="V1882" s="240"/>
      <c r="W1882" s="240"/>
      <c r="X1882" s="278"/>
      <c r="Y1882" s="237"/>
      <c r="Z1882" s="237"/>
      <c r="AA1882" s="279"/>
      <c r="AB1882" s="238"/>
      <c r="AC1882" s="196">
        <f t="shared" si="344"/>
        <v>0</v>
      </c>
      <c r="AD1882" s="196">
        <f t="shared" si="345"/>
        <v>0</v>
      </c>
      <c r="AE1882" s="196">
        <f t="shared" si="346"/>
        <v>0</v>
      </c>
      <c r="AF1882" s="2">
        <f t="shared" si="347"/>
        <v>0</v>
      </c>
      <c r="AG1882" s="2">
        <f t="shared" si="348"/>
        <v>0</v>
      </c>
    </row>
    <row r="1883" spans="1:33">
      <c r="A1883" s="20" t="s">
        <v>23999</v>
      </c>
      <c r="B1883" s="150"/>
      <c r="C1883" s="21" t="s">
        <v>24069</v>
      </c>
      <c r="D1883" s="109" t="s">
        <v>24036</v>
      </c>
      <c r="E1883" s="109"/>
      <c r="F1883" s="391" t="s">
        <v>24072</v>
      </c>
      <c r="G1883" s="23" t="s">
        <v>13942</v>
      </c>
      <c r="H1883" s="23" t="s">
        <v>24517</v>
      </c>
      <c r="I1883" s="23"/>
      <c r="J1883" s="23"/>
      <c r="K1883" s="23"/>
      <c r="L1883" s="375"/>
      <c r="M1883" s="351"/>
      <c r="N1883" s="267">
        <f t="shared" si="327"/>
        <v>0</v>
      </c>
      <c r="O1883" s="268">
        <f t="shared" si="328"/>
        <v>0</v>
      </c>
      <c r="P1883" s="239"/>
      <c r="Q1883" s="239"/>
      <c r="R1883" s="239"/>
      <c r="S1883" s="239"/>
      <c r="T1883" s="239"/>
      <c r="U1883" s="240"/>
      <c r="V1883" s="241"/>
      <c r="W1883" s="240"/>
      <c r="X1883" s="278"/>
      <c r="Y1883" s="237"/>
      <c r="Z1883" s="237"/>
      <c r="AA1883" s="279"/>
      <c r="AB1883" s="238"/>
      <c r="AC1883" s="196">
        <f t="shared" si="344"/>
        <v>0</v>
      </c>
      <c r="AD1883" s="196">
        <f t="shared" si="345"/>
        <v>0</v>
      </c>
      <c r="AE1883" s="196">
        <f t="shared" si="346"/>
        <v>0</v>
      </c>
      <c r="AF1883" s="2">
        <f t="shared" si="347"/>
        <v>0</v>
      </c>
      <c r="AG1883" s="2">
        <f t="shared" si="348"/>
        <v>0</v>
      </c>
    </row>
    <row r="1884" spans="1:33">
      <c r="A1884" s="20" t="s">
        <v>24989</v>
      </c>
      <c r="B1884" s="150"/>
      <c r="C1884" s="21" t="s">
        <v>24069</v>
      </c>
      <c r="D1884" s="109" t="s">
        <v>9855</v>
      </c>
      <c r="E1884" s="109" t="s">
        <v>22083</v>
      </c>
      <c r="F1884" s="391" t="s">
        <v>24072</v>
      </c>
      <c r="G1884" s="23" t="s">
        <v>13942</v>
      </c>
      <c r="H1884" s="23" t="s">
        <v>24517</v>
      </c>
      <c r="I1884" s="23"/>
      <c r="J1884" s="23"/>
      <c r="K1884" s="23"/>
      <c r="L1884" s="375"/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2050</v>
      </c>
      <c r="P1884" s="239"/>
      <c r="Q1884" s="239"/>
      <c r="R1884" s="239"/>
      <c r="S1884" s="239"/>
      <c r="T1884" s="239"/>
      <c r="U1884" s="240">
        <f>2400+2750-3100</f>
        <v>2050</v>
      </c>
      <c r="V1884" s="241"/>
      <c r="W1884" s="240"/>
      <c r="X1884" s="278"/>
      <c r="Y1884" s="237"/>
      <c r="Z1884" s="237"/>
      <c r="AA1884" s="279"/>
      <c r="AB1884" s="238" t="s">
        <v>25265</v>
      </c>
      <c r="AC1884" s="196">
        <f t="shared" si="344"/>
        <v>2050</v>
      </c>
      <c r="AD1884" s="196">
        <f t="shared" si="345"/>
        <v>2050</v>
      </c>
      <c r="AE1884" s="196">
        <f t="shared" si="346"/>
        <v>0</v>
      </c>
      <c r="AF1884" s="2">
        <f t="shared" si="347"/>
        <v>2050</v>
      </c>
      <c r="AG1884" s="2">
        <f t="shared" si="348"/>
        <v>0</v>
      </c>
    </row>
    <row r="1885" spans="1:33">
      <c r="A1885" s="20" t="s">
        <v>24990</v>
      </c>
      <c r="B1885" s="150"/>
      <c r="C1885" s="21" t="s">
        <v>24069</v>
      </c>
      <c r="D1885" s="109" t="s">
        <v>9855</v>
      </c>
      <c r="E1885" s="109" t="s">
        <v>24803</v>
      </c>
      <c r="F1885" s="391" t="s">
        <v>24072</v>
      </c>
      <c r="G1885" s="23" t="s">
        <v>13942</v>
      </c>
      <c r="H1885" s="23"/>
      <c r="I1885" s="23"/>
      <c r="J1885" s="23"/>
      <c r="K1885" s="23"/>
      <c r="L1885" s="375" t="s">
        <v>7787</v>
      </c>
      <c r="M1885" s="351" t="s">
        <v>7787</v>
      </c>
      <c r="N1885" s="267">
        <f t="shared" ref="N1885" si="359">SUM(L1885:M1885)</f>
        <v>0</v>
      </c>
      <c r="O1885" s="268">
        <f t="shared" ref="O1885" si="360">SUM(P1885:Z1885)</f>
        <v>0</v>
      </c>
      <c r="P1885" s="239"/>
      <c r="Q1885" s="239"/>
      <c r="R1885" s="239"/>
      <c r="S1885" s="239"/>
      <c r="T1885" s="239"/>
      <c r="U1885" s="244"/>
      <c r="V1885" s="240"/>
      <c r="W1885" s="240"/>
      <c r="X1885" s="278"/>
      <c r="Y1885" s="237"/>
      <c r="Z1885" s="237"/>
      <c r="AA1885" s="279"/>
      <c r="AB1885" s="238"/>
      <c r="AC1885" s="196">
        <f t="shared" si="344"/>
        <v>0</v>
      </c>
      <c r="AD1885" s="196">
        <f t="shared" si="345"/>
        <v>0</v>
      </c>
      <c r="AE1885" s="196">
        <f t="shared" si="346"/>
        <v>0</v>
      </c>
      <c r="AF1885" s="2">
        <f t="shared" si="347"/>
        <v>0</v>
      </c>
      <c r="AG1885" s="2">
        <f t="shared" si="348"/>
        <v>0</v>
      </c>
    </row>
    <row r="1886" spans="1:33">
      <c r="A1886" s="20" t="s">
        <v>24130</v>
      </c>
      <c r="B1886" s="150"/>
      <c r="C1886" s="21" t="s">
        <v>24127</v>
      </c>
      <c r="D1886" s="109" t="s">
        <v>14835</v>
      </c>
      <c r="E1886" s="109"/>
      <c r="F1886" s="391" t="s">
        <v>24129</v>
      </c>
      <c r="G1886" s="23" t="s">
        <v>24128</v>
      </c>
      <c r="H1886" s="23"/>
      <c r="I1886" s="23"/>
      <c r="J1886" s="23"/>
      <c r="K1886" s="23"/>
      <c r="L1886" s="375" t="s">
        <v>7787</v>
      </c>
      <c r="M1886" s="351"/>
      <c r="N1886" s="267">
        <f t="shared" ref="N1886" si="361">SUM(L1886:M1886)</f>
        <v>0</v>
      </c>
      <c r="O1886" s="268">
        <f t="shared" ref="O1886" si="362">SUM(P1886:Z1886)</f>
        <v>0</v>
      </c>
      <c r="P1886" s="241"/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/>
      <c r="AC1886" s="196">
        <f t="shared" si="344"/>
        <v>0</v>
      </c>
      <c r="AD1886" s="196">
        <f t="shared" si="345"/>
        <v>0</v>
      </c>
      <c r="AE1886" s="196">
        <f t="shared" si="346"/>
        <v>0</v>
      </c>
      <c r="AF1886" s="2">
        <f t="shared" si="347"/>
        <v>0</v>
      </c>
      <c r="AG1886" s="2">
        <f t="shared" si="348"/>
        <v>0</v>
      </c>
    </row>
    <row r="1887" spans="1:33">
      <c r="A1887" s="20" t="s">
        <v>24242</v>
      </c>
      <c r="B1887" s="150"/>
      <c r="C1887" s="21" t="s">
        <v>24269</v>
      </c>
      <c r="D1887" s="109" t="s">
        <v>3096</v>
      </c>
      <c r="E1887" s="109"/>
      <c r="F1887" s="391" t="s">
        <v>24282</v>
      </c>
      <c r="G1887" s="23" t="s">
        <v>14407</v>
      </c>
      <c r="H1887" s="23"/>
      <c r="I1887" s="23"/>
      <c r="J1887" s="23"/>
      <c r="K1887" s="23"/>
      <c r="L1887" s="375" t="s">
        <v>45</v>
      </c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50</v>
      </c>
      <c r="P1887" s="241">
        <f>350-300</f>
        <v>50</v>
      </c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 t="s">
        <v>26483</v>
      </c>
      <c r="AC1887" s="196">
        <f t="shared" si="344"/>
        <v>50</v>
      </c>
      <c r="AD1887" s="196">
        <f t="shared" si="345"/>
        <v>50</v>
      </c>
      <c r="AE1887" s="196">
        <f t="shared" si="346"/>
        <v>0</v>
      </c>
      <c r="AF1887" s="2">
        <f t="shared" si="347"/>
        <v>50</v>
      </c>
      <c r="AG1887" s="2">
        <f t="shared" si="348"/>
        <v>0</v>
      </c>
    </row>
    <row r="1888" spans="1:33">
      <c r="A1888" s="20" t="s">
        <v>27057</v>
      </c>
      <c r="B1888" s="150"/>
      <c r="C1888" s="21" t="s">
        <v>26480</v>
      </c>
      <c r="D1888" s="109" t="s">
        <v>4059</v>
      </c>
      <c r="E1888" s="109"/>
      <c r="F1888" s="391" t="s">
        <v>26481</v>
      </c>
      <c r="G1888" s="23" t="s">
        <v>26482</v>
      </c>
      <c r="H1888" s="23"/>
      <c r="I1888" s="23"/>
      <c r="J1888" s="23"/>
      <c r="K1888" s="23"/>
      <c r="L1888" s="375"/>
      <c r="M1888" s="351" t="s">
        <v>7787</v>
      </c>
      <c r="N1888" s="267">
        <f t="shared" ref="N1888" si="365">SUM(L1888:M1888)</f>
        <v>0</v>
      </c>
      <c r="O1888" s="268">
        <f t="shared" ref="O1888" si="366">SUM(P1888:Z1888)</f>
        <v>0</v>
      </c>
      <c r="P1888" s="241"/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/>
      <c r="AC1888" s="196">
        <f t="shared" si="344"/>
        <v>0</v>
      </c>
      <c r="AD1888" s="196">
        <f t="shared" si="345"/>
        <v>0</v>
      </c>
      <c r="AE1888" s="196">
        <f t="shared" si="346"/>
        <v>0</v>
      </c>
      <c r="AF1888" s="2">
        <f t="shared" si="347"/>
        <v>0</v>
      </c>
      <c r="AG1888" s="2">
        <f t="shared" si="348"/>
        <v>0</v>
      </c>
    </row>
    <row r="1889" spans="1:33">
      <c r="A1889" s="20" t="s">
        <v>24191</v>
      </c>
      <c r="B1889" s="150"/>
      <c r="C1889" s="21" t="s">
        <v>24205</v>
      </c>
      <c r="D1889" s="109" t="s">
        <v>3096</v>
      </c>
      <c r="E1889" s="109"/>
      <c r="F1889" s="391" t="s">
        <v>24210</v>
      </c>
      <c r="G1889" s="23" t="s">
        <v>22745</v>
      </c>
      <c r="H1889" s="23"/>
      <c r="I1889" s="23"/>
      <c r="J1889" s="23"/>
      <c r="K1889" s="23"/>
      <c r="L1889" s="375" t="s">
        <v>45</v>
      </c>
      <c r="M1889" s="351"/>
      <c r="N1889" s="267">
        <f t="shared" ref="N1889" si="367">SUM(L1889:M1889)</f>
        <v>0</v>
      </c>
      <c r="O1889" s="268">
        <f t="shared" ref="O1889" si="368">SUM(P1889:Z1889)</f>
        <v>600</v>
      </c>
      <c r="P1889" s="241">
        <f>1100-500</f>
        <v>600</v>
      </c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 t="s">
        <v>25742</v>
      </c>
      <c r="AC1889" s="196">
        <f t="shared" si="344"/>
        <v>600</v>
      </c>
      <c r="AD1889" s="196">
        <f t="shared" si="345"/>
        <v>600</v>
      </c>
      <c r="AE1889" s="196">
        <f t="shared" si="346"/>
        <v>0</v>
      </c>
      <c r="AF1889" s="2">
        <f t="shared" si="347"/>
        <v>600</v>
      </c>
      <c r="AG1889" s="2">
        <f t="shared" si="348"/>
        <v>0</v>
      </c>
    </row>
    <row r="1890" spans="1:33">
      <c r="A1890" s="20" t="s">
        <v>24194</v>
      </c>
      <c r="B1890" s="150"/>
      <c r="C1890" s="21" t="s">
        <v>24220</v>
      </c>
      <c r="D1890" s="109" t="s">
        <v>3096</v>
      </c>
      <c r="E1890" s="109"/>
      <c r="F1890" s="391" t="s">
        <v>24221</v>
      </c>
      <c r="G1890" s="23" t="s">
        <v>22745</v>
      </c>
      <c r="H1890" s="23"/>
      <c r="I1890" s="23"/>
      <c r="J1890" s="23"/>
      <c r="K1890" s="23"/>
      <c r="L1890" s="375" t="s">
        <v>7787</v>
      </c>
      <c r="M1890" s="351"/>
      <c r="N1890" s="267">
        <f t="shared" ref="N1890" si="369">SUM(L1890:M1890)</f>
        <v>0</v>
      </c>
      <c r="O1890" s="268">
        <f t="shared" ref="O1890" si="370">SUM(P1890:Z1890)</f>
        <v>0</v>
      </c>
      <c r="P1890" s="241"/>
      <c r="Q1890" s="239"/>
      <c r="R1890" s="239"/>
      <c r="S1890" s="239"/>
      <c r="T1890" s="239"/>
      <c r="U1890" s="241"/>
      <c r="V1890" s="240"/>
      <c r="W1890" s="240"/>
      <c r="X1890" s="278"/>
      <c r="Y1890" s="237"/>
      <c r="Z1890" s="237"/>
      <c r="AA1890" s="279"/>
      <c r="AB1890" s="238"/>
      <c r="AC1890" s="196">
        <f t="shared" si="344"/>
        <v>0</v>
      </c>
      <c r="AD1890" s="196">
        <f t="shared" si="345"/>
        <v>0</v>
      </c>
      <c r="AE1890" s="196">
        <f t="shared" si="346"/>
        <v>0</v>
      </c>
      <c r="AF1890" s="2">
        <f t="shared" si="347"/>
        <v>0</v>
      </c>
      <c r="AG1890" s="2">
        <f t="shared" si="348"/>
        <v>0</v>
      </c>
    </row>
    <row r="1891" spans="1:33">
      <c r="A1891" s="20" t="s">
        <v>24244</v>
      </c>
      <c r="B1891" s="150"/>
      <c r="C1891" s="21" t="s">
        <v>24281</v>
      </c>
      <c r="D1891" s="109" t="s">
        <v>9855</v>
      </c>
      <c r="E1891" s="109" t="s">
        <v>25311</v>
      </c>
      <c r="F1891" s="391" t="s">
        <v>24285</v>
      </c>
      <c r="G1891" s="23" t="s">
        <v>24293</v>
      </c>
      <c r="H1891" s="23" t="s">
        <v>24948</v>
      </c>
      <c r="I1891" s="23"/>
      <c r="J1891" s="23"/>
      <c r="K1891" s="23"/>
      <c r="L1891" s="375" t="s">
        <v>27652</v>
      </c>
      <c r="M1891" s="351" t="s">
        <v>45</v>
      </c>
      <c r="N1891" s="267">
        <f t="shared" ref="N1891" si="371">SUM(L1891:M1891)</f>
        <v>0</v>
      </c>
      <c r="O1891" s="268">
        <f t="shared" ref="O1891" si="372">SUM(P1891:Z1891)</f>
        <v>350</v>
      </c>
      <c r="P1891" s="239">
        <f>150-100+200+600-500</f>
        <v>350</v>
      </c>
      <c r="Q1891" s="239"/>
      <c r="R1891" s="239"/>
      <c r="S1891" s="239"/>
      <c r="T1891" s="239"/>
      <c r="U1891" s="241"/>
      <c r="V1891" s="240"/>
      <c r="W1891" s="240"/>
      <c r="X1891" s="278"/>
      <c r="Y1891" s="239"/>
      <c r="Z1891" s="237"/>
      <c r="AA1891" s="279"/>
      <c r="AB1891" s="238" t="s">
        <v>27645</v>
      </c>
      <c r="AC1891" s="196">
        <f t="shared" si="344"/>
        <v>350</v>
      </c>
      <c r="AD1891" s="196">
        <f t="shared" si="345"/>
        <v>350</v>
      </c>
      <c r="AE1891" s="196">
        <f t="shared" si="346"/>
        <v>0</v>
      </c>
      <c r="AF1891" s="2">
        <f t="shared" si="347"/>
        <v>350</v>
      </c>
      <c r="AG1891" s="2">
        <f t="shared" si="348"/>
        <v>0</v>
      </c>
    </row>
    <row r="1892" spans="1:33">
      <c r="A1892" s="20" t="s">
        <v>24419</v>
      </c>
      <c r="B1892" s="150"/>
      <c r="C1892" s="21" t="s">
        <v>24441</v>
      </c>
      <c r="D1892" s="109" t="s">
        <v>9855</v>
      </c>
      <c r="E1892" s="109" t="s">
        <v>24442</v>
      </c>
      <c r="F1892" s="391" t="s">
        <v>24451</v>
      </c>
      <c r="G1892" s="23" t="s">
        <v>24452</v>
      </c>
      <c r="H1892" s="23" t="s">
        <v>22432</v>
      </c>
      <c r="I1892" s="23" t="s">
        <v>24524</v>
      </c>
      <c r="J1892" s="23"/>
      <c r="K1892" s="23"/>
      <c r="L1892" s="375">
        <v>910</v>
      </c>
      <c r="M1892" s="351"/>
      <c r="N1892" s="267">
        <f t="shared" ref="N1892" si="373">SUM(L1892:M1892)</f>
        <v>910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7"/>
      <c r="Z1892" s="237"/>
      <c r="AA1892" s="279"/>
      <c r="AB1892" s="238"/>
      <c r="AC1892" s="196">
        <f t="shared" si="344"/>
        <v>0</v>
      </c>
      <c r="AD1892" s="196">
        <f t="shared" si="345"/>
        <v>0</v>
      </c>
      <c r="AE1892" s="196">
        <f t="shared" si="346"/>
        <v>0</v>
      </c>
      <c r="AF1892" s="2">
        <f t="shared" si="347"/>
        <v>0</v>
      </c>
      <c r="AG1892" s="2">
        <f t="shared" si="348"/>
        <v>0</v>
      </c>
    </row>
    <row r="1893" spans="1:33">
      <c r="A1893" s="20" t="s">
        <v>24260</v>
      </c>
      <c r="B1893" s="150"/>
      <c r="C1893" s="21" t="s">
        <v>24347</v>
      </c>
      <c r="D1893" s="109" t="s">
        <v>9855</v>
      </c>
      <c r="E1893" s="109" t="s">
        <v>23083</v>
      </c>
      <c r="F1893" s="391" t="s">
        <v>24354</v>
      </c>
      <c r="G1893" s="23" t="s">
        <v>22432</v>
      </c>
      <c r="H1893" s="23"/>
      <c r="I1893" s="23"/>
      <c r="J1893" s="23"/>
      <c r="K1893" s="23"/>
      <c r="L1893" s="375" t="s">
        <v>7787</v>
      </c>
      <c r="M1893" s="351"/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39"/>
      <c r="AB1893" s="238"/>
      <c r="AC1893" s="196">
        <f t="shared" si="344"/>
        <v>0</v>
      </c>
      <c r="AD1893" s="196">
        <f t="shared" si="345"/>
        <v>0</v>
      </c>
      <c r="AE1893" s="196">
        <f t="shared" si="346"/>
        <v>0</v>
      </c>
      <c r="AF1893" s="2">
        <f t="shared" si="347"/>
        <v>0</v>
      </c>
      <c r="AG1893" s="2">
        <f t="shared" si="348"/>
        <v>0</v>
      </c>
    </row>
    <row r="1894" spans="1:33">
      <c r="A1894" s="20" t="s">
        <v>24540</v>
      </c>
      <c r="B1894" s="150"/>
      <c r="C1894" s="21" t="s">
        <v>24347</v>
      </c>
      <c r="D1894" s="109" t="s">
        <v>9855</v>
      </c>
      <c r="E1894" s="109" t="s">
        <v>24573</v>
      </c>
      <c r="F1894" s="391" t="s">
        <v>24354</v>
      </c>
      <c r="G1894" s="23" t="s">
        <v>22432</v>
      </c>
      <c r="H1894" s="23" t="s">
        <v>24574</v>
      </c>
      <c r="I1894" s="23"/>
      <c r="J1894" s="23"/>
      <c r="K1894" s="23"/>
      <c r="L1894" s="375" t="s">
        <v>7787</v>
      </c>
      <c r="M1894" s="351" t="s">
        <v>7787</v>
      </c>
      <c r="N1894" s="267">
        <f t="shared" ref="N1894" si="377">SUM(L1894:M1894)</f>
        <v>0</v>
      </c>
      <c r="O1894" s="268">
        <f t="shared" ref="O1894" si="378">SUM(P1894:Z1894)</f>
        <v>0</v>
      </c>
      <c r="P1894" s="241"/>
      <c r="Q1894" s="239"/>
      <c r="R1894" s="239"/>
      <c r="S1894" s="239"/>
      <c r="T1894" s="239"/>
      <c r="U1894" s="241"/>
      <c r="V1894" s="240"/>
      <c r="W1894" s="240"/>
      <c r="X1894" s="278"/>
      <c r="Y1894" s="239"/>
      <c r="Z1894" s="237"/>
      <c r="AA1894" s="247"/>
      <c r="AB1894" s="238"/>
      <c r="AC1894" s="196">
        <f t="shared" si="344"/>
        <v>0</v>
      </c>
      <c r="AD1894" s="196">
        <f t="shared" si="345"/>
        <v>0</v>
      </c>
      <c r="AE1894" s="196">
        <f t="shared" si="346"/>
        <v>0</v>
      </c>
      <c r="AF1894" s="2">
        <f t="shared" si="347"/>
        <v>0</v>
      </c>
      <c r="AG1894" s="2">
        <f t="shared" si="348"/>
        <v>0</v>
      </c>
    </row>
    <row r="1895" spans="1:33">
      <c r="A1895" s="20" t="s">
        <v>24195</v>
      </c>
      <c r="B1895" s="150"/>
      <c r="C1895" s="21" t="s">
        <v>24229</v>
      </c>
      <c r="D1895" s="109" t="s">
        <v>9855</v>
      </c>
      <c r="E1895" s="109"/>
      <c r="F1895" s="391" t="s">
        <v>24230</v>
      </c>
      <c r="G1895" s="23" t="s">
        <v>13942</v>
      </c>
      <c r="H1895" s="23"/>
      <c r="I1895" s="23"/>
      <c r="J1895" s="23"/>
      <c r="K1895" s="23"/>
      <c r="L1895" s="375">
        <v>360</v>
      </c>
      <c r="M1895" s="351" t="s">
        <v>45</v>
      </c>
      <c r="N1895" s="267">
        <f t="shared" ref="N1895" si="379">SUM(L1895:M1895)</f>
        <v>360</v>
      </c>
      <c r="O1895" s="268">
        <f t="shared" ref="O1895" si="380">SUM(P1895:Z1895)</f>
        <v>1550</v>
      </c>
      <c r="P1895" s="241"/>
      <c r="Q1895" s="239"/>
      <c r="R1895" s="239"/>
      <c r="S1895" s="239"/>
      <c r="T1895" s="239"/>
      <c r="U1895" s="241">
        <f>100+1450</f>
        <v>1550</v>
      </c>
      <c r="V1895" s="240"/>
      <c r="W1895" s="240"/>
      <c r="X1895" s="278"/>
      <c r="Y1895" s="237"/>
      <c r="Z1895" s="237"/>
      <c r="AA1895" s="279"/>
      <c r="AB1895" s="238" t="s">
        <v>28011</v>
      </c>
      <c r="AC1895" s="196">
        <f t="shared" si="344"/>
        <v>1550</v>
      </c>
      <c r="AD1895" s="196">
        <f t="shared" si="345"/>
        <v>1550</v>
      </c>
      <c r="AE1895" s="196">
        <f t="shared" si="346"/>
        <v>0</v>
      </c>
      <c r="AF1895" s="2">
        <f t="shared" si="347"/>
        <v>1550</v>
      </c>
      <c r="AG1895" s="2">
        <f t="shared" si="348"/>
        <v>0</v>
      </c>
    </row>
    <row r="1896" spans="1:33">
      <c r="A1896" s="20" t="s">
        <v>24591</v>
      </c>
      <c r="B1896" s="150"/>
      <c r="C1896" s="21" t="s">
        <v>24631</v>
      </c>
      <c r="D1896" s="109" t="s">
        <v>9855</v>
      </c>
      <c r="E1896" s="109"/>
      <c r="F1896" s="391" t="s">
        <v>24633</v>
      </c>
      <c r="G1896" s="23" t="s">
        <v>24634</v>
      </c>
      <c r="H1896" s="23"/>
      <c r="I1896" s="23"/>
      <c r="J1896" s="23"/>
      <c r="K1896" s="23"/>
      <c r="L1896" s="375" t="s">
        <v>45</v>
      </c>
      <c r="M1896" s="351"/>
      <c r="N1896" s="267">
        <f t="shared" ref="N1896" si="381">SUM(L1896:M1896)</f>
        <v>0</v>
      </c>
      <c r="O1896" s="268">
        <f t="shared" ref="O1896" si="382">SUM(P1896:Z1896)</f>
        <v>600</v>
      </c>
      <c r="P1896" s="241">
        <f>800-200</f>
        <v>600</v>
      </c>
      <c r="Q1896" s="239"/>
      <c r="R1896" s="239"/>
      <c r="S1896" s="239"/>
      <c r="T1896" s="239"/>
      <c r="U1896" s="241"/>
      <c r="V1896" s="240"/>
      <c r="W1896" s="240"/>
      <c r="X1896" s="278"/>
      <c r="Y1896" s="237"/>
      <c r="Z1896" s="237"/>
      <c r="AA1896" s="279"/>
      <c r="AB1896" s="238" t="s">
        <v>27030</v>
      </c>
      <c r="AC1896" s="196">
        <f t="shared" si="344"/>
        <v>600</v>
      </c>
      <c r="AD1896" s="196">
        <f t="shared" si="345"/>
        <v>600</v>
      </c>
      <c r="AE1896" s="196">
        <f t="shared" si="346"/>
        <v>0</v>
      </c>
      <c r="AF1896" s="2">
        <f t="shared" si="347"/>
        <v>600</v>
      </c>
      <c r="AG1896" s="2">
        <f t="shared" si="348"/>
        <v>0</v>
      </c>
    </row>
    <row r="1897" spans="1:33">
      <c r="A1897" s="20" t="s">
        <v>24243</v>
      </c>
      <c r="B1897" s="150"/>
      <c r="C1897" s="21" t="s">
        <v>24270</v>
      </c>
      <c r="D1897" s="109" t="s">
        <v>9855</v>
      </c>
      <c r="E1897" s="109"/>
      <c r="F1897" s="391" t="s">
        <v>24283</v>
      </c>
      <c r="G1897" s="23" t="s">
        <v>24284</v>
      </c>
      <c r="H1897" s="23"/>
      <c r="I1897" s="23"/>
      <c r="J1897" s="23"/>
      <c r="K1897" s="23"/>
      <c r="L1897" s="375" t="s">
        <v>7787</v>
      </c>
      <c r="M1897" s="351" t="s">
        <v>7787</v>
      </c>
      <c r="N1897" s="267">
        <f t="shared" ref="N1897" si="383">SUM(L1897:M1897)</f>
        <v>0</v>
      </c>
      <c r="O1897" s="268">
        <f t="shared" ref="O1897" si="384">SUM(P1897:Z1897)</f>
        <v>1950</v>
      </c>
      <c r="P1897" s="241"/>
      <c r="Q1897" s="239"/>
      <c r="R1897" s="239"/>
      <c r="S1897" s="239"/>
      <c r="T1897" s="239"/>
      <c r="U1897" s="240">
        <f>2800+1700-2550</f>
        <v>1950</v>
      </c>
      <c r="V1897" s="240"/>
      <c r="W1897" s="240"/>
      <c r="X1897" s="278"/>
      <c r="Y1897" s="237"/>
      <c r="Z1897" s="237"/>
      <c r="AA1897" s="279"/>
      <c r="AB1897" s="238" t="s">
        <v>25250</v>
      </c>
      <c r="AC1897" s="196">
        <f t="shared" si="344"/>
        <v>1950</v>
      </c>
      <c r="AD1897" s="196">
        <f t="shared" si="345"/>
        <v>1950</v>
      </c>
      <c r="AE1897" s="196">
        <f t="shared" si="346"/>
        <v>0</v>
      </c>
      <c r="AF1897" s="2">
        <f t="shared" si="347"/>
        <v>1950</v>
      </c>
      <c r="AG1897" s="2">
        <f t="shared" si="348"/>
        <v>0</v>
      </c>
    </row>
    <row r="1898" spans="1:33">
      <c r="A1898" s="20" t="s">
        <v>24584</v>
      </c>
      <c r="B1898" s="150"/>
      <c r="C1898" s="21" t="s">
        <v>24601</v>
      </c>
      <c r="D1898" s="109" t="s">
        <v>9855</v>
      </c>
      <c r="E1898" s="109"/>
      <c r="F1898" s="391" t="s">
        <v>24609</v>
      </c>
      <c r="G1898" s="23" t="s">
        <v>13301</v>
      </c>
      <c r="H1898" s="23" t="s">
        <v>24752</v>
      </c>
      <c r="I1898" s="23" t="s">
        <v>25968</v>
      </c>
      <c r="J1898" s="23" t="s">
        <v>26004</v>
      </c>
      <c r="K1898" s="23"/>
      <c r="L1898" s="375" t="s">
        <v>45</v>
      </c>
      <c r="M1898" s="351" t="s">
        <v>45</v>
      </c>
      <c r="N1898" s="267">
        <f t="shared" ref="N1898" si="385">SUM(L1898:M1898)</f>
        <v>0</v>
      </c>
      <c r="O1898" s="268">
        <f t="shared" ref="O1898" si="386">SUM(P1898:Z1898)</f>
        <v>150</v>
      </c>
      <c r="P1898" s="241"/>
      <c r="Q1898" s="239"/>
      <c r="R1898" s="239"/>
      <c r="S1898" s="239"/>
      <c r="T1898" s="239"/>
      <c r="U1898" s="241">
        <f>500-350+500-500</f>
        <v>150</v>
      </c>
      <c r="V1898" s="240"/>
      <c r="W1898" s="240"/>
      <c r="X1898" s="278"/>
      <c r="Y1898" s="243"/>
      <c r="Z1898" s="237"/>
      <c r="AA1898" s="297"/>
      <c r="AB1898" s="238" t="s">
        <v>26156</v>
      </c>
      <c r="AC1898" s="196">
        <f t="shared" si="344"/>
        <v>150</v>
      </c>
      <c r="AD1898" s="196">
        <f t="shared" si="345"/>
        <v>150</v>
      </c>
      <c r="AE1898" s="196">
        <f t="shared" si="346"/>
        <v>0</v>
      </c>
      <c r="AF1898" s="2">
        <f t="shared" si="347"/>
        <v>150</v>
      </c>
      <c r="AG1898" s="2">
        <f t="shared" si="348"/>
        <v>0</v>
      </c>
    </row>
    <row r="1899" spans="1:33">
      <c r="A1899" s="20" t="s">
        <v>24669</v>
      </c>
      <c r="B1899" s="150"/>
      <c r="C1899" s="21" t="s">
        <v>24331</v>
      </c>
      <c r="D1899" s="109" t="s">
        <v>9855</v>
      </c>
      <c r="E1899" s="109" t="s">
        <v>6737</v>
      </c>
      <c r="F1899" s="391" t="s">
        <v>24333</v>
      </c>
      <c r="G1899" s="23" t="s">
        <v>13942</v>
      </c>
      <c r="H1899" s="23"/>
      <c r="I1899" s="23"/>
      <c r="J1899" s="23"/>
      <c r="K1899" s="23"/>
      <c r="L1899" s="375" t="s">
        <v>7787</v>
      </c>
      <c r="M1899" s="351"/>
      <c r="N1899" s="267">
        <f t="shared" ref="N1899" si="387">SUM(L1899:M1899)</f>
        <v>0</v>
      </c>
      <c r="O1899" s="268">
        <f t="shared" ref="O1899" si="388">SUM(P1899:Z1899)</f>
        <v>500</v>
      </c>
      <c r="P1899" s="241"/>
      <c r="Q1899" s="239"/>
      <c r="R1899" s="239"/>
      <c r="S1899" s="239"/>
      <c r="T1899" s="239"/>
      <c r="U1899" s="241">
        <f>500-300+200-200+300</f>
        <v>500</v>
      </c>
      <c r="V1899" s="240"/>
      <c r="W1899" s="240"/>
      <c r="X1899" s="278"/>
      <c r="Y1899" s="241"/>
      <c r="Z1899" s="237"/>
      <c r="AA1899" s="420"/>
      <c r="AB1899" s="238" t="s">
        <v>25252</v>
      </c>
      <c r="AC1899" s="196">
        <f t="shared" si="344"/>
        <v>500</v>
      </c>
      <c r="AD1899" s="196">
        <f t="shared" si="345"/>
        <v>500</v>
      </c>
      <c r="AE1899" s="196">
        <f t="shared" si="346"/>
        <v>0</v>
      </c>
      <c r="AF1899" s="2">
        <f t="shared" si="347"/>
        <v>500</v>
      </c>
      <c r="AG1899" s="2">
        <f t="shared" si="348"/>
        <v>0</v>
      </c>
    </row>
    <row r="1900" spans="1:33">
      <c r="A1900" s="20" t="s">
        <v>24363</v>
      </c>
      <c r="B1900" s="150"/>
      <c r="C1900" s="21" t="s">
        <v>24379</v>
      </c>
      <c r="D1900" s="109" t="s">
        <v>7761</v>
      </c>
      <c r="E1900" s="109"/>
      <c r="F1900" s="391" t="s">
        <v>24384</v>
      </c>
      <c r="G1900" s="23" t="s">
        <v>24380</v>
      </c>
      <c r="H1900" s="23"/>
      <c r="I1900" s="23"/>
      <c r="J1900" s="23"/>
      <c r="K1900" s="23"/>
      <c r="L1900" s="375" t="s">
        <v>45</v>
      </c>
      <c r="M1900" s="351"/>
      <c r="N1900" s="267">
        <f t="shared" ref="N1900" si="389">SUM(L1900:M1900)</f>
        <v>0</v>
      </c>
      <c r="O1900" s="268">
        <f t="shared" ref="O1900" si="390">SUM(P1900:Z1900)</f>
        <v>100</v>
      </c>
      <c r="P1900" s="241">
        <f>500-400</f>
        <v>100</v>
      </c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 t="s">
        <v>26654</v>
      </c>
      <c r="AC1900" s="196">
        <f t="shared" si="344"/>
        <v>100</v>
      </c>
      <c r="AD1900" s="196">
        <f t="shared" si="345"/>
        <v>100</v>
      </c>
      <c r="AE1900" s="196">
        <f t="shared" si="346"/>
        <v>0</v>
      </c>
      <c r="AF1900" s="2">
        <f t="shared" si="347"/>
        <v>100</v>
      </c>
      <c r="AG1900" s="2">
        <f t="shared" si="348"/>
        <v>0</v>
      </c>
    </row>
    <row r="1901" spans="1:33">
      <c r="A1901" s="20" t="s">
        <v>24481</v>
      </c>
      <c r="B1901" s="150"/>
      <c r="C1901" s="21" t="s">
        <v>24513</v>
      </c>
      <c r="D1901" s="109" t="s">
        <v>9855</v>
      </c>
      <c r="E1901" s="109"/>
      <c r="F1901" s="391" t="s">
        <v>24515</v>
      </c>
      <c r="G1901" s="23" t="s">
        <v>24514</v>
      </c>
      <c r="H1901" s="23"/>
      <c r="I1901" s="23"/>
      <c r="J1901" s="23"/>
      <c r="K1901" s="23"/>
      <c r="L1901" s="375" t="s">
        <v>7787</v>
      </c>
      <c r="M1901" s="351"/>
      <c r="N1901" s="267">
        <f t="shared" ref="N1901" si="391">SUM(L1901:M1901)</f>
        <v>0</v>
      </c>
      <c r="O1901" s="268">
        <f t="shared" ref="O1901" si="392">SUM(P1901:Z1901)</f>
        <v>0</v>
      </c>
      <c r="P1901" s="241"/>
      <c r="Q1901" s="239"/>
      <c r="R1901" s="239"/>
      <c r="S1901" s="239"/>
      <c r="T1901" s="239"/>
      <c r="U1901" s="241"/>
      <c r="V1901" s="240"/>
      <c r="W1901" s="240"/>
      <c r="X1901" s="278"/>
      <c r="Y1901" s="237"/>
      <c r="Z1901" s="237"/>
      <c r="AA1901" s="279"/>
      <c r="AB1901" s="238"/>
      <c r="AC1901" s="196">
        <f t="shared" si="344"/>
        <v>0</v>
      </c>
      <c r="AD1901" s="196">
        <f t="shared" si="345"/>
        <v>0</v>
      </c>
      <c r="AE1901" s="196">
        <f t="shared" si="346"/>
        <v>0</v>
      </c>
      <c r="AF1901" s="2">
        <f t="shared" si="347"/>
        <v>0</v>
      </c>
      <c r="AG1901" s="2">
        <f t="shared" si="348"/>
        <v>0</v>
      </c>
    </row>
    <row r="1902" spans="1:33">
      <c r="A1902" s="20" t="s">
        <v>24258</v>
      </c>
      <c r="B1902" s="150"/>
      <c r="C1902" s="21" t="s">
        <v>24344</v>
      </c>
      <c r="D1902" s="109" t="s">
        <v>9855</v>
      </c>
      <c r="E1902" s="109" t="s">
        <v>24345</v>
      </c>
      <c r="F1902" s="391" t="s">
        <v>24346</v>
      </c>
      <c r="G1902" s="23" t="s">
        <v>24348</v>
      </c>
      <c r="H1902" s="23"/>
      <c r="I1902" s="23"/>
      <c r="J1902" s="23"/>
      <c r="K1902" s="23"/>
      <c r="L1902" s="375" t="s">
        <v>45</v>
      </c>
      <c r="M1902" s="351"/>
      <c r="N1902" s="267">
        <f t="shared" ref="N1902:N1910" si="393">SUM(L1902:M1902)</f>
        <v>0</v>
      </c>
      <c r="O1902" s="268">
        <f t="shared" ref="O1902:O1910" si="394">SUM(P1902:Z1902)</f>
        <v>1000</v>
      </c>
      <c r="P1902" s="241">
        <f>3200+3900-300+4000+3900+3800+3900+3900-2000-22700+450+2750-450-4200+2150+2400+900-5000-50</f>
        <v>550</v>
      </c>
      <c r="Q1902" s="239"/>
      <c r="R1902" s="239"/>
      <c r="S1902" s="239"/>
      <c r="T1902" s="239"/>
      <c r="U1902" s="241">
        <f>450</f>
        <v>450</v>
      </c>
      <c r="V1902" s="240"/>
      <c r="W1902" s="240"/>
      <c r="X1902" s="278"/>
      <c r="Y1902" s="237"/>
      <c r="Z1902" s="237"/>
      <c r="AA1902" s="279"/>
      <c r="AB1902" s="238" t="s">
        <v>25128</v>
      </c>
      <c r="AC1902" s="196">
        <f t="shared" si="344"/>
        <v>1000</v>
      </c>
      <c r="AD1902" s="196">
        <f t="shared" si="345"/>
        <v>1000</v>
      </c>
      <c r="AE1902" s="196">
        <f t="shared" si="346"/>
        <v>0</v>
      </c>
      <c r="AF1902" s="2">
        <f t="shared" si="347"/>
        <v>1000</v>
      </c>
      <c r="AG1902" s="2">
        <f t="shared" si="348"/>
        <v>0</v>
      </c>
    </row>
    <row r="1903" spans="1:33">
      <c r="A1903" s="20" t="s">
        <v>24262</v>
      </c>
      <c r="B1903" s="150"/>
      <c r="C1903" s="21" t="s">
        <v>24355</v>
      </c>
      <c r="D1903" s="109" t="s">
        <v>9855</v>
      </c>
      <c r="E1903" s="109" t="s">
        <v>24356</v>
      </c>
      <c r="F1903" s="391" t="s">
        <v>24360</v>
      </c>
      <c r="G1903" s="23" t="s">
        <v>24361</v>
      </c>
      <c r="H1903" s="23" t="s">
        <v>24508</v>
      </c>
      <c r="I1903" s="23"/>
      <c r="J1903" s="23"/>
      <c r="K1903" s="23"/>
      <c r="L1903" s="375" t="s">
        <v>7787</v>
      </c>
      <c r="M1903" s="351" t="s">
        <v>7787</v>
      </c>
      <c r="N1903" s="267">
        <f t="shared" ref="N1903" si="395">SUM(L1903:M1903)</f>
        <v>0</v>
      </c>
      <c r="O1903" s="268">
        <f t="shared" ref="O1903" si="396">SUM(P1903:Z1903)</f>
        <v>250</v>
      </c>
      <c r="P1903" s="241"/>
      <c r="Q1903" s="239">
        <f>550-500+550-150+300+700-500-500-300-100+600-400</f>
        <v>250</v>
      </c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 t="s">
        <v>25117</v>
      </c>
      <c r="AC1903" s="196">
        <f t="shared" si="344"/>
        <v>250</v>
      </c>
      <c r="AD1903" s="196">
        <f t="shared" si="345"/>
        <v>250</v>
      </c>
      <c r="AE1903" s="196">
        <f t="shared" si="346"/>
        <v>0</v>
      </c>
      <c r="AF1903" s="2">
        <f t="shared" si="347"/>
        <v>250</v>
      </c>
      <c r="AG1903" s="2">
        <f t="shared" si="348"/>
        <v>0</v>
      </c>
    </row>
    <row r="1904" spans="1:33">
      <c r="A1904" s="20" t="s">
        <v>26382</v>
      </c>
      <c r="B1904" s="150"/>
      <c r="C1904" s="21" t="s">
        <v>25852</v>
      </c>
      <c r="D1904" s="109" t="s">
        <v>7761</v>
      </c>
      <c r="E1904" s="109" t="s">
        <v>20884</v>
      </c>
      <c r="F1904" s="391" t="s">
        <v>25875</v>
      </c>
      <c r="G1904" s="23" t="s">
        <v>6133</v>
      </c>
      <c r="H1904" s="23"/>
      <c r="I1904" s="23"/>
      <c r="J1904" s="23"/>
      <c r="K1904" s="23"/>
      <c r="L1904" s="375" t="s">
        <v>45</v>
      </c>
      <c r="M1904" s="351" t="s">
        <v>45</v>
      </c>
      <c r="N1904" s="267">
        <f t="shared" ref="N1904" si="397">SUM(L1904:M1904)</f>
        <v>0</v>
      </c>
      <c r="O1904" s="268">
        <f t="shared" ref="O1904" si="398">SUM(P1904:Z1904)</f>
        <v>0</v>
      </c>
      <c r="P1904" s="241"/>
      <c r="Q1904" s="239"/>
      <c r="R1904" s="239"/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/>
      <c r="AC1904" s="196">
        <f t="shared" si="344"/>
        <v>0</v>
      </c>
      <c r="AD1904" s="196">
        <f t="shared" si="345"/>
        <v>0</v>
      </c>
      <c r="AE1904" s="196">
        <f t="shared" si="346"/>
        <v>0</v>
      </c>
      <c r="AF1904" s="2">
        <f t="shared" si="347"/>
        <v>0</v>
      </c>
      <c r="AG1904" s="2">
        <f t="shared" si="348"/>
        <v>0</v>
      </c>
    </row>
    <row r="1905" spans="1:33">
      <c r="A1905" s="20" t="s">
        <v>25814</v>
      </c>
      <c r="B1905" s="150"/>
      <c r="C1905" s="21" t="s">
        <v>25852</v>
      </c>
      <c r="D1905" s="109" t="s">
        <v>7761</v>
      </c>
      <c r="E1905" s="109" t="s">
        <v>25925</v>
      </c>
      <c r="F1905" s="391" t="s">
        <v>25875</v>
      </c>
      <c r="G1905" s="23" t="s">
        <v>25854</v>
      </c>
      <c r="H1905" s="23"/>
      <c r="I1905" s="23"/>
      <c r="J1905" s="23"/>
      <c r="K1905" s="23"/>
      <c r="L1905" s="375"/>
      <c r="M1905" s="351"/>
      <c r="N1905" s="267">
        <f t="shared" ref="N1905:N1906" si="399">SUM(L1905:M1905)</f>
        <v>0</v>
      </c>
      <c r="O1905" s="268">
        <f t="shared" ref="O1905:O1906" si="400">SUM(P1905:Z1905)</f>
        <v>24900</v>
      </c>
      <c r="P1905" s="239"/>
      <c r="Q1905" s="239"/>
      <c r="R1905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5" s="239"/>
      <c r="T1905" s="239"/>
      <c r="U1905" s="241"/>
      <c r="V1905" s="240"/>
      <c r="W1905" s="240"/>
      <c r="X1905" s="278"/>
      <c r="Y1905" s="237"/>
      <c r="Z1905" s="237"/>
      <c r="AA1905" s="279"/>
      <c r="AB1905" s="238" t="s">
        <v>27522</v>
      </c>
      <c r="AC1905" s="196">
        <f t="shared" si="344"/>
        <v>24900</v>
      </c>
      <c r="AD1905" s="196">
        <f t="shared" si="345"/>
        <v>24900</v>
      </c>
      <c r="AE1905" s="196">
        <f t="shared" si="346"/>
        <v>0</v>
      </c>
      <c r="AF1905" s="2">
        <f t="shared" si="347"/>
        <v>24900</v>
      </c>
      <c r="AG1905" s="2">
        <f t="shared" si="348"/>
        <v>0</v>
      </c>
    </row>
    <row r="1906" spans="1:33">
      <c r="A1906" s="20" t="s">
        <v>24539</v>
      </c>
      <c r="B1906" s="150"/>
      <c r="C1906" s="21" t="s">
        <v>24579</v>
      </c>
      <c r="D1906" s="109" t="s">
        <v>9855</v>
      </c>
      <c r="E1906" s="109"/>
      <c r="F1906" s="391" t="s">
        <v>24580</v>
      </c>
      <c r="G1906" s="23" t="s">
        <v>13942</v>
      </c>
      <c r="H1906" s="23"/>
      <c r="I1906" s="23"/>
      <c r="J1906" s="23"/>
      <c r="K1906" s="23"/>
      <c r="L1906" s="375" t="s">
        <v>27757</v>
      </c>
      <c r="M1906" s="351" t="s">
        <v>45</v>
      </c>
      <c r="N1906" s="267">
        <f t="shared" si="399"/>
        <v>0</v>
      </c>
      <c r="O1906" s="268">
        <f t="shared" si="400"/>
        <v>300</v>
      </c>
      <c r="P1906" s="241"/>
      <c r="Q1906" s="239"/>
      <c r="R1906" s="239"/>
      <c r="S1906" s="239"/>
      <c r="T1906" s="239"/>
      <c r="U1906" s="241">
        <v>300</v>
      </c>
      <c r="V1906" s="240"/>
      <c r="W1906" s="240"/>
      <c r="X1906" s="278"/>
      <c r="Y1906" s="237"/>
      <c r="Z1906" s="237"/>
      <c r="AA1906" s="279"/>
      <c r="AB1906" s="238" t="s">
        <v>27752</v>
      </c>
      <c r="AC1906" s="196">
        <f t="shared" si="344"/>
        <v>300</v>
      </c>
      <c r="AD1906" s="196">
        <f t="shared" si="345"/>
        <v>300</v>
      </c>
      <c r="AE1906" s="196">
        <f t="shared" si="346"/>
        <v>0</v>
      </c>
      <c r="AF1906" s="2">
        <f t="shared" si="347"/>
        <v>300</v>
      </c>
      <c r="AG1906" s="2">
        <f t="shared" si="348"/>
        <v>0</v>
      </c>
    </row>
    <row r="1907" spans="1:33">
      <c r="A1907" s="20" t="s">
        <v>24996</v>
      </c>
      <c r="B1907" s="150"/>
      <c r="C1907" s="21" t="s">
        <v>25039</v>
      </c>
      <c r="D1907" s="109" t="s">
        <v>9855</v>
      </c>
      <c r="E1907" s="109" t="s">
        <v>22282</v>
      </c>
      <c r="F1907" s="391" t="s">
        <v>25048</v>
      </c>
      <c r="G1907" s="23" t="s">
        <v>24409</v>
      </c>
      <c r="H1907" s="23"/>
      <c r="I1907" s="23"/>
      <c r="J1907" s="23"/>
      <c r="K1907" s="23"/>
      <c r="L1907" s="375" t="s">
        <v>7787</v>
      </c>
      <c r="M1907" s="351"/>
      <c r="N1907" s="267">
        <f t="shared" ref="N1907" si="401">SUM(L1907:M1907)</f>
        <v>0</v>
      </c>
      <c r="O1907" s="268">
        <f t="shared" ref="O1907" si="402">SUM(P1907:Z1907)</f>
        <v>300</v>
      </c>
      <c r="P1907" s="241"/>
      <c r="Q1907" s="239"/>
      <c r="R1907" s="239"/>
      <c r="S1907" s="239"/>
      <c r="T1907" s="239"/>
      <c r="U1907" s="241">
        <f>600-300</f>
        <v>300</v>
      </c>
      <c r="V1907" s="240"/>
      <c r="W1907" s="240"/>
      <c r="X1907" s="278"/>
      <c r="Y1907" s="237"/>
      <c r="Z1907" s="237"/>
      <c r="AA1907" s="279"/>
      <c r="AB1907" s="238" t="s">
        <v>25047</v>
      </c>
      <c r="AC1907" s="196">
        <f t="shared" si="344"/>
        <v>300</v>
      </c>
      <c r="AD1907" s="196">
        <f t="shared" si="345"/>
        <v>300</v>
      </c>
      <c r="AE1907" s="196">
        <f t="shared" si="346"/>
        <v>0</v>
      </c>
      <c r="AF1907" s="2">
        <f t="shared" si="347"/>
        <v>300</v>
      </c>
      <c r="AG1907" s="2">
        <f t="shared" si="348"/>
        <v>0</v>
      </c>
    </row>
    <row r="1908" spans="1:33">
      <c r="A1908" s="20" t="s">
        <v>24590</v>
      </c>
      <c r="B1908" s="150"/>
      <c r="C1908" s="21" t="s">
        <v>24619</v>
      </c>
      <c r="D1908" s="109" t="s">
        <v>9855</v>
      </c>
      <c r="E1908" s="109"/>
      <c r="F1908" s="391" t="s">
        <v>24624</v>
      </c>
      <c r="G1908" s="23" t="s">
        <v>14785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100</v>
      </c>
      <c r="P1908" s="241"/>
      <c r="Q1908" s="239"/>
      <c r="R1908" s="239"/>
      <c r="S1908" s="239"/>
      <c r="T1908" s="239"/>
      <c r="U1908" s="241">
        <f>300-50-200+1850+250-2050</f>
        <v>100</v>
      </c>
      <c r="V1908" s="240"/>
      <c r="W1908" s="240"/>
      <c r="X1908" s="278"/>
      <c r="Y1908" s="237"/>
      <c r="Z1908" s="237"/>
      <c r="AA1908" s="279"/>
      <c r="AB1908" s="238" t="s">
        <v>24873</v>
      </c>
      <c r="AC1908" s="196">
        <f t="shared" si="344"/>
        <v>100</v>
      </c>
      <c r="AD1908" s="196">
        <f t="shared" si="345"/>
        <v>100</v>
      </c>
      <c r="AE1908" s="196">
        <f t="shared" si="346"/>
        <v>0</v>
      </c>
      <c r="AF1908" s="2">
        <f t="shared" si="347"/>
        <v>100</v>
      </c>
      <c r="AG1908" s="2">
        <f t="shared" si="348"/>
        <v>0</v>
      </c>
    </row>
    <row r="1909" spans="1:33">
      <c r="A1909" s="20" t="s">
        <v>24372</v>
      </c>
      <c r="B1909" s="150"/>
      <c r="C1909" s="21" t="s">
        <v>24408</v>
      </c>
      <c r="D1909" s="109" t="s">
        <v>9855</v>
      </c>
      <c r="E1909" s="109" t="s">
        <v>22282</v>
      </c>
      <c r="F1909" s="391" t="s">
        <v>24426</v>
      </c>
      <c r="G1909" s="23" t="s">
        <v>24409</v>
      </c>
      <c r="H1909" s="23"/>
      <c r="I1909" s="23"/>
      <c r="J1909" s="23"/>
      <c r="K1909" s="23"/>
      <c r="L1909" s="375" t="s">
        <v>7787</v>
      </c>
      <c r="M1909" s="351" t="s">
        <v>7787</v>
      </c>
      <c r="N1909" s="267">
        <f t="shared" ref="N1909" si="405">SUM(L1909:M1909)</f>
        <v>0</v>
      </c>
      <c r="O1909" s="268">
        <f t="shared" ref="O1909" si="406">SUM(P1909:Z1909)</f>
        <v>0</v>
      </c>
      <c r="P1909" s="241"/>
      <c r="Q1909" s="239"/>
      <c r="R1909" s="239"/>
      <c r="S1909" s="239"/>
      <c r="T1909" s="239"/>
      <c r="U1909" s="241"/>
      <c r="V1909" s="240"/>
      <c r="W1909" s="240"/>
      <c r="X1909" s="278"/>
      <c r="Y1909" s="237"/>
      <c r="Z1909" s="237"/>
      <c r="AA1909" s="279"/>
      <c r="AB1909" s="238"/>
      <c r="AC1909" s="196">
        <f t="shared" si="344"/>
        <v>0</v>
      </c>
      <c r="AD1909" s="196">
        <f t="shared" si="345"/>
        <v>0</v>
      </c>
      <c r="AE1909" s="196">
        <f t="shared" si="346"/>
        <v>0</v>
      </c>
      <c r="AF1909" s="2">
        <f t="shared" si="347"/>
        <v>0</v>
      </c>
      <c r="AG1909" s="2">
        <f t="shared" si="348"/>
        <v>0</v>
      </c>
    </row>
    <row r="1910" spans="1:33">
      <c r="A1910" s="20" t="s">
        <v>1912</v>
      </c>
      <c r="B1910" s="150"/>
      <c r="C1910" s="21" t="s">
        <v>782</v>
      </c>
      <c r="D1910" s="109" t="s">
        <v>13949</v>
      </c>
      <c r="E1910" s="109"/>
      <c r="F1910" s="391" t="s">
        <v>15106</v>
      </c>
      <c r="G1910" s="23"/>
      <c r="H1910" s="23"/>
      <c r="I1910" s="23"/>
      <c r="J1910" s="23"/>
      <c r="K1910" s="23"/>
      <c r="L1910" s="350"/>
      <c r="M1910" s="351"/>
      <c r="N1910" s="267">
        <f t="shared" si="393"/>
        <v>0</v>
      </c>
      <c r="O1910" s="268">
        <f t="shared" si="394"/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4"/>
        <v>0</v>
      </c>
      <c r="AD1910" s="196">
        <f t="shared" si="345"/>
        <v>0</v>
      </c>
      <c r="AE1910" s="196">
        <f t="shared" si="346"/>
        <v>0</v>
      </c>
      <c r="AF1910" s="2">
        <f t="shared" si="347"/>
        <v>0</v>
      </c>
      <c r="AG1910" s="2">
        <f t="shared" si="348"/>
        <v>0</v>
      </c>
    </row>
    <row r="1911" spans="1:33">
      <c r="A1911" s="20" t="s">
        <v>24665</v>
      </c>
      <c r="B1911" s="150"/>
      <c r="C1911" s="21" t="s">
        <v>24693</v>
      </c>
      <c r="D1911" s="109" t="s">
        <v>9855</v>
      </c>
      <c r="E1911" s="109" t="s">
        <v>20884</v>
      </c>
      <c r="F1911" s="391" t="s">
        <v>24694</v>
      </c>
      <c r="G1911" s="23" t="s">
        <v>25746</v>
      </c>
      <c r="H1911" s="23" t="s">
        <v>25224</v>
      </c>
      <c r="I1911" s="23"/>
      <c r="J1911" s="23"/>
      <c r="K1911" s="23"/>
      <c r="L1911" s="375" t="s">
        <v>7787</v>
      </c>
      <c r="M1911" s="351" t="s">
        <v>45</v>
      </c>
      <c r="N1911" s="267">
        <f t="shared" ref="N1911" si="407">SUM(L1911:M1911)</f>
        <v>0</v>
      </c>
      <c r="O1911" s="268">
        <f t="shared" ref="O1911" si="408">SUM(P1911:Z1911)</f>
        <v>0</v>
      </c>
      <c r="P1911" s="239"/>
      <c r="Q1911" s="239"/>
      <c r="R1911" s="239"/>
      <c r="S1911" s="239"/>
      <c r="T1911" s="239"/>
      <c r="U1911" s="240"/>
      <c r="V1911" s="240"/>
      <c r="W1911" s="240"/>
      <c r="X1911" s="278"/>
      <c r="Y1911" s="237"/>
      <c r="Z1911" s="237"/>
      <c r="AA1911" s="279"/>
      <c r="AB1911" s="238"/>
      <c r="AC1911" s="196">
        <f t="shared" si="344"/>
        <v>0</v>
      </c>
      <c r="AD1911" s="196">
        <f t="shared" si="345"/>
        <v>0</v>
      </c>
      <c r="AE1911" s="196">
        <f t="shared" si="346"/>
        <v>0</v>
      </c>
      <c r="AF1911" s="2">
        <f t="shared" si="347"/>
        <v>0</v>
      </c>
      <c r="AG1911" s="2">
        <f t="shared" si="348"/>
        <v>0</v>
      </c>
    </row>
    <row r="1912" spans="1:33">
      <c r="A1912" s="20" t="s">
        <v>24722</v>
      </c>
      <c r="B1912" s="150"/>
      <c r="C1912" s="323" t="s">
        <v>24742</v>
      </c>
      <c r="D1912" s="109" t="s">
        <v>9855</v>
      </c>
      <c r="E1912" s="109" t="s">
        <v>27712</v>
      </c>
      <c r="F1912" s="391" t="s">
        <v>24694</v>
      </c>
      <c r="G1912" s="23" t="s">
        <v>22432</v>
      </c>
      <c r="H1912" s="23" t="s">
        <v>25746</v>
      </c>
      <c r="I1912" s="23"/>
      <c r="J1912" s="23"/>
      <c r="K1912" s="23"/>
      <c r="L1912" s="375">
        <f>8850+1600+1550</f>
        <v>12000</v>
      </c>
      <c r="M1912" s="351" t="s">
        <v>45</v>
      </c>
      <c r="N1912" s="267">
        <f t="shared" ref="N1912" si="409">SUM(L1912:M1912)</f>
        <v>12000</v>
      </c>
      <c r="O1912" s="268">
        <f t="shared" ref="O1912" si="410">SUM(P1912:Z1912)</f>
        <v>2000</v>
      </c>
      <c r="P1912" s="239"/>
      <c r="Q1912" s="239"/>
      <c r="R1912" s="239">
        <f>6400-2450-750+1750-2950-1500+1500</f>
        <v>2000</v>
      </c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 t="s">
        <v>28042</v>
      </c>
      <c r="AC1912" s="196">
        <f t="shared" si="344"/>
        <v>2000</v>
      </c>
      <c r="AD1912" s="196">
        <f t="shared" si="345"/>
        <v>2000</v>
      </c>
      <c r="AE1912" s="196">
        <f t="shared" si="346"/>
        <v>0</v>
      </c>
      <c r="AF1912" s="2">
        <f t="shared" si="347"/>
        <v>2000</v>
      </c>
      <c r="AG1912" s="2">
        <f t="shared" si="348"/>
        <v>0</v>
      </c>
    </row>
    <row r="1913" spans="1:33">
      <c r="A1913" s="20"/>
      <c r="B1913" s="150"/>
      <c r="C1913" s="323" t="s">
        <v>27709</v>
      </c>
      <c r="D1913" s="109" t="s">
        <v>24785</v>
      </c>
      <c r="E1913" s="109" t="s">
        <v>27703</v>
      </c>
      <c r="F1913" s="391" t="s">
        <v>27710</v>
      </c>
      <c r="G1913" s="23" t="s">
        <v>27711</v>
      </c>
      <c r="H1913" s="23" t="s">
        <v>5334</v>
      </c>
      <c r="I1913" s="23"/>
      <c r="J1913" s="23"/>
      <c r="K1913" s="23"/>
      <c r="L1913" s="375" t="s">
        <v>7787</v>
      </c>
      <c r="M1913" s="351" t="s">
        <v>7787</v>
      </c>
      <c r="N1913" s="267">
        <f t="shared" ref="N1913" si="411">SUM(L1913:M1913)</f>
        <v>0</v>
      </c>
      <c r="O1913" s="268">
        <f t="shared" ref="O1913" si="412">SUM(P1913:Z1913)</f>
        <v>0</v>
      </c>
      <c r="P1913" s="239"/>
      <c r="Q1913" s="239"/>
      <c r="R1913" s="239"/>
      <c r="S1913" s="239"/>
      <c r="T1913" s="239"/>
      <c r="U1913" s="239"/>
      <c r="V1913" s="240"/>
      <c r="W1913" s="240"/>
      <c r="X1913" s="278"/>
      <c r="Y1913" s="237"/>
      <c r="Z1913" s="237"/>
      <c r="AA1913" s="279"/>
      <c r="AB1913" s="238"/>
      <c r="AC1913" s="196">
        <f t="shared" ref="AC1913" si="413">SUM(P1913:AA1913)</f>
        <v>0</v>
      </c>
      <c r="AD1913" s="196">
        <f t="shared" ref="AD1913" si="414">SUM(P1913:AB1913)</f>
        <v>0</v>
      </c>
      <c r="AE1913" s="196">
        <f t="shared" ref="AE1913" si="415">SUM(AC1913-AD1913)</f>
        <v>0</v>
      </c>
      <c r="AF1913" s="2">
        <f t="shared" ref="AF1913" si="416">+AC1913</f>
        <v>0</v>
      </c>
      <c r="AG1913" s="2">
        <f t="shared" ref="AG1913" si="417">+AC1913-AF1913</f>
        <v>0</v>
      </c>
    </row>
    <row r="1914" spans="1:33">
      <c r="A1914" s="20" t="s">
        <v>24527</v>
      </c>
      <c r="B1914" s="150"/>
      <c r="C1914" s="21" t="s">
        <v>24546</v>
      </c>
      <c r="D1914" s="109" t="s">
        <v>9855</v>
      </c>
      <c r="E1914" s="109"/>
      <c r="F1914" s="391" t="s">
        <v>24548</v>
      </c>
      <c r="G1914" s="23" t="s">
        <v>13942</v>
      </c>
      <c r="H1914" s="23" t="s">
        <v>24614</v>
      </c>
      <c r="I1914" s="23"/>
      <c r="J1914" s="23"/>
      <c r="K1914" s="23"/>
      <c r="L1914" s="375"/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4"/>
        <v>0</v>
      </c>
      <c r="AD1914" s="196">
        <f t="shared" si="345"/>
        <v>0</v>
      </c>
      <c r="AE1914" s="196">
        <f t="shared" si="346"/>
        <v>0</v>
      </c>
      <c r="AF1914" s="2">
        <f t="shared" si="347"/>
        <v>0</v>
      </c>
      <c r="AG1914" s="2">
        <f t="shared" si="348"/>
        <v>0</v>
      </c>
    </row>
    <row r="1915" spans="1:33">
      <c r="A1915" s="20" t="s">
        <v>24660</v>
      </c>
      <c r="B1915" s="150"/>
      <c r="C1915" s="21" t="s">
        <v>24681</v>
      </c>
      <c r="D1915" s="109" t="s">
        <v>9855</v>
      </c>
      <c r="E1915" s="109" t="s">
        <v>20884</v>
      </c>
      <c r="F1915" s="391" t="s">
        <v>24687</v>
      </c>
      <c r="G1915" s="23" t="s">
        <v>22432</v>
      </c>
      <c r="H1915" s="23" t="s">
        <v>24688</v>
      </c>
      <c r="I1915" s="23"/>
      <c r="J1915" s="23"/>
      <c r="K1915" s="23"/>
      <c r="L1915" s="375" t="s">
        <v>7787</v>
      </c>
      <c r="M1915" s="351" t="s">
        <v>7787</v>
      </c>
      <c r="N1915" s="267">
        <f t="shared" ref="N1915" si="420">SUM(L1915:M1915)</f>
        <v>0</v>
      </c>
      <c r="O1915" s="268">
        <f t="shared" ref="O1915" si="421">SUM(P1915:Z1915)</f>
        <v>0</v>
      </c>
      <c r="P1915" s="239"/>
      <c r="Q1915" s="239"/>
      <c r="R1915" s="239"/>
      <c r="S1915" s="239"/>
      <c r="T1915" s="239"/>
      <c r="U1915" s="240"/>
      <c r="V1915" s="240"/>
      <c r="W1915" s="240"/>
      <c r="X1915" s="278"/>
      <c r="Y1915" s="237"/>
      <c r="Z1915" s="237"/>
      <c r="AA1915" s="279"/>
      <c r="AB1915" s="238"/>
      <c r="AC1915" s="196">
        <f t="shared" si="344"/>
        <v>0</v>
      </c>
      <c r="AD1915" s="196">
        <f t="shared" si="345"/>
        <v>0</v>
      </c>
      <c r="AE1915" s="196">
        <f t="shared" si="346"/>
        <v>0</v>
      </c>
      <c r="AF1915" s="2">
        <f t="shared" si="347"/>
        <v>0</v>
      </c>
      <c r="AG1915" s="2">
        <f t="shared" si="348"/>
        <v>0</v>
      </c>
    </row>
    <row r="1916" spans="1:33">
      <c r="A1916" s="20" t="s">
        <v>24585</v>
      </c>
      <c r="B1916" s="150"/>
      <c r="C1916" s="21" t="s">
        <v>24602</v>
      </c>
      <c r="D1916" s="109" t="s">
        <v>9855</v>
      </c>
      <c r="E1916" s="109"/>
      <c r="F1916" s="391" t="s">
        <v>24610</v>
      </c>
      <c r="G1916" s="23" t="s">
        <v>24615</v>
      </c>
      <c r="H1916" s="23" t="s">
        <v>25446</v>
      </c>
      <c r="I1916" s="23"/>
      <c r="J1916" s="23"/>
      <c r="K1916" s="23"/>
      <c r="L1916" s="375" t="s">
        <v>27951</v>
      </c>
      <c r="M1916" s="351" t="s">
        <v>45</v>
      </c>
      <c r="N1916" s="267">
        <f t="shared" ref="N1916" si="422">SUM(L1916:M1916)</f>
        <v>0</v>
      </c>
      <c r="O1916" s="268">
        <f t="shared" ref="O1916" si="423">SUM(P1916:Z1916)</f>
        <v>2100</v>
      </c>
      <c r="P1916" s="240"/>
      <c r="Q1916" s="239"/>
      <c r="R1916" s="239"/>
      <c r="S1916" s="239"/>
      <c r="T1916" s="239"/>
      <c r="U1916" s="240">
        <v>2100</v>
      </c>
      <c r="V1916" s="240"/>
      <c r="W1916" s="240"/>
      <c r="X1916" s="278"/>
      <c r="Y1916" s="237"/>
      <c r="Z1916" s="237"/>
      <c r="AA1916" s="279"/>
      <c r="AB1916" s="238" t="s">
        <v>27943</v>
      </c>
      <c r="AC1916" s="196">
        <f t="shared" si="344"/>
        <v>2100</v>
      </c>
      <c r="AD1916" s="196">
        <f t="shared" si="345"/>
        <v>2100</v>
      </c>
      <c r="AE1916" s="196">
        <f t="shared" si="346"/>
        <v>0</v>
      </c>
      <c r="AF1916" s="2">
        <f t="shared" si="347"/>
        <v>2100</v>
      </c>
      <c r="AG1916" s="2">
        <f t="shared" si="348"/>
        <v>0</v>
      </c>
    </row>
    <row r="1917" spans="1:33">
      <c r="A1917" s="20" t="s">
        <v>27058</v>
      </c>
      <c r="B1917" s="150"/>
      <c r="C1917" s="21" t="s">
        <v>24602</v>
      </c>
      <c r="D1917" s="109" t="s">
        <v>8376</v>
      </c>
      <c r="E1917" s="109" t="s">
        <v>3117</v>
      </c>
      <c r="F1917" s="391" t="s">
        <v>24610</v>
      </c>
      <c r="G1917" s="23" t="s">
        <v>13301</v>
      </c>
      <c r="H1917" s="23"/>
      <c r="I1917" s="23"/>
      <c r="J1917" s="23"/>
      <c r="K1917" s="23"/>
      <c r="L1917" s="375" t="s">
        <v>45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4"/>
        <v>0</v>
      </c>
      <c r="AD1917" s="196">
        <f t="shared" si="345"/>
        <v>0</v>
      </c>
      <c r="AE1917" s="196">
        <f t="shared" si="346"/>
        <v>0</v>
      </c>
      <c r="AF1917" s="2">
        <f t="shared" si="347"/>
        <v>0</v>
      </c>
      <c r="AG1917" s="2">
        <f t="shared" si="348"/>
        <v>0</v>
      </c>
    </row>
    <row r="1918" spans="1:33">
      <c r="A1918" s="20" t="s">
        <v>24667</v>
      </c>
      <c r="B1918" s="150"/>
      <c r="C1918" s="21" t="s">
        <v>24704</v>
      </c>
      <c r="D1918" s="109" t="s">
        <v>9855</v>
      </c>
      <c r="E1918" s="109"/>
      <c r="F1918" s="391" t="s">
        <v>24706</v>
      </c>
      <c r="G1918" s="23" t="s">
        <v>15071</v>
      </c>
      <c r="H1918" s="23"/>
      <c r="I1918" s="23"/>
      <c r="J1918" s="23"/>
      <c r="K1918" s="23"/>
      <c r="L1918" s="375" t="s">
        <v>7787</v>
      </c>
      <c r="M1918" s="351"/>
      <c r="N1918" s="267">
        <f t="shared" ref="N1918" si="426">SUM(L1918:M1918)</f>
        <v>0</v>
      </c>
      <c r="O1918" s="268">
        <f t="shared" ref="O1918" si="427">SUM(P1918:Z1918)</f>
        <v>0</v>
      </c>
      <c r="P1918" s="239"/>
      <c r="Q1918" s="239"/>
      <c r="R1918" s="239"/>
      <c r="S1918" s="239"/>
      <c r="T1918" s="239"/>
      <c r="U1918" s="240"/>
      <c r="V1918" s="240"/>
      <c r="W1918" s="240"/>
      <c r="X1918" s="278"/>
      <c r="Y1918" s="237"/>
      <c r="Z1918" s="237"/>
      <c r="AA1918" s="279"/>
      <c r="AB1918" s="238"/>
      <c r="AC1918" s="196">
        <f t="shared" si="344"/>
        <v>0</v>
      </c>
      <c r="AD1918" s="196">
        <f t="shared" si="345"/>
        <v>0</v>
      </c>
      <c r="AE1918" s="196">
        <f t="shared" si="346"/>
        <v>0</v>
      </c>
      <c r="AF1918" s="2">
        <f t="shared" si="347"/>
        <v>0</v>
      </c>
      <c r="AG1918" s="2">
        <f t="shared" si="348"/>
        <v>0</v>
      </c>
    </row>
    <row r="1919" spans="1:33">
      <c r="A1919" s="20" t="s">
        <v>24727</v>
      </c>
      <c r="B1919" s="150"/>
      <c r="C1919" s="21" t="s">
        <v>24762</v>
      </c>
      <c r="D1919" s="109" t="s">
        <v>9855</v>
      </c>
      <c r="E1919" s="109"/>
      <c r="F1919" s="391" t="s">
        <v>24777</v>
      </c>
      <c r="G1919" s="23" t="s">
        <v>13301</v>
      </c>
      <c r="H1919" s="23" t="s">
        <v>25100</v>
      </c>
      <c r="I1919" s="23" t="s">
        <v>25542</v>
      </c>
      <c r="J1919" s="23"/>
      <c r="K1919" s="23"/>
      <c r="L1919" s="375" t="s">
        <v>27747</v>
      </c>
      <c r="M1919" s="351" t="s">
        <v>45</v>
      </c>
      <c r="N1919" s="267">
        <f t="shared" ref="N1919" si="428">SUM(L1919:M1919)</f>
        <v>0</v>
      </c>
      <c r="O1919" s="268">
        <f t="shared" ref="O1919" si="429">SUM(P1919:Z1919)</f>
        <v>50</v>
      </c>
      <c r="P1919" s="239"/>
      <c r="Q1919" s="239"/>
      <c r="R1919" s="239"/>
      <c r="S1919" s="239"/>
      <c r="T1919" s="239"/>
      <c r="U1919" s="240">
        <f>950-900</f>
        <v>50</v>
      </c>
      <c r="V1919" s="240"/>
      <c r="W1919" s="240"/>
      <c r="X1919" s="278"/>
      <c r="Y1919" s="237"/>
      <c r="Z1919" s="237"/>
      <c r="AA1919" s="279"/>
      <c r="AB1919" s="238" t="s">
        <v>27738</v>
      </c>
      <c r="AC1919" s="196">
        <f t="shared" si="344"/>
        <v>50</v>
      </c>
      <c r="AD1919" s="196">
        <f t="shared" si="345"/>
        <v>50</v>
      </c>
      <c r="AE1919" s="196">
        <f t="shared" si="346"/>
        <v>0</v>
      </c>
      <c r="AF1919" s="2">
        <f t="shared" si="347"/>
        <v>50</v>
      </c>
      <c r="AG1919" s="2">
        <f t="shared" si="348"/>
        <v>0</v>
      </c>
    </row>
    <row r="1920" spans="1:33">
      <c r="A1920" s="20" t="s">
        <v>25433</v>
      </c>
      <c r="B1920" s="150"/>
      <c r="C1920" s="21" t="s">
        <v>25271</v>
      </c>
      <c r="D1920" s="109" t="s">
        <v>9855</v>
      </c>
      <c r="E1920" s="109" t="s">
        <v>25270</v>
      </c>
      <c r="F1920" s="391" t="s">
        <v>25272</v>
      </c>
      <c r="G1920" s="23" t="s">
        <v>25276</v>
      </c>
      <c r="H1920" s="23"/>
      <c r="I1920" s="23"/>
      <c r="J1920" s="23"/>
      <c r="K1920" s="23"/>
      <c r="L1920" s="375"/>
      <c r="M1920" s="351"/>
      <c r="N1920" s="267">
        <f t="shared" ref="N1920:N1921" si="430">SUM(L1920:M1920)</f>
        <v>0</v>
      </c>
      <c r="O1920" s="268">
        <f t="shared" ref="O1920:O1921" si="431">SUM(P1920:Z1920)</f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4"/>
        <v>0</v>
      </c>
      <c r="AD1920" s="196">
        <f t="shared" si="345"/>
        <v>0</v>
      </c>
      <c r="AE1920" s="196">
        <f t="shared" si="346"/>
        <v>0</v>
      </c>
      <c r="AF1920" s="2">
        <f t="shared" si="347"/>
        <v>0</v>
      </c>
      <c r="AG1920" s="2">
        <f t="shared" si="348"/>
        <v>0</v>
      </c>
    </row>
    <row r="1921" spans="1:33">
      <c r="A1921" s="20" t="s">
        <v>24729</v>
      </c>
      <c r="B1921" s="150"/>
      <c r="C1921" s="21" t="s">
        <v>24793</v>
      </c>
      <c r="D1921" s="109" t="s">
        <v>9855</v>
      </c>
      <c r="E1921" s="109"/>
      <c r="F1921" s="391" t="s">
        <v>24794</v>
      </c>
      <c r="G1921" s="23" t="s">
        <v>15071</v>
      </c>
      <c r="H1921" s="23"/>
      <c r="I1921" s="23"/>
      <c r="J1921" s="23"/>
      <c r="K1921" s="23"/>
      <c r="L1921" s="375" t="s">
        <v>45</v>
      </c>
      <c r="M1921" s="351"/>
      <c r="N1921" s="267">
        <f t="shared" si="430"/>
        <v>0</v>
      </c>
      <c r="O1921" s="268">
        <f t="shared" si="431"/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4"/>
        <v>0</v>
      </c>
      <c r="AD1921" s="196">
        <f t="shared" si="345"/>
        <v>0</v>
      </c>
      <c r="AE1921" s="196">
        <f t="shared" si="346"/>
        <v>0</v>
      </c>
      <c r="AF1921" s="2">
        <f t="shared" si="347"/>
        <v>0</v>
      </c>
      <c r="AG1921" s="2">
        <f t="shared" si="348"/>
        <v>0</v>
      </c>
    </row>
    <row r="1922" spans="1:33">
      <c r="A1922" s="20" t="s">
        <v>24920</v>
      </c>
      <c r="B1922" s="150"/>
      <c r="C1922" s="21" t="s">
        <v>24938</v>
      </c>
      <c r="D1922" s="109" t="s">
        <v>9855</v>
      </c>
      <c r="E1922" s="109"/>
      <c r="F1922" s="391" t="s">
        <v>24942</v>
      </c>
      <c r="G1922" s="23" t="s">
        <v>13942</v>
      </c>
      <c r="H1922" s="23"/>
      <c r="I1922" s="23"/>
      <c r="J1922" s="23"/>
      <c r="K1922" s="23"/>
      <c r="L1922" s="375" t="s">
        <v>45</v>
      </c>
      <c r="M1922" s="351" t="s">
        <v>45</v>
      </c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4"/>
        <v>0</v>
      </c>
      <c r="AD1922" s="196">
        <f t="shared" si="345"/>
        <v>0</v>
      </c>
      <c r="AE1922" s="196">
        <f t="shared" si="346"/>
        <v>0</v>
      </c>
      <c r="AF1922" s="2">
        <f t="shared" si="347"/>
        <v>0</v>
      </c>
      <c r="AG1922" s="2">
        <f t="shared" si="348"/>
        <v>0</v>
      </c>
    </row>
    <row r="1923" spans="1:33">
      <c r="A1923" s="20" t="s">
        <v>24929</v>
      </c>
      <c r="B1923" s="150"/>
      <c r="C1923" s="21" t="s">
        <v>24980</v>
      </c>
      <c r="D1923" s="109" t="s">
        <v>9855</v>
      </c>
      <c r="E1923" s="109"/>
      <c r="F1923" s="391" t="s">
        <v>24985</v>
      </c>
      <c r="G1923" s="23" t="s">
        <v>24965</v>
      </c>
      <c r="H1923" s="23"/>
      <c r="I1923" s="23"/>
      <c r="J1923" s="23"/>
      <c r="K1923" s="23"/>
      <c r="L1923" s="375" t="s">
        <v>7787</v>
      </c>
      <c r="M1923" s="351"/>
      <c r="N1923" s="267">
        <f t="shared" ref="N1923" si="434">SUM(L1923:M1923)</f>
        <v>0</v>
      </c>
      <c r="O1923" s="268">
        <f t="shared" ref="O1923" si="435">SUM(P1923:Z1923)</f>
        <v>0</v>
      </c>
      <c r="P1923" s="239"/>
      <c r="Q1923" s="239"/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/>
      <c r="AC1923" s="196">
        <f t="shared" si="344"/>
        <v>0</v>
      </c>
      <c r="AD1923" s="196">
        <f t="shared" si="345"/>
        <v>0</v>
      </c>
      <c r="AE1923" s="196">
        <f t="shared" si="346"/>
        <v>0</v>
      </c>
      <c r="AF1923" s="2">
        <f t="shared" si="347"/>
        <v>0</v>
      </c>
      <c r="AG1923" s="2">
        <f t="shared" si="348"/>
        <v>0</v>
      </c>
    </row>
    <row r="1924" spans="1:33">
      <c r="A1924" s="20" t="s">
        <v>24997</v>
      </c>
      <c r="B1924" s="150"/>
      <c r="C1924" s="21" t="s">
        <v>25070</v>
      </c>
      <c r="D1924" s="109" t="s">
        <v>9855</v>
      </c>
      <c r="E1924" s="109" t="s">
        <v>20884</v>
      </c>
      <c r="F1924" s="391" t="s">
        <v>25072</v>
      </c>
      <c r="G1924" s="23" t="s">
        <v>18250</v>
      </c>
      <c r="H1924" s="23" t="s">
        <v>25394</v>
      </c>
      <c r="I1924" s="23" t="s">
        <v>13934</v>
      </c>
      <c r="J1924" s="23" t="s">
        <v>26236</v>
      </c>
      <c r="K1924" s="23"/>
      <c r="L1924" s="375"/>
      <c r="M1924" s="351" t="s">
        <v>45</v>
      </c>
      <c r="N1924" s="267">
        <f t="shared" ref="N1924" si="436">SUM(L1924:M1924)</f>
        <v>0</v>
      </c>
      <c r="O1924" s="268">
        <f t="shared" ref="O1924" si="437">SUM(P1924:Z1924)</f>
        <v>450</v>
      </c>
      <c r="P1924" s="239"/>
      <c r="Q1924" s="239">
        <f>800-500+650-200-200-100</f>
        <v>450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26339</v>
      </c>
      <c r="AC1924" s="196">
        <f t="shared" si="344"/>
        <v>450</v>
      </c>
      <c r="AD1924" s="196">
        <f t="shared" si="345"/>
        <v>450</v>
      </c>
      <c r="AE1924" s="196">
        <f t="shared" si="346"/>
        <v>0</v>
      </c>
      <c r="AF1924" s="2">
        <f t="shared" si="347"/>
        <v>450</v>
      </c>
      <c r="AG1924" s="2">
        <f t="shared" si="348"/>
        <v>0</v>
      </c>
    </row>
    <row r="1925" spans="1:33">
      <c r="A1925" s="20" t="s">
        <v>25054</v>
      </c>
      <c r="B1925" s="150"/>
      <c r="C1925" s="21" t="s">
        <v>25084</v>
      </c>
      <c r="D1925" s="109" t="s">
        <v>9855</v>
      </c>
      <c r="E1925" s="109" t="s">
        <v>20884</v>
      </c>
      <c r="F1925" s="391" t="s">
        <v>25095</v>
      </c>
      <c r="G1925" s="23" t="s">
        <v>18250</v>
      </c>
      <c r="H1925" s="23" t="s">
        <v>13934</v>
      </c>
      <c r="I1925" s="23" t="s">
        <v>6133</v>
      </c>
      <c r="J1925" s="23" t="s">
        <v>26236</v>
      </c>
      <c r="K1925" s="23"/>
      <c r="L1925" s="375" t="s">
        <v>27824</v>
      </c>
      <c r="M1925" s="351"/>
      <c r="N1925" s="267">
        <f t="shared" ref="N1925" si="438">SUM(L1925:M1925)</f>
        <v>0</v>
      </c>
      <c r="O1925" s="268">
        <f t="shared" ref="O1925" si="439">SUM(P1925:Z1925)</f>
        <v>700</v>
      </c>
      <c r="P1925" s="239"/>
      <c r="Q1925" s="239">
        <f>450-100+350</f>
        <v>700</v>
      </c>
      <c r="R1925" s="239"/>
      <c r="S1925" s="239"/>
      <c r="T1925" s="239"/>
      <c r="U1925" s="240"/>
      <c r="V1925" s="240"/>
      <c r="W1925" s="240"/>
      <c r="X1925" s="278"/>
      <c r="Y1925" s="237"/>
      <c r="Z1925" s="237"/>
      <c r="AA1925" s="279"/>
      <c r="AB1925" s="238" t="s">
        <v>27823</v>
      </c>
      <c r="AC1925" s="196">
        <f t="shared" si="344"/>
        <v>700</v>
      </c>
      <c r="AD1925" s="196">
        <f t="shared" si="345"/>
        <v>700</v>
      </c>
      <c r="AE1925" s="196">
        <f t="shared" si="346"/>
        <v>0</v>
      </c>
      <c r="AF1925" s="2">
        <f t="shared" si="347"/>
        <v>700</v>
      </c>
      <c r="AG1925" s="2">
        <f t="shared" si="348"/>
        <v>0</v>
      </c>
    </row>
    <row r="1926" spans="1:33">
      <c r="A1926" s="20" t="s">
        <v>25432</v>
      </c>
      <c r="B1926" s="150"/>
      <c r="C1926" s="21" t="s">
        <v>25404</v>
      </c>
      <c r="D1926" s="109" t="s">
        <v>18869</v>
      </c>
      <c r="E1926" s="109"/>
      <c r="F1926" s="391" t="s">
        <v>25407</v>
      </c>
      <c r="G1926" s="23" t="s">
        <v>6133</v>
      </c>
      <c r="H1926" s="23"/>
      <c r="I1926" s="23"/>
      <c r="J1926" s="23"/>
      <c r="K1926" s="23"/>
      <c r="L1926" s="375" t="s">
        <v>45</v>
      </c>
      <c r="M1926" s="351"/>
      <c r="N1926" s="267">
        <f t="shared" ref="N1926" si="440">SUM(L1926:M1926)</f>
        <v>0</v>
      </c>
      <c r="O1926" s="268">
        <f t="shared" ref="O1926" si="441">SUM(P1926:Z1926)</f>
        <v>0</v>
      </c>
      <c r="P1926" s="239"/>
      <c r="Q1926" s="239"/>
      <c r="R1926" s="239"/>
      <c r="S1926" s="239"/>
      <c r="T1926" s="239"/>
      <c r="U1926" s="240"/>
      <c r="V1926" s="240"/>
      <c r="W1926" s="240"/>
      <c r="X1926" s="278"/>
      <c r="Y1926" s="243"/>
      <c r="Z1926" s="237"/>
      <c r="AA1926" s="297"/>
      <c r="AB1926" s="238"/>
      <c r="AC1926" s="196"/>
      <c r="AD1926" s="196"/>
      <c r="AE1926" s="196"/>
    </row>
    <row r="1927" spans="1:33">
      <c r="A1927" s="20" t="s">
        <v>25432</v>
      </c>
      <c r="B1927" s="150"/>
      <c r="C1927" s="21" t="s">
        <v>25404</v>
      </c>
      <c r="D1927" s="109" t="s">
        <v>18869</v>
      </c>
      <c r="E1927" s="109" t="s">
        <v>25405</v>
      </c>
      <c r="F1927" s="391" t="s">
        <v>25407</v>
      </c>
      <c r="G1927" s="23" t="s">
        <v>25406</v>
      </c>
      <c r="H1927" s="23"/>
      <c r="I1927" s="23"/>
      <c r="J1927" s="23"/>
      <c r="K1927" s="23"/>
      <c r="L1927" s="375"/>
      <c r="M1927" s="351"/>
      <c r="N1927" s="267">
        <f t="shared" ref="N1927:N1931" si="442">SUM(L1927:M1927)</f>
        <v>0</v>
      </c>
      <c r="O1927" s="268">
        <f t="shared" ref="O1927:O1931" si="443">SUM(P1927:Z1927)</f>
        <v>1700</v>
      </c>
      <c r="P1927" s="239"/>
      <c r="Q1927" s="239"/>
      <c r="R1927" s="239">
        <f>5400-3000+8100-1500-2000-300+1000-3000+2700+1800-2000-200-300-1500-750-2000-750</f>
        <v>1700</v>
      </c>
      <c r="S1927" s="239"/>
      <c r="T1927" s="239"/>
      <c r="U1927" s="240"/>
      <c r="V1927" s="240"/>
      <c r="W1927" s="240"/>
      <c r="X1927" s="278"/>
      <c r="Y1927" s="239"/>
      <c r="Z1927" s="237"/>
      <c r="AA1927" s="239"/>
      <c r="AB1927" s="238" t="s">
        <v>27383</v>
      </c>
      <c r="AC1927" s="196">
        <f t="shared" si="344"/>
        <v>1700</v>
      </c>
      <c r="AD1927" s="196">
        <f t="shared" si="345"/>
        <v>1700</v>
      </c>
      <c r="AE1927" s="196">
        <f t="shared" si="346"/>
        <v>0</v>
      </c>
      <c r="AF1927" s="2">
        <f t="shared" si="347"/>
        <v>1700</v>
      </c>
      <c r="AG1927" s="2">
        <f t="shared" si="348"/>
        <v>0</v>
      </c>
    </row>
    <row r="1928" spans="1:33">
      <c r="A1928" s="20" t="s">
        <v>26265</v>
      </c>
      <c r="B1928" s="150"/>
      <c r="C1928" s="21" t="s">
        <v>25404</v>
      </c>
      <c r="D1928" s="109" t="s">
        <v>18869</v>
      </c>
      <c r="E1928" s="109"/>
      <c r="F1928" s="391" t="s">
        <v>25407</v>
      </c>
      <c r="G1928" s="23" t="s">
        <v>6133</v>
      </c>
      <c r="H1928" s="23"/>
      <c r="I1928" s="23"/>
      <c r="J1928" s="23"/>
      <c r="K1928" s="23"/>
      <c r="L1928" s="375" t="s">
        <v>45</v>
      </c>
      <c r="M1928" s="351"/>
      <c r="N1928" s="267">
        <f t="shared" ref="N1928" si="444">SUM(L1928:M1928)</f>
        <v>0</v>
      </c>
      <c r="O1928" s="268">
        <f t="shared" ref="O1928" si="445">SUM(P1928:Z1928)</f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9"/>
      <c r="Z1928" s="237"/>
      <c r="AA1928" s="247"/>
      <c r="AB1928" s="238"/>
      <c r="AC1928" s="196">
        <f t="shared" si="344"/>
        <v>0</v>
      </c>
      <c r="AD1928" s="196">
        <f t="shared" si="345"/>
        <v>0</v>
      </c>
      <c r="AE1928" s="196">
        <f t="shared" si="346"/>
        <v>0</v>
      </c>
      <c r="AF1928" s="2">
        <f t="shared" si="347"/>
        <v>0</v>
      </c>
      <c r="AG1928" s="2">
        <f t="shared" si="348"/>
        <v>0</v>
      </c>
    </row>
    <row r="1929" spans="1:33">
      <c r="A1929" s="20" t="s">
        <v>24926</v>
      </c>
      <c r="B1929" s="150"/>
      <c r="C1929" s="21" t="s">
        <v>24966</v>
      </c>
      <c r="D1929" s="109" t="s">
        <v>9855</v>
      </c>
      <c r="E1929" s="109"/>
      <c r="F1929" s="391" t="s">
        <v>24972</v>
      </c>
      <c r="G1929" s="23" t="s">
        <v>24965</v>
      </c>
      <c r="H1929" s="23"/>
      <c r="I1929" s="23"/>
      <c r="J1929" s="23"/>
      <c r="K1929" s="23"/>
      <c r="L1929" s="375" t="s">
        <v>7787</v>
      </c>
      <c r="M1929" s="351"/>
      <c r="N1929" s="267">
        <f t="shared" si="442"/>
        <v>0</v>
      </c>
      <c r="O1929" s="268">
        <f t="shared" si="443"/>
        <v>0</v>
      </c>
      <c r="P1929" s="239"/>
      <c r="Q1929" s="239"/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/>
      <c r="AC1929" s="196">
        <f t="shared" si="344"/>
        <v>0</v>
      </c>
      <c r="AD1929" s="196">
        <f t="shared" si="345"/>
        <v>0</v>
      </c>
      <c r="AE1929" s="196">
        <f t="shared" si="346"/>
        <v>0</v>
      </c>
      <c r="AF1929" s="2">
        <f t="shared" si="347"/>
        <v>0</v>
      </c>
      <c r="AG1929" s="2">
        <f t="shared" si="348"/>
        <v>0</v>
      </c>
    </row>
    <row r="1930" spans="1:33">
      <c r="A1930" s="20" t="s">
        <v>26766</v>
      </c>
      <c r="B1930" s="150"/>
      <c r="C1930" s="21" t="s">
        <v>26831</v>
      </c>
      <c r="D1930" s="109" t="s">
        <v>18869</v>
      </c>
      <c r="E1930" s="109" t="s">
        <v>23853</v>
      </c>
      <c r="F1930" s="391" t="s">
        <v>26832</v>
      </c>
      <c r="G1930" s="23" t="s">
        <v>6133</v>
      </c>
      <c r="H1930" s="23"/>
      <c r="I1930" s="23"/>
      <c r="J1930" s="23"/>
      <c r="K1930" s="23"/>
      <c r="L1930" s="375"/>
      <c r="M1930" s="351"/>
      <c r="N1930" s="267">
        <f t="shared" ref="N1930" si="446">SUM(L1930:M1930)</f>
        <v>0</v>
      </c>
      <c r="O1930" s="268">
        <f t="shared" ref="O1930" si="447">SUM(P1930:Z1930)</f>
        <v>42450</v>
      </c>
      <c r="P1930" s="239"/>
      <c r="Q1930" s="239">
        <f>3600-500-200-2300-200+10800-300-150+9200-50-2000+5400-1500+9600-1500-3000-1500-3000-3000+5400-1500-3000-750-50-300+10800-1500-6000+5400-750-6000-3000+10800-3000-3000-4500-3000-3000-3000-3000+10800+13500-3000+16200-1500</f>
        <v>42450</v>
      </c>
      <c r="R1930" s="239"/>
      <c r="S1930" s="239"/>
      <c r="T1930" s="239"/>
      <c r="U1930" s="240"/>
      <c r="V1930" s="240"/>
      <c r="W1930" s="240"/>
      <c r="X1930" s="278"/>
      <c r="Y1930" s="237"/>
      <c r="Z1930" s="237"/>
      <c r="AA1930" s="279"/>
      <c r="AB1930" s="238" t="s">
        <v>27788</v>
      </c>
      <c r="AC1930" s="196">
        <f t="shared" si="344"/>
        <v>42450</v>
      </c>
      <c r="AD1930" s="196">
        <f t="shared" si="345"/>
        <v>42450</v>
      </c>
      <c r="AE1930" s="196">
        <f t="shared" si="346"/>
        <v>0</v>
      </c>
      <c r="AF1930" s="2">
        <f t="shared" si="347"/>
        <v>42450</v>
      </c>
      <c r="AG1930" s="2">
        <f t="shared" si="348"/>
        <v>0</v>
      </c>
    </row>
    <row r="1931" spans="1:33">
      <c r="A1931" s="20" t="s">
        <v>25057</v>
      </c>
      <c r="B1931" s="150"/>
      <c r="C1931" s="21" t="s">
        <v>25108</v>
      </c>
      <c r="D1931" s="109" t="s">
        <v>9855</v>
      </c>
      <c r="E1931" s="109"/>
      <c r="F1931" s="391" t="s">
        <v>25115</v>
      </c>
      <c r="G1931" s="23" t="s">
        <v>13942</v>
      </c>
      <c r="H1931" s="23"/>
      <c r="I1931" s="23"/>
      <c r="J1931" s="23"/>
      <c r="K1931" s="23"/>
      <c r="L1931" s="375" t="s">
        <v>27571</v>
      </c>
      <c r="M1931" s="351" t="s">
        <v>45</v>
      </c>
      <c r="N1931" s="267">
        <f t="shared" si="442"/>
        <v>0</v>
      </c>
      <c r="O1931" s="268">
        <f t="shared" si="443"/>
        <v>4400</v>
      </c>
      <c r="P1931" s="239"/>
      <c r="Q1931" s="239"/>
      <c r="R1931" s="239"/>
      <c r="S1931" s="239"/>
      <c r="T1931" s="239"/>
      <c r="U1931" s="240">
        <f>2150-1500+3750</f>
        <v>4400</v>
      </c>
      <c r="V1931" s="240"/>
      <c r="W1931" s="240"/>
      <c r="X1931" s="278"/>
      <c r="Y1931" s="237"/>
      <c r="Z1931" s="237"/>
      <c r="AA1931" s="279"/>
      <c r="AB1931" s="238" t="s">
        <v>27565</v>
      </c>
      <c r="AC1931" s="196">
        <f t="shared" si="344"/>
        <v>4400</v>
      </c>
      <c r="AD1931" s="196">
        <f t="shared" si="345"/>
        <v>4400</v>
      </c>
      <c r="AE1931" s="196">
        <f t="shared" si="346"/>
        <v>0</v>
      </c>
      <c r="AF1931" s="2">
        <f t="shared" si="347"/>
        <v>4400</v>
      </c>
      <c r="AG1931" s="2">
        <f t="shared" si="348"/>
        <v>0</v>
      </c>
    </row>
    <row r="1932" spans="1:33">
      <c r="A1932" s="20" t="s">
        <v>25157</v>
      </c>
      <c r="B1932" s="150"/>
      <c r="C1932" s="21" t="s">
        <v>25209</v>
      </c>
      <c r="D1932" s="109" t="s">
        <v>9855</v>
      </c>
      <c r="E1932" s="109"/>
      <c r="F1932" s="391" t="s">
        <v>25212</v>
      </c>
      <c r="G1932" s="23" t="s">
        <v>13942</v>
      </c>
      <c r="H1932" s="23"/>
      <c r="I1932" s="23"/>
      <c r="J1932" s="23"/>
      <c r="K1932" s="23"/>
      <c r="L1932" s="375" t="s">
        <v>45</v>
      </c>
      <c r="M1932" s="351" t="s">
        <v>45</v>
      </c>
      <c r="N1932" s="267">
        <f t="shared" ref="N1932" si="448">SUM(L1932:M1932)</f>
        <v>0</v>
      </c>
      <c r="O1932" s="268">
        <f t="shared" ref="O1932" si="449">SUM(P1932:Z1932)</f>
        <v>750</v>
      </c>
      <c r="P1932" s="239"/>
      <c r="Q1932" s="239"/>
      <c r="R1932" s="239"/>
      <c r="S1932" s="239"/>
      <c r="T1932" s="239"/>
      <c r="U1932" s="240">
        <f>4750-1000-2000-1000</f>
        <v>750</v>
      </c>
      <c r="V1932" s="240"/>
      <c r="W1932" s="240"/>
      <c r="X1932" s="278"/>
      <c r="Y1932" s="237"/>
      <c r="Z1932" s="237"/>
      <c r="AA1932" s="279"/>
      <c r="AB1932" s="238" t="s">
        <v>25747</v>
      </c>
      <c r="AC1932" s="196">
        <f t="shared" si="344"/>
        <v>750</v>
      </c>
      <c r="AD1932" s="196">
        <f t="shared" si="345"/>
        <v>750</v>
      </c>
      <c r="AE1932" s="196">
        <f t="shared" si="346"/>
        <v>0</v>
      </c>
      <c r="AF1932" s="2">
        <f t="shared" si="347"/>
        <v>750</v>
      </c>
      <c r="AG1932" s="2">
        <f t="shared" si="348"/>
        <v>0</v>
      </c>
    </row>
    <row r="1933" spans="1:33">
      <c r="A1933" s="20" t="s">
        <v>26768</v>
      </c>
      <c r="B1933" s="150"/>
      <c r="C1933" s="21" t="s">
        <v>26833</v>
      </c>
      <c r="D1933" s="109" t="s">
        <v>18869</v>
      </c>
      <c r="E1933" s="109" t="s">
        <v>26834</v>
      </c>
      <c r="F1933" s="391" t="s">
        <v>26835</v>
      </c>
      <c r="G1933" s="23" t="s">
        <v>6133</v>
      </c>
      <c r="H1933" s="23"/>
      <c r="I1933" s="23"/>
      <c r="J1933" s="23"/>
      <c r="K1933" s="23"/>
      <c r="L1933" s="375"/>
      <c r="M1933" s="351"/>
      <c r="N1933" s="267">
        <f t="shared" ref="N1933:N1936" si="450">SUM(L1933:M1933)</f>
        <v>0</v>
      </c>
      <c r="O1933" s="268">
        <f t="shared" ref="O1933:O1936" si="451">SUM(P1933:Z1933)</f>
        <v>12450</v>
      </c>
      <c r="P1933" s="239"/>
      <c r="Q1933" s="239">
        <f>2000-150-100+8100+1800+5400+4700-1000-300-500-1500-50-800-750-350-1000-750-750+5450-1500+8500-750-1500-750+6050-3000-750-1500+2700-500-1500-1500-3000-1500+5300-3000-3000-1500-750-750+500-1500-1500-2000-750-300+5400-1500+4100-1500-3000-750</f>
        <v>12450</v>
      </c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 t="s">
        <v>27745</v>
      </c>
      <c r="AC1933" s="196">
        <f t="shared" si="344"/>
        <v>12450</v>
      </c>
      <c r="AD1933" s="196">
        <f t="shared" si="345"/>
        <v>12450</v>
      </c>
      <c r="AE1933" s="196">
        <f t="shared" si="346"/>
        <v>0</v>
      </c>
      <c r="AF1933" s="2">
        <f t="shared" si="347"/>
        <v>12450</v>
      </c>
      <c r="AG1933" s="2">
        <f t="shared" si="348"/>
        <v>0</v>
      </c>
    </row>
    <row r="1934" spans="1:33">
      <c r="A1934" s="20" t="s">
        <v>25060</v>
      </c>
      <c r="B1934" s="150"/>
      <c r="C1934" s="21" t="s">
        <v>25134</v>
      </c>
      <c r="D1934" s="109" t="s">
        <v>9855</v>
      </c>
      <c r="E1934" s="109" t="s">
        <v>25137</v>
      </c>
      <c r="F1934" s="391" t="s">
        <v>25140</v>
      </c>
      <c r="G1934" s="23" t="s">
        <v>25136</v>
      </c>
      <c r="H1934" s="23"/>
      <c r="I1934" s="23"/>
      <c r="J1934" s="23"/>
      <c r="K1934" s="23"/>
      <c r="L1934" s="375" t="s">
        <v>45</v>
      </c>
      <c r="M1934" s="351" t="s">
        <v>45</v>
      </c>
      <c r="N1934" s="267">
        <f t="shared" si="450"/>
        <v>0</v>
      </c>
      <c r="O1934" s="268">
        <f t="shared" si="451"/>
        <v>0</v>
      </c>
      <c r="P1934" s="239"/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/>
      <c r="AC1934" s="196">
        <f t="shared" ref="AC1934:AC2018" si="452">SUM(P1934:AA1934)</f>
        <v>0</v>
      </c>
      <c r="AD1934" s="196">
        <f t="shared" ref="AD1934:AD2018" si="453">SUM(P1934:AB1934)</f>
        <v>0</v>
      </c>
      <c r="AE1934" s="196">
        <f t="shared" ref="AE1934:AE2018" si="454">SUM(AC1934-AD1934)</f>
        <v>0</v>
      </c>
      <c r="AF1934" s="2">
        <f t="shared" ref="AF1934:AF2018" si="455">+AC1934</f>
        <v>0</v>
      </c>
      <c r="AG1934" s="2">
        <f t="shared" ref="AG1934:AG2018" si="456">+AC1934-AF1934</f>
        <v>0</v>
      </c>
    </row>
    <row r="1935" spans="1:33">
      <c r="A1935" s="20" t="s">
        <v>25061</v>
      </c>
      <c r="B1935" s="150"/>
      <c r="C1935" s="21" t="s">
        <v>25135</v>
      </c>
      <c r="D1935" s="109" t="s">
        <v>9855</v>
      </c>
      <c r="E1935" s="109" t="s">
        <v>3929</v>
      </c>
      <c r="F1935" s="391" t="s">
        <v>25144</v>
      </c>
      <c r="G1935" s="23" t="s">
        <v>25136</v>
      </c>
      <c r="H1935" s="23"/>
      <c r="I1935" s="23"/>
      <c r="J1935" s="23"/>
      <c r="K1935" s="23"/>
      <c r="L1935" s="375" t="s">
        <v>45</v>
      </c>
      <c r="M1935" s="351"/>
      <c r="N1935" s="267">
        <f t="shared" si="450"/>
        <v>0</v>
      </c>
      <c r="O1935" s="268">
        <f t="shared" si="451"/>
        <v>200</v>
      </c>
      <c r="P1935" s="239">
        <f>1700-1500</f>
        <v>200</v>
      </c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 t="s">
        <v>25145</v>
      </c>
      <c r="AC1935" s="196">
        <f t="shared" si="452"/>
        <v>200</v>
      </c>
      <c r="AD1935" s="196">
        <f t="shared" si="453"/>
        <v>200</v>
      </c>
      <c r="AE1935" s="196">
        <f t="shared" si="454"/>
        <v>0</v>
      </c>
      <c r="AF1935" s="2">
        <f t="shared" si="455"/>
        <v>200</v>
      </c>
      <c r="AG1935" s="2">
        <f t="shared" si="456"/>
        <v>0</v>
      </c>
    </row>
    <row r="1936" spans="1:33">
      <c r="A1936" s="20" t="s">
        <v>25170</v>
      </c>
      <c r="B1936" s="150"/>
      <c r="C1936" s="21" t="s">
        <v>25331</v>
      </c>
      <c r="D1936" s="109" t="s">
        <v>9855</v>
      </c>
      <c r="E1936" s="109" t="s">
        <v>23083</v>
      </c>
      <c r="F1936" s="391" t="s">
        <v>25344</v>
      </c>
      <c r="G1936" s="23" t="s">
        <v>18250</v>
      </c>
      <c r="H1936" s="23"/>
      <c r="I1936" s="23"/>
      <c r="J1936" s="23"/>
      <c r="K1936" s="23"/>
      <c r="L1936" s="375" t="s">
        <v>45</v>
      </c>
      <c r="M1936" s="351" t="s">
        <v>45</v>
      </c>
      <c r="N1936" s="267">
        <f t="shared" si="450"/>
        <v>0</v>
      </c>
      <c r="O1936" s="268">
        <f t="shared" si="451"/>
        <v>0</v>
      </c>
      <c r="P1936" s="239"/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/>
      <c r="AC1936" s="196">
        <f t="shared" si="452"/>
        <v>0</v>
      </c>
      <c r="AD1936" s="196">
        <f t="shared" si="453"/>
        <v>0</v>
      </c>
      <c r="AE1936" s="196">
        <f t="shared" si="454"/>
        <v>0</v>
      </c>
      <c r="AF1936" s="2">
        <f t="shared" si="455"/>
        <v>0</v>
      </c>
      <c r="AG1936" s="2">
        <f t="shared" si="456"/>
        <v>0</v>
      </c>
    </row>
    <row r="1937" spans="1:33">
      <c r="A1937" s="20" t="s">
        <v>25627</v>
      </c>
      <c r="B1937" s="150"/>
      <c r="C1937" s="21" t="s">
        <v>25331</v>
      </c>
      <c r="D1937" s="109" t="s">
        <v>9855</v>
      </c>
      <c r="E1937" s="109" t="s">
        <v>25724</v>
      </c>
      <c r="F1937" s="391" t="s">
        <v>25344</v>
      </c>
      <c r="G1937" s="23" t="s">
        <v>25730</v>
      </c>
      <c r="H1937" s="23"/>
      <c r="I1937" s="23"/>
      <c r="J1937" s="23"/>
      <c r="K1937" s="23"/>
      <c r="L1937" s="375" t="s">
        <v>27639</v>
      </c>
      <c r="M1937" s="351" t="s">
        <v>45</v>
      </c>
      <c r="N1937" s="267">
        <f t="shared" ref="N1937" si="457">SUM(L1937:M1937)</f>
        <v>0</v>
      </c>
      <c r="O1937" s="268">
        <f t="shared" ref="O1937" si="458">SUM(P1937:Z1937)</f>
        <v>300</v>
      </c>
      <c r="P1937" s="239">
        <f>500-400+450+1200-500+600-1500+700+2250+2250-250-5000</f>
        <v>300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27635</v>
      </c>
      <c r="AC1937" s="196">
        <f t="shared" si="452"/>
        <v>300</v>
      </c>
      <c r="AD1937" s="196">
        <f t="shared" si="453"/>
        <v>300</v>
      </c>
      <c r="AE1937" s="196">
        <f t="shared" si="454"/>
        <v>0</v>
      </c>
      <c r="AF1937" s="2">
        <f t="shared" si="455"/>
        <v>300</v>
      </c>
      <c r="AG1937" s="2">
        <f t="shared" si="456"/>
        <v>0</v>
      </c>
    </row>
    <row r="1938" spans="1:33">
      <c r="A1938" s="20" t="s">
        <v>26262</v>
      </c>
      <c r="B1938" s="150"/>
      <c r="C1938" s="21" t="s">
        <v>26202</v>
      </c>
      <c r="D1938" s="109" t="s">
        <v>9855</v>
      </c>
      <c r="E1938" s="110"/>
      <c r="F1938" s="449" t="s">
        <v>26204</v>
      </c>
      <c r="G1938" s="23" t="s">
        <v>26319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400</v>
      </c>
      <c r="P1938" s="239">
        <f>700-300</f>
        <v>400</v>
      </c>
      <c r="Q1938" s="239"/>
      <c r="R1938" s="239"/>
      <c r="S1938" s="239"/>
      <c r="T1938" s="239"/>
      <c r="U1938" s="240"/>
      <c r="V1938" s="240"/>
      <c r="W1938" s="240"/>
      <c r="X1938" s="278"/>
      <c r="Y1938" s="237"/>
      <c r="Z1938" s="237"/>
      <c r="AA1938" s="279"/>
      <c r="AB1938" s="238" t="s">
        <v>26205</v>
      </c>
      <c r="AC1938" s="196">
        <f t="shared" si="452"/>
        <v>400</v>
      </c>
      <c r="AD1938" s="196">
        <f t="shared" si="453"/>
        <v>400</v>
      </c>
      <c r="AE1938" s="196">
        <f t="shared" si="454"/>
        <v>0</v>
      </c>
      <c r="AF1938" s="2">
        <f t="shared" si="455"/>
        <v>400</v>
      </c>
      <c r="AG1938" s="2">
        <f t="shared" si="456"/>
        <v>0</v>
      </c>
    </row>
    <row r="1939" spans="1:33">
      <c r="A1939" s="20" t="s">
        <v>25517</v>
      </c>
      <c r="B1939" s="150"/>
      <c r="C1939" s="26" t="s">
        <v>25510</v>
      </c>
      <c r="D1939" s="109" t="s">
        <v>9855</v>
      </c>
      <c r="E1939" s="110"/>
      <c r="F1939" s="391" t="s">
        <v>25526</v>
      </c>
      <c r="G1939" s="23" t="s">
        <v>24409</v>
      </c>
      <c r="H1939" s="23"/>
      <c r="I1939" s="23"/>
      <c r="J1939" s="23"/>
      <c r="K1939" s="23"/>
      <c r="L1939" s="375" t="s">
        <v>45</v>
      </c>
      <c r="M1939" s="351"/>
      <c r="N1939" s="267">
        <f t="shared" ref="N1939" si="461">SUM(L1939:M1939)</f>
        <v>0</v>
      </c>
      <c r="O1939" s="268">
        <f t="shared" ref="O1939" si="462">SUM(P1939:Z1939)</f>
        <v>50</v>
      </c>
      <c r="P1939" s="239"/>
      <c r="Q1939" s="239"/>
      <c r="R1939" s="239"/>
      <c r="S1939" s="239"/>
      <c r="T1939" s="239"/>
      <c r="U1939" s="240">
        <f>550-500</f>
        <v>50</v>
      </c>
      <c r="V1939" s="240"/>
      <c r="W1939" s="240"/>
      <c r="X1939" s="278"/>
      <c r="Y1939" s="237"/>
      <c r="Z1939" s="237"/>
      <c r="AA1939" s="279"/>
      <c r="AB1939" s="238" t="s">
        <v>25527</v>
      </c>
      <c r="AC1939" s="196">
        <f t="shared" si="452"/>
        <v>50</v>
      </c>
      <c r="AD1939" s="196">
        <f t="shared" si="453"/>
        <v>50</v>
      </c>
      <c r="AE1939" s="196">
        <f t="shared" si="454"/>
        <v>0</v>
      </c>
      <c r="AF1939" s="2">
        <f t="shared" si="455"/>
        <v>50</v>
      </c>
      <c r="AG1939" s="2">
        <f t="shared" si="456"/>
        <v>0</v>
      </c>
    </row>
    <row r="1940" spans="1:33">
      <c r="A1940" s="20" t="s">
        <v>25171</v>
      </c>
      <c r="B1940" s="150"/>
      <c r="C1940" s="26" t="s">
        <v>25235</v>
      </c>
      <c r="D1940" s="110" t="s">
        <v>9855</v>
      </c>
      <c r="E1940" s="110"/>
      <c r="F1940" s="450" t="s">
        <v>25248</v>
      </c>
      <c r="G1940" s="23" t="s">
        <v>24409</v>
      </c>
      <c r="H1940" s="23"/>
      <c r="I1940" s="23"/>
      <c r="J1940" s="23"/>
      <c r="K1940" s="23"/>
      <c r="L1940" s="375">
        <f>1400+1650</f>
        <v>3050</v>
      </c>
      <c r="M1940" s="351" t="s">
        <v>45</v>
      </c>
      <c r="N1940" s="267">
        <f t="shared" ref="N1940" si="463">SUM(L1940:M1940)</f>
        <v>3050</v>
      </c>
      <c r="O1940" s="268">
        <f t="shared" ref="O1940" si="464">SUM(P1940:Z1940)</f>
        <v>200</v>
      </c>
      <c r="P1940" s="239"/>
      <c r="Q1940" s="239"/>
      <c r="R1940" s="239"/>
      <c r="S1940" s="239"/>
      <c r="T1940" s="239"/>
      <c r="U1940" s="239">
        <f>600-500+7700-1500+750-6000+1150-2000</f>
        <v>200</v>
      </c>
      <c r="V1940" s="240"/>
      <c r="W1940" s="240"/>
      <c r="X1940" s="278"/>
      <c r="Y1940" s="237"/>
      <c r="Z1940" s="237"/>
      <c r="AA1940" s="279"/>
      <c r="AB1940" s="238" t="s">
        <v>27691</v>
      </c>
      <c r="AC1940" s="196">
        <f t="shared" si="452"/>
        <v>200</v>
      </c>
      <c r="AD1940" s="196">
        <f t="shared" si="453"/>
        <v>200</v>
      </c>
      <c r="AE1940" s="196">
        <f t="shared" si="454"/>
        <v>0</v>
      </c>
      <c r="AF1940" s="2">
        <f t="shared" si="455"/>
        <v>200</v>
      </c>
      <c r="AG1940" s="2">
        <f t="shared" si="456"/>
        <v>0</v>
      </c>
    </row>
    <row r="1941" spans="1:33">
      <c r="A1941" s="20" t="s">
        <v>25172</v>
      </c>
      <c r="B1941" s="150"/>
      <c r="C1941" s="21" t="s">
        <v>25241</v>
      </c>
      <c r="D1941" s="109" t="s">
        <v>9855</v>
      </c>
      <c r="E1941" s="109" t="s">
        <v>25724</v>
      </c>
      <c r="F1941" s="391" t="s">
        <v>25249</v>
      </c>
      <c r="G1941" s="23" t="s">
        <v>25254</v>
      </c>
      <c r="H1941" s="23" t="s">
        <v>25461</v>
      </c>
      <c r="I1941" s="23" t="s">
        <v>25641</v>
      </c>
      <c r="J1941" s="23"/>
      <c r="K1941" s="23"/>
      <c r="L1941" s="375" t="s">
        <v>28053</v>
      </c>
      <c r="M1941" s="351" t="s">
        <v>45</v>
      </c>
      <c r="N1941" s="267">
        <f t="shared" ref="N1941:N1942" si="465">SUM(L1941:M1941)</f>
        <v>0</v>
      </c>
      <c r="O1941" s="268">
        <f t="shared" ref="O1941:O1942" si="466">SUM(P1941:Z1941)</f>
        <v>1150</v>
      </c>
      <c r="P1941" s="239"/>
      <c r="Q1941" s="239">
        <v>1150</v>
      </c>
      <c r="R1941" s="239"/>
      <c r="S1941" s="239"/>
      <c r="T1941" s="239"/>
      <c r="U1941" s="240"/>
      <c r="V1941" s="240"/>
      <c r="W1941" s="240"/>
      <c r="X1941" s="278"/>
      <c r="Y1941" s="237"/>
      <c r="Z1941" s="237"/>
      <c r="AA1941" s="279"/>
      <c r="AB1941" s="238" t="s">
        <v>28015</v>
      </c>
      <c r="AC1941" s="196">
        <f t="shared" si="452"/>
        <v>1150</v>
      </c>
      <c r="AD1941" s="196">
        <f t="shared" si="453"/>
        <v>1150</v>
      </c>
      <c r="AE1941" s="196">
        <f t="shared" si="454"/>
        <v>0</v>
      </c>
      <c r="AF1941" s="2">
        <f t="shared" si="455"/>
        <v>1150</v>
      </c>
      <c r="AG1941" s="2">
        <f t="shared" si="456"/>
        <v>0</v>
      </c>
    </row>
    <row r="1942" spans="1:33">
      <c r="A1942" s="20" t="s">
        <v>25173</v>
      </c>
      <c r="B1942" s="150"/>
      <c r="C1942" s="21" t="s">
        <v>25314</v>
      </c>
      <c r="D1942" s="109" t="s">
        <v>9855</v>
      </c>
      <c r="E1942" s="109"/>
      <c r="F1942" s="391" t="s">
        <v>25353</v>
      </c>
      <c r="G1942" s="23" t="s">
        <v>13942</v>
      </c>
      <c r="H1942" s="23"/>
      <c r="I1942" s="23"/>
      <c r="J1942" s="23"/>
      <c r="K1942" s="23"/>
      <c r="L1942" s="375" t="s">
        <v>27930</v>
      </c>
      <c r="M1942" s="351"/>
      <c r="N1942" s="267">
        <f t="shared" si="465"/>
        <v>0</v>
      </c>
      <c r="O1942" s="268">
        <f t="shared" si="466"/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2"/>
        <v>0</v>
      </c>
      <c r="AD1942" s="196">
        <f t="shared" si="453"/>
        <v>0</v>
      </c>
      <c r="AE1942" s="196">
        <f t="shared" si="454"/>
        <v>0</v>
      </c>
      <c r="AF1942" s="2">
        <f t="shared" si="455"/>
        <v>0</v>
      </c>
      <c r="AG1942" s="2">
        <f t="shared" si="456"/>
        <v>0</v>
      </c>
    </row>
    <row r="1943" spans="1:33">
      <c r="A1943" s="20" t="s">
        <v>25942</v>
      </c>
      <c r="B1943" s="150"/>
      <c r="C1943" s="21" t="s">
        <v>25314</v>
      </c>
      <c r="D1943" s="109" t="s">
        <v>9855</v>
      </c>
      <c r="E1943" s="109" t="s">
        <v>25979</v>
      </c>
      <c r="F1943" s="391" t="s">
        <v>25353</v>
      </c>
      <c r="G1943" s="23" t="s">
        <v>13942</v>
      </c>
      <c r="H1943" s="23"/>
      <c r="I1943" s="23"/>
      <c r="J1943" s="23"/>
      <c r="K1943" s="23"/>
      <c r="L1943" s="375" t="s">
        <v>45</v>
      </c>
      <c r="M1943" s="351" t="s">
        <v>45</v>
      </c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2"/>
        <v>0</v>
      </c>
      <c r="AD1943" s="196">
        <f t="shared" si="453"/>
        <v>0</v>
      </c>
      <c r="AE1943" s="196">
        <f t="shared" si="454"/>
        <v>0</v>
      </c>
      <c r="AF1943" s="2">
        <f t="shared" si="455"/>
        <v>0</v>
      </c>
      <c r="AG1943" s="2">
        <f t="shared" si="456"/>
        <v>0</v>
      </c>
    </row>
    <row r="1944" spans="1:33">
      <c r="A1944" s="20" t="s">
        <v>25522</v>
      </c>
      <c r="B1944" s="150"/>
      <c r="C1944" s="21" t="s">
        <v>25568</v>
      </c>
      <c r="D1944" s="109" t="s">
        <v>24785</v>
      </c>
      <c r="E1944" s="109" t="s">
        <v>25567</v>
      </c>
      <c r="F1944" s="391" t="s">
        <v>25565</v>
      </c>
      <c r="G1944" s="23" t="s">
        <v>25566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0</v>
      </c>
      <c r="P1944" s="239"/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/>
      <c r="AC1944" s="196">
        <f t="shared" si="452"/>
        <v>0</v>
      </c>
      <c r="AD1944" s="196">
        <f t="shared" si="453"/>
        <v>0</v>
      </c>
      <c r="AE1944" s="196">
        <f t="shared" si="454"/>
        <v>0</v>
      </c>
      <c r="AF1944" s="2">
        <f t="shared" si="455"/>
        <v>0</v>
      </c>
      <c r="AG1944" s="2">
        <f t="shared" si="456"/>
        <v>0</v>
      </c>
    </row>
    <row r="1945" spans="1:33">
      <c r="A1945" s="20" t="s">
        <v>26740</v>
      </c>
      <c r="B1945" s="150"/>
      <c r="C1945" s="21" t="s">
        <v>26332</v>
      </c>
      <c r="D1945" s="109" t="s">
        <v>24785</v>
      </c>
      <c r="E1945" s="109" t="s">
        <v>26333</v>
      </c>
      <c r="F1945" s="391" t="s">
        <v>25565</v>
      </c>
      <c r="G1945" s="23" t="s">
        <v>26334</v>
      </c>
      <c r="H1945" s="23"/>
      <c r="I1945" s="23"/>
      <c r="J1945" s="23"/>
      <c r="K1945" s="23"/>
      <c r="L1945" s="375" t="s">
        <v>7787</v>
      </c>
      <c r="M1945" s="351"/>
      <c r="N1945" s="267">
        <f t="shared" ref="N1945" si="471">SUM(L1945:M1945)</f>
        <v>0</v>
      </c>
      <c r="O1945" s="268">
        <f t="shared" ref="O1945" si="472">SUM(P1945:Z1945)</f>
        <v>500</v>
      </c>
      <c r="P1945" s="239">
        <f>500</f>
        <v>500</v>
      </c>
      <c r="Q1945" s="239"/>
      <c r="R1945" s="239"/>
      <c r="S1945" s="239"/>
      <c r="T1945" s="239"/>
      <c r="U1945" s="240"/>
      <c r="V1945" s="240"/>
      <c r="W1945" s="240"/>
      <c r="X1945" s="278"/>
      <c r="Y1945" s="237"/>
      <c r="Z1945" s="237"/>
      <c r="AA1945" s="279"/>
      <c r="AB1945" s="238" t="s">
        <v>26521</v>
      </c>
      <c r="AC1945" s="196">
        <f t="shared" si="452"/>
        <v>500</v>
      </c>
      <c r="AD1945" s="196">
        <f t="shared" si="453"/>
        <v>500</v>
      </c>
      <c r="AE1945" s="196">
        <f t="shared" si="454"/>
        <v>0</v>
      </c>
      <c r="AF1945" s="2">
        <f t="shared" si="455"/>
        <v>500</v>
      </c>
      <c r="AG1945" s="2">
        <f t="shared" si="456"/>
        <v>0</v>
      </c>
    </row>
    <row r="1946" spans="1:33">
      <c r="A1946" s="20" t="s">
        <v>25352</v>
      </c>
      <c r="B1946" s="150"/>
      <c r="C1946" s="21" t="s">
        <v>25445</v>
      </c>
      <c r="D1946" s="109" t="s">
        <v>9855</v>
      </c>
      <c r="E1946" s="109"/>
      <c r="F1946" s="391" t="s">
        <v>25448</v>
      </c>
      <c r="G1946" s="23" t="s">
        <v>13942</v>
      </c>
      <c r="H1946" s="23"/>
      <c r="I1946" s="23"/>
      <c r="J1946" s="23"/>
      <c r="K1946" s="23"/>
      <c r="L1946" s="375" t="s">
        <v>28053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3000</v>
      </c>
      <c r="P1946" s="239"/>
      <c r="Q1946" s="239"/>
      <c r="R1946" s="239"/>
      <c r="S1946" s="239"/>
      <c r="T1946" s="239"/>
      <c r="U1946" s="240">
        <v>3000</v>
      </c>
      <c r="V1946" s="240"/>
      <c r="W1946" s="240"/>
      <c r="X1946" s="278"/>
      <c r="Y1946" s="237"/>
      <c r="Z1946" s="237"/>
      <c r="AA1946" s="279"/>
      <c r="AB1946" s="238" t="s">
        <v>28039</v>
      </c>
      <c r="AC1946" s="196">
        <f t="shared" si="452"/>
        <v>3000</v>
      </c>
      <c r="AD1946" s="196">
        <f t="shared" si="453"/>
        <v>3000</v>
      </c>
      <c r="AE1946" s="196">
        <f t="shared" si="454"/>
        <v>0</v>
      </c>
      <c r="AF1946" s="2">
        <f t="shared" si="455"/>
        <v>3000</v>
      </c>
      <c r="AG1946" s="2">
        <f t="shared" si="456"/>
        <v>0</v>
      </c>
    </row>
    <row r="1947" spans="1:33">
      <c r="A1947" s="20" t="s">
        <v>25626</v>
      </c>
      <c r="B1947" s="150"/>
      <c r="C1947" s="21" t="s">
        <v>25805</v>
      </c>
      <c r="D1947" s="109" t="s">
        <v>9855</v>
      </c>
      <c r="E1947" s="109"/>
      <c r="F1947" s="391" t="s">
        <v>25809</v>
      </c>
      <c r="G1947" s="23" t="s">
        <v>25808</v>
      </c>
      <c r="H1947" s="23" t="s">
        <v>26795</v>
      </c>
      <c r="I1947" s="23"/>
      <c r="J1947" s="23"/>
      <c r="K1947" s="23"/>
      <c r="L1947" s="375" t="s">
        <v>45</v>
      </c>
      <c r="M1947" s="351" t="s">
        <v>45</v>
      </c>
      <c r="N1947" s="267">
        <f t="shared" ref="N1947" si="475">SUM(L1947:M1947)</f>
        <v>0</v>
      </c>
      <c r="O1947" s="268">
        <f t="shared" ref="O1947" si="476">SUM(P1947:Z1947)</f>
        <v>200</v>
      </c>
      <c r="P1947" s="239"/>
      <c r="Q1947" s="239"/>
      <c r="R1947" s="239"/>
      <c r="S1947" s="239"/>
      <c r="T1947" s="239"/>
      <c r="U1947" s="240">
        <f>300-200+1200-1000+600-500-200</f>
        <v>200</v>
      </c>
      <c r="V1947" s="240"/>
      <c r="W1947" s="240"/>
      <c r="X1947" s="278"/>
      <c r="Y1947" s="237"/>
      <c r="Z1947" s="237"/>
      <c r="AA1947" s="279"/>
      <c r="AB1947" s="238" t="s">
        <v>26922</v>
      </c>
      <c r="AC1947" s="196">
        <f t="shared" si="452"/>
        <v>200</v>
      </c>
      <c r="AD1947" s="196">
        <f t="shared" si="453"/>
        <v>200</v>
      </c>
      <c r="AE1947" s="196">
        <f t="shared" si="454"/>
        <v>0</v>
      </c>
      <c r="AF1947" s="2">
        <f t="shared" si="455"/>
        <v>200</v>
      </c>
      <c r="AG1947" s="2">
        <f t="shared" si="456"/>
        <v>0</v>
      </c>
    </row>
    <row r="1948" spans="1:33">
      <c r="A1948" s="20"/>
      <c r="B1948" s="150"/>
      <c r="C1948" s="21" t="s">
        <v>27816</v>
      </c>
      <c r="D1948" s="109" t="s">
        <v>8376</v>
      </c>
      <c r="E1948" s="109" t="s">
        <v>27817</v>
      </c>
      <c r="F1948" s="391"/>
      <c r="G1948" s="23" t="s">
        <v>13301</v>
      </c>
      <c r="H1948" s="23"/>
      <c r="I1948" s="23"/>
      <c r="J1948" s="23"/>
      <c r="K1948" s="23"/>
      <c r="L1948" s="375" t="s">
        <v>27827</v>
      </c>
      <c r="M1948" s="351"/>
      <c r="N1948" s="267">
        <f t="shared" ref="N1948" si="477">SUM(L1948:M1948)</f>
        <v>0</v>
      </c>
      <c r="O1948" s="268">
        <f t="shared" ref="O1948" si="478">SUM(P1948:Z1948)</f>
        <v>0</v>
      </c>
      <c r="P1948" s="239"/>
      <c r="Q1948" s="239"/>
      <c r="R1948" s="239"/>
      <c r="S1948" s="239"/>
      <c r="T1948" s="239"/>
      <c r="U1948" s="240"/>
      <c r="V1948" s="240"/>
      <c r="W1948" s="240"/>
      <c r="X1948" s="278"/>
      <c r="Y1948" s="237"/>
      <c r="Z1948" s="237"/>
      <c r="AA1948" s="279"/>
      <c r="AB1948" s="238"/>
      <c r="AC1948" s="196"/>
      <c r="AD1948" s="196"/>
      <c r="AE1948" s="196"/>
    </row>
    <row r="1949" spans="1:33">
      <c r="A1949" s="20" t="s">
        <v>27059</v>
      </c>
      <c r="B1949" s="150"/>
      <c r="C1949" s="21" t="s">
        <v>27033</v>
      </c>
      <c r="D1949" s="109" t="s">
        <v>18869</v>
      </c>
      <c r="E1949" s="109" t="s">
        <v>23853</v>
      </c>
      <c r="F1949" s="391" t="s">
        <v>27034</v>
      </c>
      <c r="G1949" s="23" t="s">
        <v>13301</v>
      </c>
      <c r="H1949" s="23"/>
      <c r="I1949" s="23"/>
      <c r="J1949" s="23"/>
      <c r="K1949" s="23"/>
      <c r="L1949" s="375"/>
      <c r="M1949" s="351"/>
      <c r="N1949" s="267">
        <f t="shared" ref="N1949:N1951" si="479">SUM(L1949:M1949)</f>
        <v>0</v>
      </c>
      <c r="O1949" s="268">
        <f t="shared" ref="O1949:O1951" si="480">SUM(P1949:Z1949)</f>
        <v>31100</v>
      </c>
      <c r="P1949" s="239"/>
      <c r="Q1949" s="239"/>
      <c r="R1949" s="239"/>
      <c r="S1949" s="239"/>
      <c r="T1949" s="239"/>
      <c r="U1949" s="240">
        <f>13700+17400</f>
        <v>31100</v>
      </c>
      <c r="V1949" s="240"/>
      <c r="W1949" s="240"/>
      <c r="X1949" s="278"/>
      <c r="Y1949" s="237"/>
      <c r="Z1949" s="237"/>
      <c r="AA1949" s="279"/>
      <c r="AB1949" s="238"/>
      <c r="AC1949" s="196"/>
      <c r="AD1949" s="196"/>
      <c r="AE1949" s="196"/>
    </row>
    <row r="1950" spans="1:33">
      <c r="A1950" s="20" t="s">
        <v>26741</v>
      </c>
      <c r="B1950" s="150"/>
      <c r="C1950" s="21" t="s">
        <v>26648</v>
      </c>
      <c r="D1950" s="109" t="s">
        <v>9855</v>
      </c>
      <c r="E1950" s="109" t="s">
        <v>26649</v>
      </c>
      <c r="F1950" s="391" t="s">
        <v>26650</v>
      </c>
      <c r="G1950" s="23" t="s">
        <v>13942</v>
      </c>
      <c r="H1950" s="23"/>
      <c r="I1950" s="23"/>
      <c r="J1950" s="23"/>
      <c r="K1950" s="23"/>
      <c r="L1950" s="375"/>
      <c r="M1950" s="351"/>
      <c r="N1950" s="267">
        <f t="shared" si="479"/>
        <v>0</v>
      </c>
      <c r="O1950" s="268">
        <f t="shared" si="480"/>
        <v>500</v>
      </c>
      <c r="P1950" s="239"/>
      <c r="Q1950" s="239"/>
      <c r="R1950" s="239"/>
      <c r="S1950" s="239"/>
      <c r="T1950" s="239"/>
      <c r="U1950" s="240">
        <f>1000-500</f>
        <v>500</v>
      </c>
      <c r="V1950" s="240"/>
      <c r="W1950" s="240"/>
      <c r="X1950" s="278"/>
      <c r="Y1950" s="237"/>
      <c r="Z1950" s="237"/>
      <c r="AA1950" s="279"/>
      <c r="AB1950" s="238" t="s">
        <v>26651</v>
      </c>
      <c r="AC1950" s="196">
        <f t="shared" si="452"/>
        <v>500</v>
      </c>
      <c r="AD1950" s="196">
        <f t="shared" si="453"/>
        <v>500</v>
      </c>
      <c r="AE1950" s="196">
        <f t="shared" si="454"/>
        <v>0</v>
      </c>
      <c r="AF1950" s="2">
        <f t="shared" si="455"/>
        <v>500</v>
      </c>
      <c r="AG1950" s="2">
        <f t="shared" si="456"/>
        <v>0</v>
      </c>
    </row>
    <row r="1951" spans="1:33">
      <c r="A1951" s="20" t="s">
        <v>25609</v>
      </c>
      <c r="B1951" s="150"/>
      <c r="C1951" s="21" t="s">
        <v>25660</v>
      </c>
      <c r="D1951" s="109" t="s">
        <v>9855</v>
      </c>
      <c r="E1951" s="109"/>
      <c r="F1951" s="391" t="s">
        <v>25662</v>
      </c>
      <c r="G1951" s="23" t="s">
        <v>13942</v>
      </c>
      <c r="H1951" s="23"/>
      <c r="I1951" s="23"/>
      <c r="J1951" s="23"/>
      <c r="K1951" s="23"/>
      <c r="L1951" s="375"/>
      <c r="M1951" s="351" t="s">
        <v>45</v>
      </c>
      <c r="N1951" s="267">
        <f t="shared" si="479"/>
        <v>0</v>
      </c>
      <c r="O1951" s="268">
        <f t="shared" si="480"/>
        <v>1200</v>
      </c>
      <c r="P1951" s="239"/>
      <c r="Q1951" s="239"/>
      <c r="R1951" s="239"/>
      <c r="S1951" s="239"/>
      <c r="T1951" s="239"/>
      <c r="U1951" s="240">
        <v>1200</v>
      </c>
      <c r="V1951" s="240"/>
      <c r="W1951" s="240"/>
      <c r="X1951" s="278"/>
      <c r="Y1951" s="237"/>
      <c r="Z1951" s="237"/>
      <c r="AA1951" s="279"/>
      <c r="AB1951" s="238" t="s">
        <v>26065</v>
      </c>
      <c r="AC1951" s="196">
        <f t="shared" si="452"/>
        <v>1200</v>
      </c>
      <c r="AD1951" s="196">
        <f t="shared" si="453"/>
        <v>1200</v>
      </c>
      <c r="AE1951" s="196">
        <f t="shared" si="454"/>
        <v>0</v>
      </c>
      <c r="AF1951" s="2">
        <f t="shared" si="455"/>
        <v>1200</v>
      </c>
      <c r="AG1951" s="2">
        <f t="shared" si="456"/>
        <v>0</v>
      </c>
    </row>
    <row r="1952" spans="1:33">
      <c r="A1952" s="20" t="s">
        <v>25939</v>
      </c>
      <c r="B1952" s="150"/>
      <c r="C1952" s="21" t="s">
        <v>25660</v>
      </c>
      <c r="D1952" s="109" t="s">
        <v>9855</v>
      </c>
      <c r="E1952" s="109" t="s">
        <v>25979</v>
      </c>
      <c r="F1952" s="391" t="s">
        <v>25662</v>
      </c>
      <c r="G1952" s="23" t="s">
        <v>13942</v>
      </c>
      <c r="H1952" s="23"/>
      <c r="I1952" s="23"/>
      <c r="J1952" s="23"/>
      <c r="K1952" s="23"/>
      <c r="L1952" s="375" t="s">
        <v>45</v>
      </c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0</v>
      </c>
      <c r="P1952" s="239"/>
      <c r="Q1952" s="239"/>
      <c r="R1952" s="239"/>
      <c r="S1952" s="239"/>
      <c r="T1952" s="239"/>
      <c r="U1952" s="240"/>
      <c r="V1952" s="240"/>
      <c r="W1952" s="240"/>
      <c r="X1952" s="278"/>
      <c r="Y1952" s="237"/>
      <c r="Z1952" s="237"/>
      <c r="AA1952" s="279"/>
      <c r="AB1952" s="238"/>
      <c r="AC1952" s="196">
        <f t="shared" si="452"/>
        <v>0</v>
      </c>
      <c r="AD1952" s="196">
        <f t="shared" si="453"/>
        <v>0</v>
      </c>
      <c r="AE1952" s="196">
        <f t="shared" si="454"/>
        <v>0</v>
      </c>
      <c r="AF1952" s="2">
        <f t="shared" si="455"/>
        <v>0</v>
      </c>
      <c r="AG1952" s="2">
        <f t="shared" si="456"/>
        <v>0</v>
      </c>
    </row>
    <row r="1953" spans="1:33">
      <c r="A1953" s="20" t="s">
        <v>25815</v>
      </c>
      <c r="B1953" s="150"/>
      <c r="C1953" s="21" t="s">
        <v>25868</v>
      </c>
      <c r="D1953" s="109" t="s">
        <v>9855</v>
      </c>
      <c r="E1953" s="109" t="s">
        <v>25898</v>
      </c>
      <c r="F1953" s="391" t="s">
        <v>25899</v>
      </c>
      <c r="G1953" s="23" t="s">
        <v>13301</v>
      </c>
      <c r="H1953" s="23"/>
      <c r="I1953" s="23"/>
      <c r="J1953" s="23"/>
      <c r="K1953" s="23"/>
      <c r="L1953" s="375"/>
      <c r="M1953" s="351" t="s">
        <v>45</v>
      </c>
      <c r="N1953" s="267">
        <f t="shared" ref="N1953" si="483">SUM(L1953:M1953)</f>
        <v>0</v>
      </c>
      <c r="O1953" s="268">
        <f t="shared" ref="O1953" si="484">SUM(P1953:Z1953)</f>
        <v>500</v>
      </c>
      <c r="P1953" s="239"/>
      <c r="Q1953" s="239"/>
      <c r="R1953" s="239"/>
      <c r="S1953" s="239"/>
      <c r="T1953" s="239"/>
      <c r="U1953" s="240">
        <f>550-50</f>
        <v>500</v>
      </c>
      <c r="V1953" s="240"/>
      <c r="W1953" s="240"/>
      <c r="X1953" s="278"/>
      <c r="Y1953" s="237"/>
      <c r="Z1953" s="237"/>
      <c r="AA1953" s="279"/>
      <c r="AB1953" s="238" t="s">
        <v>26052</v>
      </c>
      <c r="AC1953" s="196">
        <f t="shared" si="452"/>
        <v>500</v>
      </c>
      <c r="AD1953" s="196">
        <f t="shared" si="453"/>
        <v>500</v>
      </c>
      <c r="AE1953" s="196">
        <f t="shared" si="454"/>
        <v>0</v>
      </c>
      <c r="AF1953" s="2">
        <f t="shared" si="455"/>
        <v>500</v>
      </c>
      <c r="AG1953" s="2">
        <f t="shared" si="456"/>
        <v>0</v>
      </c>
    </row>
    <row r="1954" spans="1:33">
      <c r="A1954" s="20" t="s">
        <v>26767</v>
      </c>
      <c r="B1954" s="150"/>
      <c r="C1954" s="21" t="s">
        <v>26836</v>
      </c>
      <c r="D1954" s="109" t="s">
        <v>18869</v>
      </c>
      <c r="E1954" s="109" t="s">
        <v>23853</v>
      </c>
      <c r="F1954" s="391" t="s">
        <v>26837</v>
      </c>
      <c r="G1954" s="23" t="s">
        <v>6133</v>
      </c>
      <c r="H1954" s="23"/>
      <c r="I1954" s="23"/>
      <c r="J1954" s="23"/>
      <c r="K1954" s="23"/>
      <c r="L1954" s="375"/>
      <c r="M1954" s="351"/>
      <c r="N1954" s="267">
        <f t="shared" ref="N1954:N1957" si="485">SUM(L1954:M1954)</f>
        <v>0</v>
      </c>
      <c r="O1954" s="268">
        <f t="shared" ref="O1954:O1957" si="486">SUM(P1954:Z1954)</f>
        <v>32500</v>
      </c>
      <c r="P1954" s="239"/>
      <c r="Q1954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3600-500+2700-100-300+2700-300-50+8100-1500+5400-1000-2000+12300-750+2700-750+4450-2000-750+1650-3000-1500-500-50-300-1500-750-150+2700-1500+8100-1750-1000-2700-1000+10150-750+1750-3000+2700-1500-1500-750-1500-50-750+4000-1500-1500+3400-750-3000-750+4900-3000-1000-3000-1500</f>
        <v>29800</v>
      </c>
      <c r="R1954" s="239"/>
      <c r="S1954" s="239"/>
      <c r="T1954" s="239"/>
      <c r="U1954" s="240"/>
      <c r="V1954" s="240"/>
      <c r="W1954" s="240"/>
      <c r="X1954" s="278"/>
      <c r="Y1954" s="237">
        <v>2700</v>
      </c>
      <c r="Z1954" s="237"/>
      <c r="AA1954" s="279"/>
      <c r="AB1954" s="238" t="s">
        <v>27789</v>
      </c>
      <c r="AC1954" s="196">
        <f t="shared" si="452"/>
        <v>32500</v>
      </c>
      <c r="AD1954" s="196">
        <f t="shared" si="453"/>
        <v>32500</v>
      </c>
      <c r="AE1954" s="196">
        <f t="shared" si="454"/>
        <v>0</v>
      </c>
      <c r="AF1954" s="2">
        <f t="shared" si="455"/>
        <v>32500</v>
      </c>
      <c r="AG1954" s="2">
        <f t="shared" si="456"/>
        <v>0</v>
      </c>
    </row>
    <row r="1955" spans="1:33">
      <c r="A1955" s="20" t="s">
        <v>26105</v>
      </c>
      <c r="B1955" s="150"/>
      <c r="C1955" s="21" t="s">
        <v>26140</v>
      </c>
      <c r="D1955" s="109" t="s">
        <v>9855</v>
      </c>
      <c r="E1955" s="109"/>
      <c r="F1955" s="391" t="s">
        <v>26148</v>
      </c>
      <c r="G1955" s="23" t="s">
        <v>13942</v>
      </c>
      <c r="H1955" s="23"/>
      <c r="I1955" s="23"/>
      <c r="J1955" s="23"/>
      <c r="K1955" s="23"/>
      <c r="L1955" s="375" t="s">
        <v>45</v>
      </c>
      <c r="M1955" s="351" t="s">
        <v>45</v>
      </c>
      <c r="N1955" s="267">
        <f t="shared" si="485"/>
        <v>0</v>
      </c>
      <c r="O1955" s="268">
        <f t="shared" si="486"/>
        <v>0</v>
      </c>
      <c r="P1955" s="239"/>
      <c r="Q1955" s="239"/>
      <c r="R1955" s="239"/>
      <c r="S1955" s="239"/>
      <c r="T1955" s="239"/>
      <c r="U1955" s="240"/>
      <c r="V1955" s="240"/>
      <c r="W1955" s="240"/>
      <c r="X1955" s="278"/>
      <c r="Y1955" s="237"/>
      <c r="Z1955" s="237"/>
      <c r="AA1955" s="279"/>
      <c r="AB1955" s="238"/>
      <c r="AC1955" s="196">
        <f t="shared" si="452"/>
        <v>0</v>
      </c>
      <c r="AD1955" s="196">
        <f t="shared" si="453"/>
        <v>0</v>
      </c>
      <c r="AE1955" s="196">
        <f t="shared" si="454"/>
        <v>0</v>
      </c>
      <c r="AF1955" s="2">
        <f t="shared" si="455"/>
        <v>0</v>
      </c>
      <c r="AG1955" s="2">
        <f t="shared" si="456"/>
        <v>0</v>
      </c>
    </row>
    <row r="1956" spans="1:33">
      <c r="A1956" s="20" t="s">
        <v>26106</v>
      </c>
      <c r="B1956" s="150"/>
      <c r="C1956" s="21" t="s">
        <v>26082</v>
      </c>
      <c r="D1956" s="109" t="s">
        <v>24785</v>
      </c>
      <c r="E1956" s="109" t="s">
        <v>26084</v>
      </c>
      <c r="F1956" s="391" t="s">
        <v>26083</v>
      </c>
      <c r="G1956" s="23" t="s">
        <v>13942</v>
      </c>
      <c r="H1956" s="23"/>
      <c r="I1956" s="23"/>
      <c r="J1956" s="23"/>
      <c r="K1956" s="23"/>
      <c r="L1956" s="375"/>
      <c r="M1956" s="351" t="s">
        <v>7787</v>
      </c>
      <c r="N1956" s="267">
        <f t="shared" si="485"/>
        <v>0</v>
      </c>
      <c r="O1956" s="268">
        <f t="shared" si="486"/>
        <v>500</v>
      </c>
      <c r="P1956" s="239"/>
      <c r="Q1956" s="239"/>
      <c r="R1956" s="239"/>
      <c r="S1956" s="239"/>
      <c r="T1956" s="239"/>
      <c r="U1956" s="240">
        <f>1000-500</f>
        <v>500</v>
      </c>
      <c r="V1956" s="240"/>
      <c r="W1956" s="240"/>
      <c r="X1956" s="278"/>
      <c r="Y1956" s="237"/>
      <c r="Z1956" s="237"/>
      <c r="AA1956" s="279"/>
      <c r="AB1956" s="238"/>
      <c r="AC1956" s="196">
        <f t="shared" si="452"/>
        <v>500</v>
      </c>
      <c r="AD1956" s="196">
        <f t="shared" si="453"/>
        <v>500</v>
      </c>
      <c r="AE1956" s="196">
        <f t="shared" si="454"/>
        <v>0</v>
      </c>
      <c r="AF1956" s="2">
        <f t="shared" si="455"/>
        <v>500</v>
      </c>
      <c r="AG1956" s="2">
        <f t="shared" si="456"/>
        <v>0</v>
      </c>
    </row>
    <row r="1957" spans="1:33">
      <c r="A1957" s="20" t="s">
        <v>25604</v>
      </c>
      <c r="B1957" s="150"/>
      <c r="C1957" s="21" t="s">
        <v>25595</v>
      </c>
      <c r="D1957" s="109" t="s">
        <v>9855</v>
      </c>
      <c r="E1957" s="109" t="s">
        <v>26773</v>
      </c>
      <c r="F1957" s="391" t="s">
        <v>25630</v>
      </c>
      <c r="G1957" s="23" t="s">
        <v>13942</v>
      </c>
      <c r="H1957" s="23"/>
      <c r="I1957" s="23"/>
      <c r="J1957" s="23"/>
      <c r="K1957" s="23"/>
      <c r="L1957" s="375" t="s">
        <v>27399</v>
      </c>
      <c r="M1957" s="351"/>
      <c r="N1957" s="267">
        <f t="shared" si="485"/>
        <v>0</v>
      </c>
      <c r="O1957" s="268">
        <f t="shared" si="486"/>
        <v>1450</v>
      </c>
      <c r="P1957" s="239"/>
      <c r="Q1957" s="239"/>
      <c r="R1957" s="239"/>
      <c r="S1957" s="239"/>
      <c r="T1957" s="239"/>
      <c r="U1957" s="240">
        <v>1450</v>
      </c>
      <c r="V1957" s="240"/>
      <c r="W1957" s="240"/>
      <c r="X1957" s="278"/>
      <c r="Y1957" s="237"/>
      <c r="Z1957" s="237"/>
      <c r="AA1957" s="279"/>
      <c r="AB1957" s="238" t="s">
        <v>27398</v>
      </c>
      <c r="AC1957" s="196">
        <f t="shared" si="452"/>
        <v>1450</v>
      </c>
      <c r="AD1957" s="196">
        <f t="shared" si="453"/>
        <v>1450</v>
      </c>
      <c r="AE1957" s="196">
        <f t="shared" si="454"/>
        <v>0</v>
      </c>
      <c r="AF1957" s="2">
        <f t="shared" si="455"/>
        <v>1450</v>
      </c>
      <c r="AG1957" s="2">
        <f t="shared" si="456"/>
        <v>0</v>
      </c>
    </row>
    <row r="1958" spans="1:33">
      <c r="A1958" s="20" t="s">
        <v>26742</v>
      </c>
      <c r="B1958" s="150"/>
      <c r="C1958" s="21" t="s">
        <v>25595</v>
      </c>
      <c r="D1958" s="109" t="s">
        <v>9855</v>
      </c>
      <c r="E1958" s="109" t="s">
        <v>26774</v>
      </c>
      <c r="F1958" s="391" t="s">
        <v>25630</v>
      </c>
      <c r="G1958" s="23" t="s">
        <v>25730</v>
      </c>
      <c r="H1958" s="23" t="s">
        <v>26561</v>
      </c>
      <c r="I1958" s="23"/>
      <c r="J1958" s="23"/>
      <c r="K1958" s="23"/>
      <c r="L1958" s="375" t="s">
        <v>45</v>
      </c>
      <c r="M1958" s="351"/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2"/>
        <v>0</v>
      </c>
      <c r="AD1958" s="196">
        <f t="shared" si="453"/>
        <v>0</v>
      </c>
      <c r="AE1958" s="196">
        <f t="shared" si="454"/>
        <v>0</v>
      </c>
      <c r="AF1958" s="2">
        <f t="shared" si="455"/>
        <v>0</v>
      </c>
      <c r="AG1958" s="2">
        <f t="shared" si="456"/>
        <v>0</v>
      </c>
    </row>
    <row r="1959" spans="1:33">
      <c r="A1959" s="20" t="s">
        <v>25524</v>
      </c>
      <c r="B1959" s="150"/>
      <c r="C1959" s="21" t="s">
        <v>25594</v>
      </c>
      <c r="D1959" s="109" t="s">
        <v>9855</v>
      </c>
      <c r="E1959" s="109" t="s">
        <v>26253</v>
      </c>
      <c r="F1959" s="391" t="s">
        <v>25603</v>
      </c>
      <c r="G1959" s="23" t="s">
        <v>25601</v>
      </c>
      <c r="H1959" s="23"/>
      <c r="I1959" s="23"/>
      <c r="J1959" s="23"/>
      <c r="K1959" s="23"/>
      <c r="L1959" s="375" t="s">
        <v>45</v>
      </c>
      <c r="M1959" s="351" t="s">
        <v>45</v>
      </c>
      <c r="N1959" s="267">
        <f t="shared" ref="N1959" si="489">SUM(L1959:M1959)</f>
        <v>0</v>
      </c>
      <c r="O1959" s="268">
        <f t="shared" ref="O1959" si="490">SUM(P1959:Z1959)</f>
        <v>0</v>
      </c>
      <c r="P1959" s="239"/>
      <c r="Q1959" s="239"/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/>
      <c r="AC1959" s="196">
        <f t="shared" si="452"/>
        <v>0</v>
      </c>
      <c r="AD1959" s="196">
        <f t="shared" si="453"/>
        <v>0</v>
      </c>
      <c r="AE1959" s="196">
        <f t="shared" si="454"/>
        <v>0</v>
      </c>
      <c r="AF1959" s="2">
        <f t="shared" si="455"/>
        <v>0</v>
      </c>
      <c r="AG1959" s="2">
        <f t="shared" si="456"/>
        <v>0</v>
      </c>
    </row>
    <row r="1960" spans="1:33">
      <c r="A1960" s="20" t="s">
        <v>26373</v>
      </c>
      <c r="B1960" s="150"/>
      <c r="C1960" s="21" t="s">
        <v>25594</v>
      </c>
      <c r="D1960" s="109" t="s">
        <v>9855</v>
      </c>
      <c r="E1960" s="109" t="s">
        <v>26435</v>
      </c>
      <c r="F1960" s="391" t="s">
        <v>24238</v>
      </c>
      <c r="G1960" s="23" t="s">
        <v>17522</v>
      </c>
      <c r="H1960" s="23"/>
      <c r="I1960" s="23"/>
      <c r="J1960" s="23"/>
      <c r="K1960" s="23"/>
      <c r="L1960" s="375" t="s">
        <v>27989</v>
      </c>
      <c r="M1960" s="351" t="s">
        <v>45</v>
      </c>
      <c r="N1960" s="267">
        <f t="shared" ref="N1960" si="491">SUM(L1960:M1960)</f>
        <v>0</v>
      </c>
      <c r="O1960" s="268">
        <f t="shared" ref="O1960" si="492">SUM(P1960:Z1960)</f>
        <v>5550</v>
      </c>
      <c r="P1960" s="239"/>
      <c r="Q1960" s="239">
        <f>2550+2500-2600+4950+150-2000</f>
        <v>5550</v>
      </c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27999</v>
      </c>
      <c r="AC1960" s="196">
        <f t="shared" si="452"/>
        <v>5550</v>
      </c>
      <c r="AD1960" s="196">
        <f t="shared" si="453"/>
        <v>5550</v>
      </c>
      <c r="AE1960" s="196">
        <f t="shared" si="454"/>
        <v>0</v>
      </c>
      <c r="AF1960" s="2">
        <f t="shared" si="455"/>
        <v>5550</v>
      </c>
      <c r="AG1960" s="2">
        <f t="shared" si="456"/>
        <v>0</v>
      </c>
    </row>
    <row r="1961" spans="1:33">
      <c r="A1961" s="20" t="s">
        <v>25617</v>
      </c>
      <c r="B1961" s="150"/>
      <c r="C1961" s="21" t="s">
        <v>25778</v>
      </c>
      <c r="D1961" s="109" t="s">
        <v>9855</v>
      </c>
      <c r="E1961" s="109" t="s">
        <v>25780</v>
      </c>
      <c r="F1961" s="391" t="s">
        <v>25786</v>
      </c>
      <c r="G1961" s="23" t="s">
        <v>25779</v>
      </c>
      <c r="H1961" s="23"/>
      <c r="I1961" s="23"/>
      <c r="J1961" s="23"/>
      <c r="K1961" s="23"/>
      <c r="L1961" s="375" t="s">
        <v>45</v>
      </c>
      <c r="M1961" s="351" t="s">
        <v>45</v>
      </c>
      <c r="N1961" s="267">
        <f t="shared" ref="N1961:N1962" si="493">SUM(L1961:M1961)</f>
        <v>0</v>
      </c>
      <c r="O1961" s="268">
        <f t="shared" ref="O1961:O1962" si="494">SUM(P1961:Z1961)</f>
        <v>100</v>
      </c>
      <c r="P1961" s="239">
        <f>600-500</f>
        <v>100</v>
      </c>
      <c r="Q1961" s="239"/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 t="s">
        <v>25787</v>
      </c>
      <c r="AC1961" s="196">
        <f t="shared" si="452"/>
        <v>100</v>
      </c>
      <c r="AD1961" s="196">
        <f t="shared" si="453"/>
        <v>100</v>
      </c>
      <c r="AE1961" s="196">
        <f t="shared" si="454"/>
        <v>0</v>
      </c>
      <c r="AF1961" s="2">
        <f t="shared" si="455"/>
        <v>100</v>
      </c>
      <c r="AG1961" s="2">
        <f t="shared" si="456"/>
        <v>0</v>
      </c>
    </row>
    <row r="1962" spans="1:33">
      <c r="A1962" s="20" t="s">
        <v>27060</v>
      </c>
      <c r="B1962" s="150"/>
      <c r="C1962" s="21" t="s">
        <v>26979</v>
      </c>
      <c r="D1962" s="109" t="s">
        <v>3096</v>
      </c>
      <c r="E1962" s="109" t="s">
        <v>26978</v>
      </c>
      <c r="F1962" s="391" t="s">
        <v>26980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si="493"/>
        <v>0</v>
      </c>
      <c r="O1962" s="268">
        <f t="shared" si="494"/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5">SUM(P1962:AA1962)</f>
        <v>500</v>
      </c>
      <c r="AD1962" s="196">
        <f t="shared" ref="AD1962" si="496">SUM(P1962:AB1962)</f>
        <v>500</v>
      </c>
      <c r="AE1962" s="196">
        <f t="shared" ref="AE1962" si="497">SUM(AC1962-AD1962)</f>
        <v>0</v>
      </c>
      <c r="AF1962" s="2">
        <f t="shared" si="455"/>
        <v>500</v>
      </c>
      <c r="AG1962" s="2">
        <f t="shared" si="456"/>
        <v>0</v>
      </c>
    </row>
    <row r="1963" spans="1:33">
      <c r="A1963" s="20" t="s">
        <v>27061</v>
      </c>
      <c r="B1963" s="150"/>
      <c r="C1963" s="21" t="s">
        <v>26981</v>
      </c>
      <c r="D1963" s="109" t="s">
        <v>4059</v>
      </c>
      <c r="E1963" s="109" t="s">
        <v>26978</v>
      </c>
      <c r="F1963" s="391" t="s">
        <v>26982</v>
      </c>
      <c r="G1963" s="23" t="s">
        <v>21255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498">SUM(L1963:M1963)</f>
        <v>0</v>
      </c>
      <c r="O1963" s="268">
        <f t="shared" ref="O1963" si="499">SUM(P1963:Z1963)</f>
        <v>500</v>
      </c>
      <c r="P1963" s="239"/>
      <c r="Q1963" s="239">
        <v>500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0">SUM(P1963:AA1963)</f>
        <v>500</v>
      </c>
      <c r="AD1963" s="196">
        <f t="shared" ref="AD1963" si="501">SUM(P1963:AB1963)</f>
        <v>500</v>
      </c>
      <c r="AE1963" s="196">
        <f t="shared" ref="AE1963" si="502">SUM(AC1963-AD1963)</f>
        <v>0</v>
      </c>
      <c r="AF1963" s="2">
        <f t="shared" ref="AF1963" si="503">+AC1963</f>
        <v>500</v>
      </c>
      <c r="AG1963" s="2">
        <f t="shared" ref="AG1963" si="504">+AC1963-AF1963</f>
        <v>0</v>
      </c>
    </row>
    <row r="1964" spans="1:33">
      <c r="A1964" s="20" t="s">
        <v>27062</v>
      </c>
      <c r="B1964" s="150"/>
      <c r="C1964" s="21" t="s">
        <v>26971</v>
      </c>
      <c r="D1964" s="109" t="s">
        <v>24785</v>
      </c>
      <c r="E1964" s="109" t="s">
        <v>26972</v>
      </c>
      <c r="F1964" s="391" t="s">
        <v>26973</v>
      </c>
      <c r="G1964" s="23" t="s">
        <v>17522</v>
      </c>
      <c r="H1964" s="23"/>
      <c r="I1964" s="23"/>
      <c r="J1964" s="23"/>
      <c r="K1964" s="23"/>
      <c r="L1964" s="375" t="s">
        <v>7787</v>
      </c>
      <c r="M1964" s="351" t="s">
        <v>7787</v>
      </c>
      <c r="N1964" s="267">
        <f t="shared" ref="N1964" si="505">SUM(L1964:M1964)</f>
        <v>0</v>
      </c>
      <c r="O1964" s="268">
        <f t="shared" ref="O1964" si="506">SUM(P1964:Z1964)</f>
        <v>1386</v>
      </c>
      <c r="P1964" s="239"/>
      <c r="Q1964" s="239">
        <v>1386</v>
      </c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ref="AC1964" si="507">SUM(P1964:AA1964)</f>
        <v>1386</v>
      </c>
      <c r="AD1964" s="196">
        <f t="shared" ref="AD1964" si="508">SUM(P1964:AB1964)</f>
        <v>1386</v>
      </c>
      <c r="AE1964" s="196">
        <f t="shared" ref="AE1964" si="509">SUM(AC1964-AD1964)</f>
        <v>0</v>
      </c>
      <c r="AF1964" s="2">
        <f t="shared" ref="AF1964" si="510">+AC1964</f>
        <v>1386</v>
      </c>
      <c r="AG1964" s="2">
        <f t="shared" ref="AG1964" si="511">+AC1964-AF1964</f>
        <v>0</v>
      </c>
    </row>
    <row r="1965" spans="1:33">
      <c r="A1965" s="20" t="s">
        <v>1915</v>
      </c>
      <c r="B1965" s="161"/>
      <c r="C1965" s="21" t="s">
        <v>25133</v>
      </c>
      <c r="D1965" s="109" t="s">
        <v>13612</v>
      </c>
      <c r="E1965" s="109" t="s">
        <v>13611</v>
      </c>
      <c r="F1965" s="391" t="s">
        <v>15107</v>
      </c>
      <c r="G1965" s="23"/>
      <c r="H1965" s="23"/>
      <c r="I1965" s="23"/>
      <c r="J1965" s="23"/>
      <c r="K1965" s="23"/>
      <c r="L1965" s="350"/>
      <c r="M1965" s="351"/>
      <c r="N1965" s="267">
        <f t="shared" si="327"/>
        <v>0</v>
      </c>
      <c r="O1965" s="268">
        <f t="shared" si="328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2"/>
        <v>0</v>
      </c>
      <c r="AD1965" s="196">
        <f t="shared" si="453"/>
        <v>0</v>
      </c>
      <c r="AE1965" s="196">
        <f t="shared" si="454"/>
        <v>0</v>
      </c>
      <c r="AF1965" s="2">
        <f t="shared" si="455"/>
        <v>0</v>
      </c>
      <c r="AG1965" s="2">
        <f t="shared" si="456"/>
        <v>0</v>
      </c>
    </row>
    <row r="1966" spans="1:33">
      <c r="A1966" s="20" t="s">
        <v>1913</v>
      </c>
      <c r="B1966" s="161"/>
      <c r="C1966" s="21" t="s">
        <v>783</v>
      </c>
      <c r="D1966" s="109" t="s">
        <v>13949</v>
      </c>
      <c r="E1966" s="109"/>
      <c r="F1966" s="391" t="s">
        <v>15107</v>
      </c>
      <c r="G1966" s="23" t="s">
        <v>14649</v>
      </c>
      <c r="H1966" s="23"/>
      <c r="I1966" s="23"/>
      <c r="J1966" s="23"/>
      <c r="K1966" s="23"/>
      <c r="L1966" s="375" t="s">
        <v>7787</v>
      </c>
      <c r="M1966" s="351" t="s">
        <v>7787</v>
      </c>
      <c r="N1966" s="267">
        <f t="shared" si="327"/>
        <v>0</v>
      </c>
      <c r="O1966" s="268">
        <f t="shared" si="328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2"/>
        <v>0</v>
      </c>
      <c r="AD1966" s="196">
        <f t="shared" si="453"/>
        <v>0</v>
      </c>
      <c r="AE1966" s="196">
        <f t="shared" si="454"/>
        <v>0</v>
      </c>
      <c r="AF1966" s="2">
        <f t="shared" si="455"/>
        <v>0</v>
      </c>
      <c r="AG1966" s="2">
        <f t="shared" si="456"/>
        <v>0</v>
      </c>
    </row>
    <row r="1967" spans="1:33">
      <c r="A1967" s="20" t="s">
        <v>1914</v>
      </c>
      <c r="B1967" s="150"/>
      <c r="C1967" s="21" t="s">
        <v>783</v>
      </c>
      <c r="D1967" s="109" t="s">
        <v>13613</v>
      </c>
      <c r="E1967" s="109"/>
      <c r="F1967" s="391" t="s">
        <v>15107</v>
      </c>
      <c r="G1967" s="23"/>
      <c r="H1967" s="23"/>
      <c r="I1967" s="23"/>
      <c r="J1967" s="23"/>
      <c r="K1967" s="23"/>
      <c r="L1967" s="350"/>
      <c r="M1967" s="351"/>
      <c r="N1967" s="267">
        <f t="shared" si="327"/>
        <v>0</v>
      </c>
      <c r="O1967" s="268">
        <f t="shared" si="328"/>
        <v>0</v>
      </c>
      <c r="P1967" s="239"/>
      <c r="Q1967" s="239"/>
      <c r="R1967" s="239"/>
      <c r="S1967" s="239"/>
      <c r="T1967" s="239"/>
      <c r="U1967" s="240"/>
      <c r="V1967" s="240"/>
      <c r="W1967" s="240"/>
      <c r="X1967" s="278"/>
      <c r="Y1967" s="237"/>
      <c r="Z1967" s="237"/>
      <c r="AA1967" s="279"/>
      <c r="AB1967" s="238"/>
      <c r="AC1967" s="196">
        <f t="shared" si="452"/>
        <v>0</v>
      </c>
      <c r="AD1967" s="196">
        <f t="shared" si="453"/>
        <v>0</v>
      </c>
      <c r="AE1967" s="196">
        <f t="shared" si="454"/>
        <v>0</v>
      </c>
      <c r="AF1967" s="2">
        <f t="shared" si="455"/>
        <v>0</v>
      </c>
      <c r="AG1967" s="2">
        <f t="shared" si="456"/>
        <v>0</v>
      </c>
    </row>
    <row r="1968" spans="1:33">
      <c r="A1968" s="20" t="s">
        <v>26276</v>
      </c>
      <c r="B1968" s="150"/>
      <c r="C1968" s="21" t="s">
        <v>26362</v>
      </c>
      <c r="D1968" s="109" t="s">
        <v>9855</v>
      </c>
      <c r="E1968" s="109"/>
      <c r="F1968" s="391" t="s">
        <v>26369</v>
      </c>
      <c r="G1968" s="23" t="s">
        <v>26363</v>
      </c>
      <c r="H1968" s="23"/>
      <c r="I1968" s="23"/>
      <c r="J1968" s="23"/>
      <c r="K1968" s="23"/>
      <c r="L1968" s="350" t="s">
        <v>27581</v>
      </c>
      <c r="M1968" s="351"/>
      <c r="N1968" s="267">
        <f t="shared" ref="N1968" si="512">SUM(L1968:M1968)</f>
        <v>0</v>
      </c>
      <c r="O1968" s="268">
        <f t="shared" ref="O1968" si="513">SUM(P1968:Z1968)</f>
        <v>600</v>
      </c>
      <c r="P1968" s="239"/>
      <c r="Q1968" s="239"/>
      <c r="R1968" s="239"/>
      <c r="S1968" s="239"/>
      <c r="T1968" s="239"/>
      <c r="U1968" s="240">
        <f>3300-2700</f>
        <v>600</v>
      </c>
      <c r="V1968" s="240"/>
      <c r="W1968" s="240"/>
      <c r="X1968" s="278"/>
      <c r="Y1968" s="237"/>
      <c r="Z1968" s="237"/>
      <c r="AA1968" s="279"/>
      <c r="AB1968" s="238" t="s">
        <v>27578</v>
      </c>
      <c r="AC1968" s="196">
        <f t="shared" si="452"/>
        <v>600</v>
      </c>
      <c r="AD1968" s="196">
        <f t="shared" si="453"/>
        <v>600</v>
      </c>
      <c r="AE1968" s="196">
        <f t="shared" si="454"/>
        <v>0</v>
      </c>
      <c r="AF1968" s="2">
        <f t="shared" si="455"/>
        <v>600</v>
      </c>
      <c r="AG1968" s="2">
        <f t="shared" si="456"/>
        <v>0</v>
      </c>
    </row>
    <row r="1969" spans="1:33">
      <c r="A1969" s="20"/>
      <c r="B1969" s="150"/>
      <c r="C1969" s="21" t="s">
        <v>27600</v>
      </c>
      <c r="D1969" s="109" t="s">
        <v>9855</v>
      </c>
      <c r="E1969" s="109" t="s">
        <v>27601</v>
      </c>
      <c r="F1969" s="391" t="s">
        <v>27602</v>
      </c>
      <c r="G1969" s="23" t="s">
        <v>27608</v>
      </c>
      <c r="H1969" s="23"/>
      <c r="I1969" s="23"/>
      <c r="J1969" s="23"/>
      <c r="K1969" s="23"/>
      <c r="L1969" s="350"/>
      <c r="M1969" s="351"/>
      <c r="N1969" s="267">
        <f t="shared" ref="N1969:N1973" si="514">SUM(L1969:M1969)</f>
        <v>0</v>
      </c>
      <c r="O1969" s="268">
        <f t="shared" ref="O1969:O1973" si="515">SUM(P1969:Z1969)</f>
        <v>0</v>
      </c>
      <c r="P1969" s="239"/>
      <c r="Q1969" s="239"/>
      <c r="R1969" s="239"/>
      <c r="S1969" s="239"/>
      <c r="T1969" s="239"/>
      <c r="U1969" s="240"/>
      <c r="V1969" s="240"/>
      <c r="W1969" s="240"/>
      <c r="X1969" s="278"/>
      <c r="Y1969" s="237"/>
      <c r="Z1969" s="237"/>
      <c r="AA1969" s="279"/>
      <c r="AB1969" s="238"/>
      <c r="AC1969" s="196"/>
      <c r="AD1969" s="196"/>
      <c r="AE1969" s="196"/>
    </row>
    <row r="1970" spans="1:33">
      <c r="A1970" s="20" t="s">
        <v>27280</v>
      </c>
      <c r="B1970" s="150"/>
      <c r="C1970" s="21" t="s">
        <v>27314</v>
      </c>
      <c r="D1970" s="109" t="s">
        <v>9855</v>
      </c>
      <c r="E1970" s="109"/>
      <c r="F1970" s="391" t="s">
        <v>27323</v>
      </c>
      <c r="G1970" s="23" t="s">
        <v>27315</v>
      </c>
      <c r="H1970" s="23"/>
      <c r="I1970" s="23"/>
      <c r="J1970" s="23"/>
      <c r="K1970" s="23"/>
      <c r="L1970" s="350">
        <v>1010</v>
      </c>
      <c r="M1970" s="351"/>
      <c r="N1970" s="267">
        <f t="shared" si="514"/>
        <v>1010</v>
      </c>
      <c r="O1970" s="268">
        <f t="shared" si="515"/>
        <v>3650</v>
      </c>
      <c r="P1970" s="239"/>
      <c r="Q1970" s="239"/>
      <c r="R1970" s="239"/>
      <c r="S1970" s="239"/>
      <c r="T1970" s="239"/>
      <c r="U1970" s="240">
        <f>2800-2400+3050+1650-4700+3500+2400-2800</f>
        <v>3500</v>
      </c>
      <c r="V1970" s="240">
        <f>2000+3800+2350+2800+3200-11800-2200</f>
        <v>150</v>
      </c>
      <c r="W1970" s="240"/>
      <c r="X1970" s="278"/>
      <c r="Y1970" s="237"/>
      <c r="Z1970" s="237"/>
      <c r="AA1970" s="279"/>
      <c r="AB1970" s="238" t="s">
        <v>27899</v>
      </c>
      <c r="AC1970" s="196"/>
      <c r="AD1970" s="196"/>
      <c r="AE1970" s="196"/>
    </row>
    <row r="1971" spans="1:33">
      <c r="A1971" s="20" t="s">
        <v>26371</v>
      </c>
      <c r="B1971" s="150"/>
      <c r="C1971" s="21" t="s">
        <v>26367</v>
      </c>
      <c r="D1971" s="109" t="s">
        <v>9855</v>
      </c>
      <c r="E1971" s="109"/>
      <c r="F1971" s="391" t="s">
        <v>26412</v>
      </c>
      <c r="G1971" s="23" t="s">
        <v>26411</v>
      </c>
      <c r="H1971" s="23" t="s">
        <v>26533</v>
      </c>
      <c r="I1971" s="23"/>
      <c r="J1971" s="23"/>
      <c r="K1971" s="23"/>
      <c r="L1971" s="350" t="s">
        <v>27757</v>
      </c>
      <c r="M1971" s="351" t="s">
        <v>45</v>
      </c>
      <c r="N1971" s="267">
        <f t="shared" si="514"/>
        <v>0</v>
      </c>
      <c r="O1971" s="268">
        <f t="shared" si="515"/>
        <v>300</v>
      </c>
      <c r="P1971" s="239"/>
      <c r="Q1971" s="239">
        <f>1000-400-300+1500-500+500-700-250-400-150</f>
        <v>300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27751</v>
      </c>
      <c r="AC1971" s="196">
        <f t="shared" si="452"/>
        <v>300</v>
      </c>
      <c r="AD1971" s="196">
        <f t="shared" si="453"/>
        <v>300</v>
      </c>
      <c r="AE1971" s="196">
        <f t="shared" si="454"/>
        <v>0</v>
      </c>
      <c r="AF1971" s="2">
        <f t="shared" si="455"/>
        <v>300</v>
      </c>
      <c r="AG1971" s="2">
        <f t="shared" si="456"/>
        <v>0</v>
      </c>
    </row>
    <row r="1972" spans="1:33">
      <c r="A1972" s="20" t="s">
        <v>26374</v>
      </c>
      <c r="B1972" s="150"/>
      <c r="C1972" s="21" t="s">
        <v>26434</v>
      </c>
      <c r="D1972" s="109" t="s">
        <v>9855</v>
      </c>
      <c r="E1972" s="109"/>
      <c r="F1972" s="391" t="s">
        <v>26445</v>
      </c>
      <c r="G1972" s="23" t="s">
        <v>26444</v>
      </c>
      <c r="H1972" s="23" t="s">
        <v>27019</v>
      </c>
      <c r="I1972" s="23"/>
      <c r="J1972" s="23"/>
      <c r="K1972" s="23"/>
      <c r="L1972" s="350" t="s">
        <v>45</v>
      </c>
      <c r="M1972" s="351"/>
      <c r="N1972" s="267">
        <f t="shared" si="514"/>
        <v>0</v>
      </c>
      <c r="O1972" s="268">
        <f t="shared" si="515"/>
        <v>500</v>
      </c>
      <c r="P1972" s="239"/>
      <c r="Q1972" s="239">
        <f>700-100-100</f>
        <v>500</v>
      </c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 t="s">
        <v>26442</v>
      </c>
      <c r="AC1972" s="196">
        <f t="shared" si="452"/>
        <v>500</v>
      </c>
      <c r="AD1972" s="196">
        <f t="shared" si="453"/>
        <v>500</v>
      </c>
      <c r="AE1972" s="196">
        <f t="shared" si="454"/>
        <v>0</v>
      </c>
      <c r="AF1972" s="2">
        <f t="shared" si="455"/>
        <v>500</v>
      </c>
      <c r="AG1972" s="2">
        <f t="shared" si="456"/>
        <v>0</v>
      </c>
    </row>
    <row r="1973" spans="1:33">
      <c r="A1973" s="20" t="s">
        <v>26748</v>
      </c>
      <c r="B1973" s="150"/>
      <c r="C1973" s="21" t="s">
        <v>26511</v>
      </c>
      <c r="D1973" s="109" t="s">
        <v>9855</v>
      </c>
      <c r="E1973" s="109" t="s">
        <v>26512</v>
      </c>
      <c r="F1973" s="391" t="s">
        <v>26775</v>
      </c>
      <c r="G1973" s="23" t="s">
        <v>26513</v>
      </c>
      <c r="H1973" s="23"/>
      <c r="I1973" s="23"/>
      <c r="J1973" s="23"/>
      <c r="K1973" s="23"/>
      <c r="L1973" s="350" t="s">
        <v>45</v>
      </c>
      <c r="M1973" s="351"/>
      <c r="N1973" s="267">
        <f t="shared" si="514"/>
        <v>0</v>
      </c>
      <c r="O1973" s="268">
        <f t="shared" si="515"/>
        <v>0</v>
      </c>
      <c r="P1973" s="239"/>
      <c r="Q1973" s="239"/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/>
      <c r="AC1973" s="196">
        <f t="shared" si="452"/>
        <v>0</v>
      </c>
      <c r="AD1973" s="196">
        <f t="shared" si="453"/>
        <v>0</v>
      </c>
      <c r="AE1973" s="196">
        <f t="shared" si="454"/>
        <v>0</v>
      </c>
      <c r="AF1973" s="2">
        <f t="shared" si="455"/>
        <v>0</v>
      </c>
      <c r="AG1973" s="2">
        <f t="shared" si="456"/>
        <v>0</v>
      </c>
    </row>
    <row r="1974" spans="1:33">
      <c r="A1974" s="20" t="s">
        <v>26372</v>
      </c>
      <c r="B1974" s="150"/>
      <c r="C1974" s="21" t="s">
        <v>26422</v>
      </c>
      <c r="D1974" s="109" t="s">
        <v>9855</v>
      </c>
      <c r="E1974" s="109"/>
      <c r="F1974" s="391" t="s">
        <v>26427</v>
      </c>
      <c r="G1974" s="23" t="s">
        <v>26423</v>
      </c>
      <c r="H1974" s="23" t="s">
        <v>24169</v>
      </c>
      <c r="I1974" s="23" t="s">
        <v>16162</v>
      </c>
      <c r="J1974" s="23"/>
      <c r="K1974" s="23"/>
      <c r="L1974" s="350" t="s">
        <v>27951</v>
      </c>
      <c r="M1974" s="351"/>
      <c r="N1974" s="267">
        <f t="shared" ref="N1974" si="516">SUM(L1974:M1974)</f>
        <v>0</v>
      </c>
      <c r="O1974" s="268">
        <f t="shared" ref="O1974" si="517">SUM(P1974:Z1974)</f>
        <v>300</v>
      </c>
      <c r="P1974" s="239"/>
      <c r="Q1974" s="239">
        <f>1400-1000-100</f>
        <v>300</v>
      </c>
      <c r="R1974" s="239"/>
      <c r="S1974" s="239"/>
      <c r="T1974" s="239"/>
      <c r="U1974" s="240"/>
      <c r="V1974" s="240"/>
      <c r="W1974" s="240"/>
      <c r="X1974" s="278"/>
      <c r="Y1974" s="237"/>
      <c r="Z1974" s="237"/>
      <c r="AA1974" s="279"/>
      <c r="AB1974" s="238" t="s">
        <v>27947</v>
      </c>
      <c r="AC1974" s="196">
        <f t="shared" si="452"/>
        <v>300</v>
      </c>
      <c r="AD1974" s="196">
        <f t="shared" si="453"/>
        <v>300</v>
      </c>
      <c r="AE1974" s="196">
        <f t="shared" si="454"/>
        <v>0</v>
      </c>
      <c r="AF1974" s="2">
        <f t="shared" si="455"/>
        <v>300</v>
      </c>
      <c r="AG1974" s="2">
        <f t="shared" si="456"/>
        <v>0</v>
      </c>
    </row>
    <row r="1975" spans="1:33">
      <c r="A1975" s="20" t="s">
        <v>27121</v>
      </c>
      <c r="B1975" s="150"/>
      <c r="C1975" s="21" t="s">
        <v>27170</v>
      </c>
      <c r="D1975" s="109" t="s">
        <v>9855</v>
      </c>
      <c r="E1975" s="109"/>
      <c r="F1975" s="391" t="s">
        <v>27207</v>
      </c>
      <c r="G1975" s="23" t="s">
        <v>25834</v>
      </c>
      <c r="H1975" s="23"/>
      <c r="I1975" s="23"/>
      <c r="J1975" s="23"/>
      <c r="K1975" s="23"/>
      <c r="L1975" s="350" t="s">
        <v>45</v>
      </c>
      <c r="M1975" s="351"/>
      <c r="N1975" s="267">
        <f t="shared" ref="N1975" si="518">SUM(L1975:M1975)</f>
        <v>0</v>
      </c>
      <c r="O1975" s="268">
        <f t="shared" ref="O1975" si="519">SUM(P1975:Z1975)</f>
        <v>50</v>
      </c>
      <c r="P1975" s="239"/>
      <c r="Q1975" s="239"/>
      <c r="R1975" s="239"/>
      <c r="S1975" s="239"/>
      <c r="T1975" s="239"/>
      <c r="U1975" s="240">
        <f>150-100</f>
        <v>50</v>
      </c>
      <c r="V1975" s="240"/>
      <c r="W1975" s="240"/>
      <c r="X1975" s="278"/>
      <c r="Y1975" s="237"/>
      <c r="Z1975" s="237"/>
      <c r="AA1975" s="279"/>
      <c r="AB1975" s="238" t="s">
        <v>27208</v>
      </c>
      <c r="AC1975" s="196"/>
      <c r="AD1975" s="196"/>
      <c r="AE1975" s="196"/>
    </row>
    <row r="1976" spans="1:33">
      <c r="A1976" s="20" t="s">
        <v>26387</v>
      </c>
      <c r="B1976" s="150"/>
      <c r="C1976" s="21" t="s">
        <v>26532</v>
      </c>
      <c r="D1976" s="109" t="s">
        <v>9855</v>
      </c>
      <c r="E1976" s="109"/>
      <c r="F1976" s="391" t="s">
        <v>26541</v>
      </c>
      <c r="G1976" s="23" t="s">
        <v>22952</v>
      </c>
      <c r="H1976" s="23"/>
      <c r="I1976" s="23"/>
      <c r="J1976" s="23"/>
      <c r="K1976" s="23"/>
      <c r="L1976" s="350" t="s">
        <v>27573</v>
      </c>
      <c r="M1976" s="351"/>
      <c r="N1976" s="267">
        <f t="shared" ref="N1976" si="520">SUM(L1976:M1976)</f>
        <v>0</v>
      </c>
      <c r="O1976" s="268">
        <f t="shared" ref="O1976" si="521">SUM(P1976:Z1976)</f>
        <v>500</v>
      </c>
      <c r="P1976" s="239"/>
      <c r="Q1976" s="239">
        <f>350-150+300</f>
        <v>500</v>
      </c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27563</v>
      </c>
      <c r="AC1976" s="196">
        <f t="shared" si="452"/>
        <v>500</v>
      </c>
      <c r="AD1976" s="196">
        <f t="shared" si="453"/>
        <v>500</v>
      </c>
      <c r="AE1976" s="196">
        <f t="shared" si="454"/>
        <v>0</v>
      </c>
      <c r="AF1976" s="2">
        <f t="shared" si="455"/>
        <v>500</v>
      </c>
      <c r="AG1976" s="2">
        <f t="shared" si="456"/>
        <v>0</v>
      </c>
    </row>
    <row r="1977" spans="1:33">
      <c r="A1977" s="20" t="s">
        <v>26749</v>
      </c>
      <c r="B1977" s="150"/>
      <c r="C1977" s="21" t="s">
        <v>26711</v>
      </c>
      <c r="D1977" s="109" t="s">
        <v>9855</v>
      </c>
      <c r="E1977" s="109"/>
      <c r="F1977" s="391" t="s">
        <v>26718</v>
      </c>
      <c r="G1977" s="23" t="s">
        <v>26712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100</v>
      </c>
      <c r="P1977" s="239">
        <f>1100-1000</f>
        <v>100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26717</v>
      </c>
      <c r="AC1977" s="196">
        <f t="shared" si="452"/>
        <v>100</v>
      </c>
      <c r="AD1977" s="196">
        <f t="shared" si="453"/>
        <v>100</v>
      </c>
      <c r="AE1977" s="196">
        <f t="shared" si="454"/>
        <v>0</v>
      </c>
      <c r="AF1977" s="2">
        <f t="shared" si="455"/>
        <v>100</v>
      </c>
      <c r="AG1977" s="2">
        <f t="shared" si="456"/>
        <v>0</v>
      </c>
    </row>
    <row r="1978" spans="1:33">
      <c r="A1978" s="20" t="s">
        <v>26750</v>
      </c>
      <c r="B1978" s="150"/>
      <c r="C1978" s="21" t="s">
        <v>26745</v>
      </c>
      <c r="D1978" s="109" t="s">
        <v>9855</v>
      </c>
      <c r="E1978" s="109"/>
      <c r="F1978" s="391" t="s">
        <v>26718</v>
      </c>
      <c r="G1978" s="23" t="s">
        <v>24965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" si="524">SUM(L1978:M1978)</f>
        <v>0</v>
      </c>
      <c r="O1978" s="268">
        <f t="shared" ref="O1978" si="525">SUM(P1978:Z1978)</f>
        <v>50</v>
      </c>
      <c r="P1978" s="239">
        <f>1050-900-100</f>
        <v>50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26780</v>
      </c>
      <c r="AC1978" s="196">
        <f t="shared" si="452"/>
        <v>50</v>
      </c>
      <c r="AD1978" s="196">
        <f t="shared" si="453"/>
        <v>50</v>
      </c>
      <c r="AE1978" s="196">
        <f t="shared" si="454"/>
        <v>0</v>
      </c>
      <c r="AF1978" s="2">
        <f t="shared" si="455"/>
        <v>50</v>
      </c>
      <c r="AG1978" s="2">
        <f t="shared" si="456"/>
        <v>0</v>
      </c>
    </row>
    <row r="1979" spans="1:33">
      <c r="A1979" s="20" t="s">
        <v>27063</v>
      </c>
      <c r="B1979" s="150"/>
      <c r="C1979" s="21" t="s">
        <v>26986</v>
      </c>
      <c r="D1979" s="109" t="s">
        <v>26987</v>
      </c>
      <c r="E1979" s="109"/>
      <c r="F1979" s="391" t="s">
        <v>26999</v>
      </c>
      <c r="G1979" s="23" t="s">
        <v>27005</v>
      </c>
      <c r="H1979" s="23"/>
      <c r="I1979" s="23"/>
      <c r="J1979" s="23"/>
      <c r="K1979" s="23"/>
      <c r="L1979" s="350" t="s">
        <v>45</v>
      </c>
      <c r="M1979" s="351"/>
      <c r="N1979" s="267">
        <f t="shared" ref="N1979:N1994" si="526">SUM(L1979:M1979)</f>
        <v>0</v>
      </c>
      <c r="O1979" s="268">
        <f t="shared" ref="O1979:O1994" si="527">SUM(P1979:Z1979)</f>
        <v>300</v>
      </c>
      <c r="P1979" s="239">
        <f>800-500</f>
        <v>300</v>
      </c>
      <c r="Q1979" s="239"/>
      <c r="R1979" s="239"/>
      <c r="S1979" s="239"/>
      <c r="T1979" s="239"/>
      <c r="U1979" s="240"/>
      <c r="V1979" s="240"/>
      <c r="W1979" s="240"/>
      <c r="X1979" s="278"/>
      <c r="Y1979" s="237"/>
      <c r="Z1979" s="237"/>
      <c r="AA1979" s="279"/>
      <c r="AB1979" s="238" t="s">
        <v>27000</v>
      </c>
      <c r="AC1979" s="196"/>
      <c r="AD1979" s="196"/>
      <c r="AE1979" s="196"/>
    </row>
    <row r="1980" spans="1:33">
      <c r="A1980" s="20" t="s">
        <v>27286</v>
      </c>
      <c r="B1980" s="150"/>
      <c r="C1980" s="21" t="s">
        <v>27350</v>
      </c>
      <c r="D1980" s="109" t="s">
        <v>9855</v>
      </c>
      <c r="E1980" s="109"/>
      <c r="F1980" s="391" t="s">
        <v>27355</v>
      </c>
      <c r="G1980" s="23" t="s">
        <v>27351</v>
      </c>
      <c r="H1980" s="23"/>
      <c r="I1980" s="23"/>
      <c r="J1980" s="23"/>
      <c r="K1980" s="23"/>
      <c r="L1980" s="350" t="s">
        <v>27358</v>
      </c>
      <c r="M1980" s="351"/>
      <c r="N1980" s="267">
        <f t="shared" ref="N1980" si="528">SUM(L1980:M1980)</f>
        <v>0</v>
      </c>
      <c r="O1980" s="268">
        <f t="shared" ref="O1980" si="529">SUM(P1980:Z1980)</f>
        <v>150</v>
      </c>
      <c r="P1980" s="239"/>
      <c r="Q1980" s="239"/>
      <c r="R1980" s="239"/>
      <c r="S1980" s="239"/>
      <c r="T1980" s="239"/>
      <c r="U1980" s="240">
        <f>600-450</f>
        <v>150</v>
      </c>
      <c r="V1980" s="240"/>
      <c r="W1980" s="240"/>
      <c r="X1980" s="278"/>
      <c r="Y1980" s="237"/>
      <c r="Z1980" s="237"/>
      <c r="AA1980" s="279"/>
      <c r="AB1980" s="238" t="s">
        <v>27354</v>
      </c>
      <c r="AC1980" s="196"/>
      <c r="AD1980" s="196"/>
      <c r="AE1980" s="196"/>
    </row>
    <row r="1981" spans="1:33">
      <c r="A1981" s="20" t="s">
        <v>27282</v>
      </c>
      <c r="B1981" s="150"/>
      <c r="C1981" s="21" t="s">
        <v>27300</v>
      </c>
      <c r="D1981" s="109" t="s">
        <v>9855</v>
      </c>
      <c r="E1981" s="109"/>
      <c r="F1981" s="391" t="s">
        <v>27328</v>
      </c>
      <c r="G1981" s="23" t="s">
        <v>27329</v>
      </c>
      <c r="H1981" s="23"/>
      <c r="I1981" s="23"/>
      <c r="J1981" s="23"/>
      <c r="K1981" s="23"/>
      <c r="L1981" s="350" t="s">
        <v>27835</v>
      </c>
      <c r="M1981" s="351"/>
      <c r="N1981" s="267">
        <f t="shared" ref="N1981" si="530">SUM(L1981:M1981)</f>
        <v>0</v>
      </c>
      <c r="O1981" s="268">
        <f t="shared" ref="O1981" si="531">SUM(P1981:Z1981)</f>
        <v>0</v>
      </c>
      <c r="P1981" s="239"/>
      <c r="Q1981" s="239"/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/>
      <c r="AC1981" s="196"/>
      <c r="AD1981" s="196"/>
      <c r="AE1981" s="196"/>
    </row>
    <row r="1982" spans="1:33">
      <c r="A1982" s="20" t="s">
        <v>26867</v>
      </c>
      <c r="B1982" s="150"/>
      <c r="C1982" s="21" t="s">
        <v>26929</v>
      </c>
      <c r="D1982" s="109" t="s">
        <v>9855</v>
      </c>
      <c r="E1982" s="109"/>
      <c r="F1982" s="391" t="s">
        <v>26931</v>
      </c>
      <c r="G1982" s="23" t="s">
        <v>14144</v>
      </c>
      <c r="H1982" s="23"/>
      <c r="I1982" s="23"/>
      <c r="J1982" s="23"/>
      <c r="K1982" s="23"/>
      <c r="L1982" s="350" t="s">
        <v>45</v>
      </c>
      <c r="M1982" s="351"/>
      <c r="N1982" s="267">
        <f t="shared" si="526"/>
        <v>0</v>
      </c>
      <c r="O1982" s="268">
        <f t="shared" si="527"/>
        <v>600</v>
      </c>
      <c r="P1982" s="239"/>
      <c r="Q1982" s="239">
        <f>1100-500</f>
        <v>600</v>
      </c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 t="s">
        <v>26930</v>
      </c>
      <c r="AC1982" s="196"/>
      <c r="AD1982" s="196"/>
      <c r="AE1982" s="196"/>
    </row>
    <row r="1983" spans="1:33">
      <c r="A1983" s="20" t="s">
        <v>1916</v>
      </c>
      <c r="B1983" s="150"/>
      <c r="C1983" s="21" t="s">
        <v>784</v>
      </c>
      <c r="D1983" s="109" t="s">
        <v>13949</v>
      </c>
      <c r="E1983" s="109"/>
      <c r="F1983" s="391" t="s">
        <v>15108</v>
      </c>
      <c r="G1983" s="23" t="s">
        <v>14562</v>
      </c>
      <c r="H1983" s="23"/>
      <c r="I1983" s="23"/>
      <c r="J1983" s="23"/>
      <c r="K1983" s="23"/>
      <c r="L1983" s="350"/>
      <c r="M1983" s="351"/>
      <c r="N1983" s="267">
        <f t="shared" si="526"/>
        <v>0</v>
      </c>
      <c r="O1983" s="268">
        <f t="shared" si="527"/>
        <v>0</v>
      </c>
      <c r="P1983" s="239"/>
      <c r="Q1983" s="239"/>
      <c r="R1983" s="239"/>
      <c r="S1983" s="239"/>
      <c r="T1983" s="239"/>
      <c r="U1983" s="240"/>
      <c r="V1983" s="240"/>
      <c r="W1983" s="240"/>
      <c r="X1983" s="278"/>
      <c r="Y1983" s="237"/>
      <c r="Z1983" s="237"/>
      <c r="AA1983" s="279"/>
      <c r="AB1983" s="238"/>
      <c r="AC1983" s="196">
        <f t="shared" si="452"/>
        <v>0</v>
      </c>
      <c r="AD1983" s="196">
        <f t="shared" si="453"/>
        <v>0</v>
      </c>
      <c r="AE1983" s="196">
        <f t="shared" si="454"/>
        <v>0</v>
      </c>
      <c r="AF1983" s="2">
        <f t="shared" si="455"/>
        <v>0</v>
      </c>
      <c r="AG1983" s="2">
        <f t="shared" si="456"/>
        <v>0</v>
      </c>
    </row>
    <row r="1984" spans="1:33">
      <c r="A1984" s="20" t="s">
        <v>27115</v>
      </c>
      <c r="B1984" s="150"/>
      <c r="C1984" s="21" t="s">
        <v>27142</v>
      </c>
      <c r="D1984" s="109" t="s">
        <v>9855</v>
      </c>
      <c r="E1984" s="109"/>
      <c r="F1984" s="391" t="s">
        <v>27153</v>
      </c>
      <c r="G1984" s="23" t="s">
        <v>27152</v>
      </c>
      <c r="H1984" s="23"/>
      <c r="I1984" s="23"/>
      <c r="J1984" s="23"/>
      <c r="K1984" s="23"/>
      <c r="L1984" s="350" t="s">
        <v>27652</v>
      </c>
      <c r="M1984" s="351" t="s">
        <v>45</v>
      </c>
      <c r="N1984" s="267">
        <f t="shared" ref="N1984" si="532">SUM(L1984:M1984)</f>
        <v>0</v>
      </c>
      <c r="O1984" s="268">
        <f t="shared" ref="O1984" si="533">SUM(P1984:Z1984)</f>
        <v>200</v>
      </c>
      <c r="P1984" s="239"/>
      <c r="Q1984" s="239"/>
      <c r="R1984" s="239"/>
      <c r="S1984" s="239"/>
      <c r="T1984" s="239"/>
      <c r="U1984" s="240">
        <f>250+200-300+550-500</f>
        <v>200</v>
      </c>
      <c r="V1984" s="240"/>
      <c r="W1984" s="240"/>
      <c r="X1984" s="278"/>
      <c r="Y1984" s="237"/>
      <c r="Z1984" s="237"/>
      <c r="AA1984" s="279"/>
      <c r="AB1984" s="238" t="s">
        <v>27655</v>
      </c>
      <c r="AC1984" s="196"/>
      <c r="AD1984" s="196"/>
      <c r="AE1984" s="196"/>
    </row>
    <row r="1985" spans="1:33">
      <c r="A1985" s="20" t="s">
        <v>27116</v>
      </c>
      <c r="B1985" s="150"/>
      <c r="C1985" s="21" t="s">
        <v>27027</v>
      </c>
      <c r="D1985" s="109" t="s">
        <v>9855</v>
      </c>
      <c r="E1985" s="109"/>
      <c r="F1985" s="391" t="s">
        <v>27154</v>
      </c>
      <c r="G1985" s="23" t="s">
        <v>27028</v>
      </c>
      <c r="H1985" s="23"/>
      <c r="I1985" s="23"/>
      <c r="J1985" s="23"/>
      <c r="K1985" s="23"/>
      <c r="L1985" s="350" t="s">
        <v>45</v>
      </c>
      <c r="M1985" s="351"/>
      <c r="N1985" s="267">
        <f t="shared" ref="N1985" si="534">SUM(L1985:M1985)</f>
        <v>0</v>
      </c>
      <c r="O1985" s="268">
        <f t="shared" ref="O1985" si="535">SUM(P1985:Z1985)</f>
        <v>250</v>
      </c>
      <c r="P1985" s="239"/>
      <c r="Q1985" s="239"/>
      <c r="R1985" s="239"/>
      <c r="S1985" s="239"/>
      <c r="T1985" s="239"/>
      <c r="U1985" s="240">
        <f>750+500-1000</f>
        <v>250</v>
      </c>
      <c r="V1985" s="240"/>
      <c r="W1985" s="240"/>
      <c r="X1985" s="278"/>
      <c r="Y1985" s="237"/>
      <c r="Z1985" s="237"/>
      <c r="AA1985" s="279"/>
      <c r="AB1985" s="238" t="s">
        <v>27274</v>
      </c>
      <c r="AC1985" s="196"/>
      <c r="AD1985" s="196"/>
      <c r="AE1985" s="196"/>
    </row>
    <row r="1986" spans="1:33">
      <c r="A1986" s="20" t="s">
        <v>27277</v>
      </c>
      <c r="B1986" s="150"/>
      <c r="C1986" s="21" t="s">
        <v>27310</v>
      </c>
      <c r="D1986" s="109" t="s">
        <v>8056</v>
      </c>
      <c r="E1986" s="109" t="s">
        <v>27313</v>
      </c>
      <c r="F1986" s="391" t="s">
        <v>27312</v>
      </c>
      <c r="G1986" s="23" t="s">
        <v>27311</v>
      </c>
      <c r="H1986" s="23"/>
      <c r="I1986" s="23"/>
      <c r="J1986" s="23"/>
      <c r="K1986" s="23"/>
      <c r="L1986" s="350" t="s">
        <v>7787</v>
      </c>
      <c r="M1986" s="351"/>
      <c r="N1986" s="267">
        <f t="shared" ref="N1986" si="536">SUM(L1986:M1986)</f>
        <v>0</v>
      </c>
      <c r="O1986" s="268">
        <f t="shared" ref="O1986" si="537">SUM(P1986:Z1986)</f>
        <v>3850</v>
      </c>
      <c r="P1986" s="239">
        <f>850+3500-500</f>
        <v>3850</v>
      </c>
      <c r="Q1986" s="239"/>
      <c r="R1986" s="239"/>
      <c r="S1986" s="239"/>
      <c r="T1986" s="239"/>
      <c r="U1986" s="240"/>
      <c r="V1986" s="240"/>
      <c r="W1986" s="240"/>
      <c r="X1986" s="278"/>
      <c r="Y1986" s="237"/>
      <c r="Z1986" s="237"/>
      <c r="AA1986" s="279"/>
      <c r="AB1986" s="238" t="s">
        <v>27382</v>
      </c>
      <c r="AC1986" s="196"/>
      <c r="AD1986" s="196"/>
      <c r="AE1986" s="196"/>
    </row>
    <row r="1987" spans="1:33">
      <c r="A1987" s="20" t="s">
        <v>27122</v>
      </c>
      <c r="B1987" s="150"/>
      <c r="C1987" s="21" t="s">
        <v>27214</v>
      </c>
      <c r="D1987" s="109" t="s">
        <v>9855</v>
      </c>
      <c r="E1987" s="109"/>
      <c r="F1987" s="391" t="s">
        <v>27226</v>
      </c>
      <c r="G1987" s="23" t="s">
        <v>13888</v>
      </c>
      <c r="H1987" s="23"/>
      <c r="I1987" s="23"/>
      <c r="J1987" s="23"/>
      <c r="K1987" s="23"/>
      <c r="L1987" s="350" t="s">
        <v>27596</v>
      </c>
      <c r="M1987" s="351"/>
      <c r="N1987" s="267">
        <f t="shared" ref="N1987" si="538">SUM(L1987:M1987)</f>
        <v>0</v>
      </c>
      <c r="O1987" s="268">
        <f t="shared" ref="O1987" si="539">SUM(P1987:Z1987)</f>
        <v>500</v>
      </c>
      <c r="P1987" s="239"/>
      <c r="Q1987" s="239"/>
      <c r="R1987" s="239"/>
      <c r="S1987" s="239"/>
      <c r="T1987" s="239"/>
      <c r="U1987" s="240">
        <f>600-500+1400-1000</f>
        <v>500</v>
      </c>
      <c r="V1987" s="240"/>
      <c r="W1987" s="240"/>
      <c r="X1987" s="278"/>
      <c r="Y1987" s="237"/>
      <c r="Z1987" s="237"/>
      <c r="AA1987" s="279"/>
      <c r="AB1987" s="238" t="s">
        <v>27595</v>
      </c>
      <c r="AC1987" s="196"/>
      <c r="AD1987" s="196"/>
      <c r="AE1987" s="196"/>
    </row>
    <row r="1988" spans="1:33">
      <c r="A1988" s="20" t="s">
        <v>27124</v>
      </c>
      <c r="B1988" s="150"/>
      <c r="C1988" s="21" t="s">
        <v>27252</v>
      </c>
      <c r="D1988" s="109" t="s">
        <v>3096</v>
      </c>
      <c r="E1988" s="109" t="s">
        <v>27253</v>
      </c>
      <c r="F1988" s="391" t="s">
        <v>27254</v>
      </c>
      <c r="G1988" s="23" t="s">
        <v>23013</v>
      </c>
      <c r="H1988" s="23"/>
      <c r="I1988" s="23"/>
      <c r="J1988" s="23"/>
      <c r="K1988" s="23"/>
      <c r="L1988" s="350" t="s">
        <v>7787</v>
      </c>
      <c r="M1988" s="351"/>
      <c r="N1988" s="267">
        <f t="shared" ref="N1988" si="540">SUM(L1988:M1988)</f>
        <v>0</v>
      </c>
      <c r="O1988" s="268">
        <f t="shared" ref="O1988" si="541">SUM(P1988:Z1988)</f>
        <v>2200</v>
      </c>
      <c r="P1988" s="239"/>
      <c r="Q1988" s="239">
        <f>2000-800-1000+1000-1000+1000+3000-2000</f>
        <v>2200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27509</v>
      </c>
      <c r="AC1988" s="196"/>
      <c r="AD1988" s="196"/>
      <c r="AE1988" s="196"/>
    </row>
    <row r="1989" spans="1:33">
      <c r="A1989" s="20"/>
      <c r="B1989" s="150"/>
      <c r="C1989" s="21" t="s">
        <v>27643</v>
      </c>
      <c r="D1989" s="109" t="s">
        <v>9855</v>
      </c>
      <c r="E1989" s="109"/>
      <c r="F1989" s="391" t="s">
        <v>27666</v>
      </c>
      <c r="G1989" s="23" t="s">
        <v>27644</v>
      </c>
      <c r="H1989" s="23"/>
      <c r="I1989" s="23"/>
      <c r="J1989" s="23"/>
      <c r="K1989" s="23"/>
      <c r="L1989" s="350" t="s">
        <v>27652</v>
      </c>
      <c r="M1989" s="351"/>
      <c r="N1989" s="267">
        <f t="shared" ref="N1989" si="542">SUM(L1989:M1989)</f>
        <v>0</v>
      </c>
      <c r="O1989" s="268">
        <f t="shared" ref="O1989" si="543">SUM(P1989:Z1989)</f>
        <v>50</v>
      </c>
      <c r="P1989" s="239"/>
      <c r="Q1989" s="239">
        <f>550-500</f>
        <v>50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27646</v>
      </c>
      <c r="AC1989" s="196"/>
      <c r="AD1989" s="196"/>
      <c r="AE1989" s="196"/>
    </row>
    <row r="1990" spans="1:33">
      <c r="A1990" s="20"/>
      <c r="B1990" s="150"/>
      <c r="C1990" s="21" t="s">
        <v>27660</v>
      </c>
      <c r="D1990" s="109" t="s">
        <v>9855</v>
      </c>
      <c r="E1990" s="109"/>
      <c r="F1990" s="391" t="s">
        <v>27665</v>
      </c>
      <c r="G1990" s="23" t="s">
        <v>23013</v>
      </c>
      <c r="H1990" s="23"/>
      <c r="I1990" s="23"/>
      <c r="J1990" s="23"/>
      <c r="K1990" s="23"/>
      <c r="L1990" s="350" t="s">
        <v>27679</v>
      </c>
      <c r="M1990" s="351"/>
      <c r="N1990" s="267">
        <f t="shared" ref="N1990" si="544">SUM(L1990:M1990)</f>
        <v>0</v>
      </c>
      <c r="O1990" s="268">
        <f t="shared" ref="O1990" si="545">SUM(P1990:Z1990)</f>
        <v>600</v>
      </c>
      <c r="P1990" s="239"/>
      <c r="Q1990" s="239">
        <f>800-500+300</f>
        <v>600</v>
      </c>
      <c r="R1990" s="239"/>
      <c r="S1990" s="239"/>
      <c r="T1990" s="239"/>
      <c r="U1990" s="240"/>
      <c r="V1990" s="240"/>
      <c r="W1990" s="240"/>
      <c r="X1990" s="278"/>
      <c r="Y1990" s="237"/>
      <c r="Z1990" s="237"/>
      <c r="AA1990" s="279"/>
      <c r="AB1990" s="238" t="s">
        <v>27678</v>
      </c>
      <c r="AC1990" s="196"/>
      <c r="AD1990" s="196"/>
      <c r="AE1990" s="196"/>
    </row>
    <row r="1991" spans="1:33">
      <c r="A1991" s="20"/>
      <c r="B1991" s="150"/>
      <c r="C1991" s="21" t="s">
        <v>27674</v>
      </c>
      <c r="D1991" s="109" t="s">
        <v>9855</v>
      </c>
      <c r="E1991" s="109"/>
      <c r="F1991" s="391"/>
      <c r="G1991" s="23" t="s">
        <v>13888</v>
      </c>
      <c r="H1991" s="23"/>
      <c r="I1991" s="23"/>
      <c r="J1991" s="23"/>
      <c r="K1991" s="23"/>
      <c r="L1991" s="350" t="s">
        <v>27685</v>
      </c>
      <c r="M1991" s="351"/>
      <c r="N1991" s="267">
        <f t="shared" ref="N1991" si="546">SUM(L1991:M1991)</f>
        <v>0</v>
      </c>
      <c r="O1991" s="268">
        <f t="shared" ref="O1991" si="547">SUM(P1991:Z1991)</f>
        <v>200</v>
      </c>
      <c r="P1991" s="239"/>
      <c r="Q1991" s="239"/>
      <c r="R1991" s="239"/>
      <c r="S1991" s="239"/>
      <c r="T1991" s="239"/>
      <c r="U1991" s="240">
        <f>300-100</f>
        <v>200</v>
      </c>
      <c r="V1991" s="240"/>
      <c r="W1991" s="240"/>
      <c r="X1991" s="278"/>
      <c r="Y1991" s="237"/>
      <c r="Z1991" s="237"/>
      <c r="AA1991" s="279"/>
      <c r="AB1991" s="238" t="s">
        <v>27689</v>
      </c>
      <c r="AC1991" s="196"/>
      <c r="AD1991" s="196"/>
      <c r="AE1991" s="196"/>
    </row>
    <row r="1992" spans="1:33">
      <c r="A1992" s="20" t="s">
        <v>1917</v>
      </c>
      <c r="B1992" s="161"/>
      <c r="C1992" s="21" t="s">
        <v>785</v>
      </c>
      <c r="D1992" s="109" t="s">
        <v>13949</v>
      </c>
      <c r="E1992" s="109"/>
      <c r="F1992" s="391" t="s">
        <v>15109</v>
      </c>
      <c r="G1992" s="23" t="s">
        <v>14895</v>
      </c>
      <c r="H1992" s="23" t="s">
        <v>24323</v>
      </c>
      <c r="I1992" s="23"/>
      <c r="J1992" s="23"/>
      <c r="K1992" s="23"/>
      <c r="L1992" s="350" t="s">
        <v>27591</v>
      </c>
      <c r="M1992" s="351"/>
      <c r="N1992" s="267">
        <f t="shared" si="526"/>
        <v>0</v>
      </c>
      <c r="O1992" s="268">
        <f t="shared" si="527"/>
        <v>150</v>
      </c>
      <c r="P1992" s="239">
        <f>200-50-100+550-500+300-250</f>
        <v>150</v>
      </c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 t="s">
        <v>27593</v>
      </c>
      <c r="AC1992" s="196">
        <f t="shared" si="452"/>
        <v>150</v>
      </c>
      <c r="AD1992" s="196">
        <f t="shared" si="453"/>
        <v>150</v>
      </c>
      <c r="AE1992" s="196">
        <f t="shared" si="454"/>
        <v>0</v>
      </c>
      <c r="AF1992" s="2">
        <f t="shared" si="455"/>
        <v>150</v>
      </c>
      <c r="AG1992" s="2">
        <f t="shared" si="456"/>
        <v>0</v>
      </c>
    </row>
    <row r="1993" spans="1:33">
      <c r="A1993" s="20"/>
      <c r="B1993" s="150"/>
      <c r="C1993" s="21" t="s">
        <v>27962</v>
      </c>
      <c r="D1993" s="109" t="s">
        <v>9855</v>
      </c>
      <c r="E1993" s="109"/>
      <c r="F1993" s="391"/>
      <c r="G1993" s="23" t="s">
        <v>13339</v>
      </c>
      <c r="H1993" s="23"/>
      <c r="I1993" s="23"/>
      <c r="J1993" s="23"/>
      <c r="K1993" s="23"/>
      <c r="L1993" s="350"/>
      <c r="M1993" s="351"/>
      <c r="N1993" s="267">
        <f t="shared" ref="N1993" si="548">SUM(L1993:M1993)</f>
        <v>0</v>
      </c>
      <c r="O1993" s="268">
        <f t="shared" ref="O1993" si="549">SUM(P1993:Z1993)</f>
        <v>50</v>
      </c>
      <c r="P1993" s="239">
        <f>150-100</f>
        <v>50</v>
      </c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 t="s">
        <v>27973</v>
      </c>
      <c r="AC1993" s="196"/>
      <c r="AD1993" s="196"/>
      <c r="AE1993" s="196"/>
    </row>
    <row r="1994" spans="1:33">
      <c r="A1994" s="20" t="s">
        <v>1920</v>
      </c>
      <c r="B1994" s="150"/>
      <c r="C1994" s="21" t="s">
        <v>786</v>
      </c>
      <c r="D1994" s="109" t="s">
        <v>13612</v>
      </c>
      <c r="E1994" s="109" t="s">
        <v>13611</v>
      </c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526"/>
        <v>0</v>
      </c>
      <c r="O1994" s="268">
        <f t="shared" si="527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2"/>
        <v>0</v>
      </c>
      <c r="AD1994" s="196">
        <f t="shared" si="453"/>
        <v>0</v>
      </c>
      <c r="AE1994" s="196">
        <f t="shared" si="454"/>
        <v>0</v>
      </c>
      <c r="AF1994" s="2">
        <f t="shared" si="455"/>
        <v>0</v>
      </c>
      <c r="AG1994" s="2">
        <f t="shared" si="456"/>
        <v>0</v>
      </c>
    </row>
    <row r="1995" spans="1:33">
      <c r="A1995" s="20" t="s">
        <v>1918</v>
      </c>
      <c r="B1995" s="150"/>
      <c r="C1995" s="21" t="s">
        <v>786</v>
      </c>
      <c r="D1995" s="109" t="s">
        <v>13949</v>
      </c>
      <c r="E1995" s="109"/>
      <c r="F1995" s="391" t="s">
        <v>15110</v>
      </c>
      <c r="G1995" s="23"/>
      <c r="H1995" s="23"/>
      <c r="I1995" s="23"/>
      <c r="J1995" s="23"/>
      <c r="K1995" s="23"/>
      <c r="L1995" s="350"/>
      <c r="M1995" s="351"/>
      <c r="N1995" s="267">
        <f t="shared" si="327"/>
        <v>0</v>
      </c>
      <c r="O1995" s="268">
        <f t="shared" si="328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79"/>
      <c r="AB1995" s="238"/>
      <c r="AC1995" s="196">
        <f t="shared" si="452"/>
        <v>0</v>
      </c>
      <c r="AD1995" s="196">
        <f t="shared" si="453"/>
        <v>0</v>
      </c>
      <c r="AE1995" s="196">
        <f t="shared" si="454"/>
        <v>0</v>
      </c>
      <c r="AF1995" s="2">
        <f t="shared" si="455"/>
        <v>0</v>
      </c>
      <c r="AG1995" s="2">
        <f t="shared" si="456"/>
        <v>0</v>
      </c>
    </row>
    <row r="1996" spans="1:33">
      <c r="A1996" s="20" t="s">
        <v>1919</v>
      </c>
      <c r="B1996" s="150"/>
      <c r="C1996" s="21" t="s">
        <v>786</v>
      </c>
      <c r="D1996" s="109" t="s">
        <v>13955</v>
      </c>
      <c r="E1996" s="109"/>
      <c r="F1996" s="391" t="s">
        <v>15110</v>
      </c>
      <c r="G1996" s="23"/>
      <c r="H1996" s="23"/>
      <c r="I1996" s="23"/>
      <c r="J1996" s="23"/>
      <c r="K1996" s="23"/>
      <c r="L1996" s="350"/>
      <c r="M1996" s="351"/>
      <c r="N1996" s="267">
        <f t="shared" si="327"/>
        <v>0</v>
      </c>
      <c r="O1996" s="268">
        <f t="shared" si="328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79"/>
      <c r="AB1996" s="238"/>
      <c r="AC1996" s="196">
        <f t="shared" si="452"/>
        <v>0</v>
      </c>
      <c r="AD1996" s="196">
        <f t="shared" si="453"/>
        <v>0</v>
      </c>
      <c r="AE1996" s="196">
        <f t="shared" si="454"/>
        <v>0</v>
      </c>
      <c r="AF1996" s="2">
        <f t="shared" si="455"/>
        <v>0</v>
      </c>
      <c r="AG1996" s="2">
        <f t="shared" si="456"/>
        <v>0</v>
      </c>
    </row>
    <row r="1997" spans="1:33">
      <c r="A1997" s="20" t="s">
        <v>1921</v>
      </c>
      <c r="B1997" s="156" t="s">
        <v>15111</v>
      </c>
      <c r="C1997" s="21" t="s">
        <v>787</v>
      </c>
      <c r="D1997" s="109" t="s">
        <v>13949</v>
      </c>
      <c r="E1997" s="109" t="s">
        <v>7413</v>
      </c>
      <c r="F1997" s="391" t="s">
        <v>15112</v>
      </c>
      <c r="G1997" s="23" t="s">
        <v>15113</v>
      </c>
      <c r="H1997" s="23" t="s">
        <v>17233</v>
      </c>
      <c r="I1997" s="23"/>
      <c r="J1997" s="23"/>
      <c r="K1997" s="23"/>
      <c r="L1997" s="375" t="s">
        <v>7787</v>
      </c>
      <c r="M1997" s="351" t="s">
        <v>7787</v>
      </c>
      <c r="N1997" s="267">
        <f t="shared" si="327"/>
        <v>0</v>
      </c>
      <c r="O1997" s="268">
        <f t="shared" si="328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37"/>
      <c r="AB1997" s="238"/>
      <c r="AC1997" s="196">
        <f t="shared" si="452"/>
        <v>0</v>
      </c>
      <c r="AD1997" s="196">
        <f t="shared" si="453"/>
        <v>0</v>
      </c>
      <c r="AE1997" s="196">
        <f t="shared" si="454"/>
        <v>0</v>
      </c>
      <c r="AF1997" s="2">
        <f t="shared" si="455"/>
        <v>0</v>
      </c>
      <c r="AG1997" s="2">
        <f t="shared" si="456"/>
        <v>0</v>
      </c>
    </row>
    <row r="1998" spans="1:33">
      <c r="A1998" s="20" t="s">
        <v>1922</v>
      </c>
      <c r="B1998" s="150"/>
      <c r="C1998" s="21" t="s">
        <v>787</v>
      </c>
      <c r="D1998" s="109" t="s">
        <v>13955</v>
      </c>
      <c r="E1998" s="109"/>
      <c r="F1998" s="391" t="s">
        <v>15114</v>
      </c>
      <c r="G1998" s="23"/>
      <c r="H1998" s="23"/>
      <c r="I1998" s="23"/>
      <c r="J1998" s="23"/>
      <c r="K1998" s="23"/>
      <c r="L1998" s="350"/>
      <c r="M1998" s="351"/>
      <c r="N1998" s="267">
        <f t="shared" si="327"/>
        <v>0</v>
      </c>
      <c r="O1998" s="268">
        <f t="shared" si="328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2"/>
        <v>0</v>
      </c>
      <c r="AD1998" s="196">
        <f t="shared" si="453"/>
        <v>0</v>
      </c>
      <c r="AE1998" s="196">
        <f t="shared" si="454"/>
        <v>0</v>
      </c>
      <c r="AF1998" s="2">
        <f t="shared" si="455"/>
        <v>0</v>
      </c>
      <c r="AG1998" s="2">
        <f t="shared" si="456"/>
        <v>0</v>
      </c>
    </row>
    <row r="1999" spans="1:33">
      <c r="A1999" s="20" t="s">
        <v>1923</v>
      </c>
      <c r="B1999" s="150"/>
      <c r="C1999" s="21" t="s">
        <v>788</v>
      </c>
      <c r="D1999" s="109" t="s">
        <v>15014</v>
      </c>
      <c r="E1999" s="109"/>
      <c r="F1999" s="391" t="s">
        <v>15115</v>
      </c>
      <c r="G1999" s="23"/>
      <c r="H1999" s="23"/>
      <c r="I1999" s="23"/>
      <c r="J1999" s="23"/>
      <c r="K1999" s="23"/>
      <c r="L1999" s="350"/>
      <c r="M1999" s="351"/>
      <c r="N1999" s="267">
        <f t="shared" si="327"/>
        <v>0</v>
      </c>
      <c r="O1999" s="268">
        <f t="shared" si="328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2"/>
        <v>0</v>
      </c>
      <c r="AD1999" s="196">
        <f t="shared" si="453"/>
        <v>0</v>
      </c>
      <c r="AE1999" s="196">
        <f t="shared" si="454"/>
        <v>0</v>
      </c>
      <c r="AF1999" s="2">
        <f t="shared" si="455"/>
        <v>0</v>
      </c>
      <c r="AG1999" s="2">
        <f t="shared" si="456"/>
        <v>0</v>
      </c>
    </row>
    <row r="2000" spans="1:33">
      <c r="A2000" s="20" t="s">
        <v>1924</v>
      </c>
      <c r="B2000" s="150"/>
      <c r="C2000" s="21" t="s">
        <v>788</v>
      </c>
      <c r="D2000" s="109" t="s">
        <v>15016</v>
      </c>
      <c r="E2000" s="109"/>
      <c r="F2000" s="391" t="s">
        <v>15115</v>
      </c>
      <c r="G2000" s="23"/>
      <c r="H2000" s="23"/>
      <c r="I2000" s="23"/>
      <c r="J2000" s="23"/>
      <c r="K2000" s="23"/>
      <c r="L2000" s="350"/>
      <c r="M2000" s="351"/>
      <c r="N2000" s="267">
        <f t="shared" si="327"/>
        <v>0</v>
      </c>
      <c r="O2000" s="268">
        <f t="shared" si="328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2"/>
        <v>0</v>
      </c>
      <c r="AD2000" s="196">
        <f t="shared" si="453"/>
        <v>0</v>
      </c>
      <c r="AE2000" s="196">
        <f t="shared" si="454"/>
        <v>0</v>
      </c>
      <c r="AF2000" s="2">
        <f t="shared" si="455"/>
        <v>0</v>
      </c>
      <c r="AG2000" s="2">
        <f t="shared" si="456"/>
        <v>0</v>
      </c>
    </row>
    <row r="2001" spans="1:33">
      <c r="A2001" s="20" t="s">
        <v>22999</v>
      </c>
      <c r="B2001" s="150"/>
      <c r="C2001" s="21" t="s">
        <v>23047</v>
      </c>
      <c r="D2001" s="109" t="s">
        <v>8056</v>
      </c>
      <c r="E2001" s="109"/>
      <c r="F2001" s="391" t="s">
        <v>23051</v>
      </c>
      <c r="G2001" s="23" t="s">
        <v>13826</v>
      </c>
      <c r="H2001" s="23"/>
      <c r="I2001" s="23"/>
      <c r="J2001" s="23"/>
      <c r="K2001" s="23"/>
      <c r="L2001" s="375" t="s">
        <v>7787</v>
      </c>
      <c r="M2001" s="351" t="s">
        <v>7787</v>
      </c>
      <c r="N2001" s="267">
        <f t="shared" si="327"/>
        <v>0</v>
      </c>
      <c r="O2001" s="268">
        <f t="shared" si="328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2"/>
        <v>0</v>
      </c>
      <c r="AD2001" s="196">
        <f t="shared" si="453"/>
        <v>0</v>
      </c>
      <c r="AE2001" s="196">
        <f t="shared" si="454"/>
        <v>0</v>
      </c>
      <c r="AF2001" s="2">
        <f t="shared" si="455"/>
        <v>0</v>
      </c>
      <c r="AG2001" s="2">
        <f t="shared" si="456"/>
        <v>0</v>
      </c>
    </row>
    <row r="2002" spans="1:33">
      <c r="A2002" s="20" t="s">
        <v>23685</v>
      </c>
      <c r="B2002" s="150"/>
      <c r="C2002" s="21" t="s">
        <v>23047</v>
      </c>
      <c r="D2002" s="109" t="s">
        <v>23735</v>
      </c>
      <c r="E2002" s="109"/>
      <c r="F2002" s="391" t="s">
        <v>23051</v>
      </c>
      <c r="G2002" s="23" t="s">
        <v>13826</v>
      </c>
      <c r="H2002" s="23"/>
      <c r="I2002" s="23"/>
      <c r="J2002" s="23"/>
      <c r="K2002" s="23"/>
      <c r="L2002" s="375" t="s">
        <v>7787</v>
      </c>
      <c r="M2002" s="351"/>
      <c r="N2002" s="267">
        <f t="shared" si="327"/>
        <v>0</v>
      </c>
      <c r="O2002" s="268">
        <f t="shared" si="328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2"/>
        <v>0</v>
      </c>
      <c r="AD2002" s="196">
        <f t="shared" si="453"/>
        <v>0</v>
      </c>
      <c r="AE2002" s="196">
        <f t="shared" si="454"/>
        <v>0</v>
      </c>
      <c r="AF2002" s="2">
        <f t="shared" si="455"/>
        <v>0</v>
      </c>
      <c r="AG2002" s="2">
        <f t="shared" si="456"/>
        <v>0</v>
      </c>
    </row>
    <row r="2003" spans="1:33">
      <c r="A2003" s="20" t="s">
        <v>1925</v>
      </c>
      <c r="B2003" s="150"/>
      <c r="C2003" s="21" t="s">
        <v>299</v>
      </c>
      <c r="D2003" s="109" t="s">
        <v>13949</v>
      </c>
      <c r="E2003" s="109"/>
      <c r="F2003" s="391" t="s">
        <v>15116</v>
      </c>
      <c r="G2003" s="23"/>
      <c r="H2003" s="23"/>
      <c r="I2003" s="23"/>
      <c r="J2003" s="23"/>
      <c r="K2003" s="23"/>
      <c r="L2003" s="350"/>
      <c r="M2003" s="351"/>
      <c r="N2003" s="267">
        <f t="shared" si="327"/>
        <v>0</v>
      </c>
      <c r="O2003" s="268">
        <f t="shared" si="328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2"/>
        <v>0</v>
      </c>
      <c r="AD2003" s="196">
        <f t="shared" si="453"/>
        <v>0</v>
      </c>
      <c r="AE2003" s="196">
        <f t="shared" si="454"/>
        <v>0</v>
      </c>
      <c r="AF2003" s="2">
        <f t="shared" si="455"/>
        <v>0</v>
      </c>
      <c r="AG2003" s="2">
        <f t="shared" si="456"/>
        <v>0</v>
      </c>
    </row>
    <row r="2004" spans="1:33">
      <c r="A2004" s="20" t="s">
        <v>1926</v>
      </c>
      <c r="B2004" s="150"/>
      <c r="C2004" s="21" t="s">
        <v>300</v>
      </c>
      <c r="D2004" s="109" t="s">
        <v>14678</v>
      </c>
      <c r="E2004" s="109"/>
      <c r="F2004" s="391" t="s">
        <v>15117</v>
      </c>
      <c r="G2004" s="23"/>
      <c r="H2004" s="23"/>
      <c r="I2004" s="23"/>
      <c r="J2004" s="23"/>
      <c r="K2004" s="23"/>
      <c r="L2004" s="350"/>
      <c r="M2004" s="351"/>
      <c r="N2004" s="267">
        <f t="shared" si="327"/>
        <v>0</v>
      </c>
      <c r="O2004" s="268">
        <f t="shared" si="328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2"/>
        <v>0</v>
      </c>
      <c r="AD2004" s="196">
        <f t="shared" si="453"/>
        <v>0</v>
      </c>
      <c r="AE2004" s="196">
        <f t="shared" si="454"/>
        <v>0</v>
      </c>
      <c r="AF2004" s="2">
        <f t="shared" si="455"/>
        <v>0</v>
      </c>
      <c r="AG2004" s="2">
        <f t="shared" si="456"/>
        <v>0</v>
      </c>
    </row>
    <row r="2005" spans="1:33">
      <c r="A2005" s="20" t="s">
        <v>1890</v>
      </c>
      <c r="B2005" s="150"/>
      <c r="C2005" s="21" t="s">
        <v>294</v>
      </c>
      <c r="D2005" s="109" t="s">
        <v>15118</v>
      </c>
      <c r="E2005" s="109" t="s">
        <v>15119</v>
      </c>
      <c r="F2005" s="391" t="s">
        <v>15120</v>
      </c>
      <c r="G2005" s="23" t="s">
        <v>15091</v>
      </c>
      <c r="H2005" s="23"/>
      <c r="I2005" s="23"/>
      <c r="J2005" s="23"/>
      <c r="K2005" s="23"/>
      <c r="L2005" s="375" t="s">
        <v>7787</v>
      </c>
      <c r="M2005" s="351"/>
      <c r="N2005" s="267">
        <f t="shared" si="327"/>
        <v>0</v>
      </c>
      <c r="O2005" s="268">
        <f t="shared" si="328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2"/>
        <v>0</v>
      </c>
      <c r="AD2005" s="196">
        <f t="shared" si="453"/>
        <v>0</v>
      </c>
      <c r="AE2005" s="196">
        <f t="shared" si="454"/>
        <v>0</v>
      </c>
      <c r="AF2005" s="2">
        <f t="shared" si="455"/>
        <v>0</v>
      </c>
      <c r="AG2005" s="2">
        <f t="shared" si="456"/>
        <v>0</v>
      </c>
    </row>
    <row r="2006" spans="1:33">
      <c r="A2006" s="20" t="s">
        <v>18910</v>
      </c>
      <c r="B2006" s="150"/>
      <c r="C2006" s="21" t="s">
        <v>294</v>
      </c>
      <c r="D2006" s="109" t="s">
        <v>3127</v>
      </c>
      <c r="E2006" s="109"/>
      <c r="F2006" s="391" t="s">
        <v>4602</v>
      </c>
      <c r="G2006" s="23" t="s">
        <v>13377</v>
      </c>
      <c r="H2006" s="23"/>
      <c r="I2006" s="23"/>
      <c r="J2006" s="23"/>
      <c r="K2006" s="23"/>
      <c r="L2006" s="375" t="s">
        <v>7787</v>
      </c>
      <c r="M2006" s="351" t="s">
        <v>7787</v>
      </c>
      <c r="N2006" s="267">
        <f t="shared" si="327"/>
        <v>0</v>
      </c>
      <c r="O2006" s="268">
        <f t="shared" si="328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7"/>
      <c r="Z2006" s="237"/>
      <c r="AA2006" s="279"/>
      <c r="AB2006" s="238"/>
      <c r="AC2006" s="196">
        <f t="shared" si="452"/>
        <v>0</v>
      </c>
      <c r="AD2006" s="196">
        <f t="shared" si="453"/>
        <v>0</v>
      </c>
      <c r="AE2006" s="196">
        <f t="shared" si="454"/>
        <v>0</v>
      </c>
      <c r="AF2006" s="2">
        <f t="shared" si="455"/>
        <v>0</v>
      </c>
      <c r="AG2006" s="2">
        <f t="shared" si="456"/>
        <v>0</v>
      </c>
    </row>
    <row r="2007" spans="1:33">
      <c r="A2007" s="20" t="s">
        <v>1889</v>
      </c>
      <c r="B2007" s="150"/>
      <c r="C2007" s="21" t="s">
        <v>294</v>
      </c>
      <c r="D2007" s="109" t="s">
        <v>13945</v>
      </c>
      <c r="E2007" s="109" t="s">
        <v>13947</v>
      </c>
      <c r="F2007" s="391" t="s">
        <v>15120</v>
      </c>
      <c r="G2007" s="23" t="s">
        <v>14573</v>
      </c>
      <c r="H2007" s="23"/>
      <c r="I2007" s="23"/>
      <c r="J2007" s="23"/>
      <c r="K2007" s="23"/>
      <c r="L2007" s="350"/>
      <c r="M2007" s="351"/>
      <c r="N2007" s="267">
        <f t="shared" si="327"/>
        <v>0</v>
      </c>
      <c r="O2007" s="268">
        <f t="shared" si="328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7"/>
      <c r="Z2007" s="237"/>
      <c r="AA2007" s="279"/>
      <c r="AB2007" s="238"/>
      <c r="AC2007" s="196">
        <f t="shared" si="452"/>
        <v>0</v>
      </c>
      <c r="AD2007" s="196">
        <f t="shared" si="453"/>
        <v>0</v>
      </c>
      <c r="AE2007" s="196">
        <f t="shared" si="454"/>
        <v>0</v>
      </c>
      <c r="AF2007" s="2">
        <f t="shared" si="455"/>
        <v>0</v>
      </c>
      <c r="AG2007" s="2">
        <f t="shared" si="456"/>
        <v>0</v>
      </c>
    </row>
    <row r="2008" spans="1:33">
      <c r="A2008" s="20" t="s">
        <v>1885</v>
      </c>
      <c r="B2008" s="150"/>
      <c r="C2008" s="21" t="s">
        <v>294</v>
      </c>
      <c r="D2008" s="109" t="s">
        <v>13612</v>
      </c>
      <c r="E2008" s="109" t="s">
        <v>15121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50"/>
      <c r="M2008" s="351"/>
      <c r="N2008" s="267">
        <f t="shared" si="327"/>
        <v>0</v>
      </c>
      <c r="O2008" s="268">
        <f t="shared" si="328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79"/>
      <c r="AB2008" s="238"/>
      <c r="AC2008" s="196">
        <f t="shared" si="452"/>
        <v>0</v>
      </c>
      <c r="AD2008" s="196">
        <f t="shared" si="453"/>
        <v>0</v>
      </c>
      <c r="AE2008" s="196">
        <f t="shared" si="454"/>
        <v>0</v>
      </c>
      <c r="AF2008" s="2">
        <f t="shared" si="455"/>
        <v>0</v>
      </c>
      <c r="AG2008" s="2">
        <f t="shared" si="456"/>
        <v>0</v>
      </c>
    </row>
    <row r="2009" spans="1:33">
      <c r="A2009" s="20" t="s">
        <v>1884</v>
      </c>
      <c r="B2009" s="150"/>
      <c r="C2009" s="21" t="s">
        <v>294</v>
      </c>
      <c r="D2009" s="109" t="s">
        <v>13612</v>
      </c>
      <c r="E2009" s="109" t="s">
        <v>13611</v>
      </c>
      <c r="F2009" s="391" t="s">
        <v>15120</v>
      </c>
      <c r="G2009" s="23" t="s">
        <v>15091</v>
      </c>
      <c r="H2009" s="23"/>
      <c r="I2009" s="23"/>
      <c r="J2009" s="23"/>
      <c r="K2009" s="23"/>
      <c r="L2009" s="375" t="s">
        <v>7787</v>
      </c>
      <c r="M2009" s="351"/>
      <c r="N2009" s="267">
        <f t="shared" si="327"/>
        <v>0</v>
      </c>
      <c r="O2009" s="268">
        <f t="shared" si="328"/>
        <v>0</v>
      </c>
      <c r="P2009" s="239"/>
      <c r="Q2009" s="239"/>
      <c r="R2009" s="239"/>
      <c r="S2009" s="239"/>
      <c r="T2009" s="239"/>
      <c r="U2009" s="240"/>
      <c r="V2009" s="240"/>
      <c r="W2009" s="240"/>
      <c r="X2009" s="278"/>
      <c r="Y2009" s="239"/>
      <c r="Z2009" s="237"/>
      <c r="AA2009" s="279"/>
      <c r="AB2009" s="238"/>
      <c r="AC2009" s="196">
        <f t="shared" si="452"/>
        <v>0</v>
      </c>
      <c r="AD2009" s="196">
        <f t="shared" si="453"/>
        <v>0</v>
      </c>
      <c r="AE2009" s="196">
        <f t="shared" si="454"/>
        <v>0</v>
      </c>
      <c r="AF2009" s="2">
        <f t="shared" si="455"/>
        <v>0</v>
      </c>
      <c r="AG2009" s="2">
        <f t="shared" si="456"/>
        <v>0</v>
      </c>
    </row>
    <row r="2010" spans="1:33">
      <c r="A2010" s="20" t="s">
        <v>1886</v>
      </c>
      <c r="B2010" s="150"/>
      <c r="C2010" s="21" t="s">
        <v>294</v>
      </c>
      <c r="D2010" s="109" t="s">
        <v>13612</v>
      </c>
      <c r="E2010" s="109" t="s">
        <v>15122</v>
      </c>
      <c r="F2010" s="391" t="s">
        <v>15120</v>
      </c>
      <c r="G2010" s="23" t="s">
        <v>15091</v>
      </c>
      <c r="H2010" s="23"/>
      <c r="I2010" s="23"/>
      <c r="J2010" s="23"/>
      <c r="K2010" s="23"/>
      <c r="L2010" s="350"/>
      <c r="M2010" s="351"/>
      <c r="N2010" s="267">
        <f t="shared" si="327"/>
        <v>0</v>
      </c>
      <c r="O2010" s="268">
        <f t="shared" si="328"/>
        <v>0</v>
      </c>
      <c r="P2010" s="239"/>
      <c r="Q2010" s="239"/>
      <c r="R2010" s="239"/>
      <c r="S2010" s="239"/>
      <c r="T2010" s="239"/>
      <c r="U2010" s="240"/>
      <c r="V2010" s="240"/>
      <c r="W2010" s="240"/>
      <c r="X2010" s="278"/>
      <c r="Y2010" s="239"/>
      <c r="Z2010" s="237"/>
      <c r="AA2010" s="239"/>
      <c r="AB2010" s="238"/>
      <c r="AC2010" s="196">
        <f t="shared" si="452"/>
        <v>0</v>
      </c>
      <c r="AD2010" s="196">
        <f t="shared" si="453"/>
        <v>0</v>
      </c>
      <c r="AE2010" s="196">
        <f t="shared" si="454"/>
        <v>0</v>
      </c>
      <c r="AF2010" s="2">
        <f t="shared" si="455"/>
        <v>0</v>
      </c>
      <c r="AG2010" s="2">
        <f t="shared" si="456"/>
        <v>0</v>
      </c>
    </row>
    <row r="2011" spans="1:33">
      <c r="A2011" s="20" t="s">
        <v>1887</v>
      </c>
      <c r="B2011" s="150"/>
      <c r="C2011" s="21" t="s">
        <v>294</v>
      </c>
      <c r="D2011" s="109" t="s">
        <v>13949</v>
      </c>
      <c r="E2011" s="109"/>
      <c r="F2011" s="391" t="s">
        <v>15120</v>
      </c>
      <c r="G2011" s="23" t="s">
        <v>15123</v>
      </c>
      <c r="H2011" s="23" t="s">
        <v>14648</v>
      </c>
      <c r="I2011" s="23" t="s">
        <v>14649</v>
      </c>
      <c r="J2011" s="23" t="s">
        <v>24907</v>
      </c>
      <c r="K2011" s="23" t="s">
        <v>25116</v>
      </c>
      <c r="L2011" s="375"/>
      <c r="M2011" s="351" t="s">
        <v>7787</v>
      </c>
      <c r="N2011" s="267">
        <f t="shared" si="327"/>
        <v>0</v>
      </c>
      <c r="O2011" s="268">
        <f t="shared" si="328"/>
        <v>0</v>
      </c>
      <c r="P2011" s="239"/>
      <c r="Q2011" s="239"/>
      <c r="R2011" s="239"/>
      <c r="S2011" s="240"/>
      <c r="T2011" s="239"/>
      <c r="U2011" s="240"/>
      <c r="V2011" s="240"/>
      <c r="W2011" s="240"/>
      <c r="X2011" s="278"/>
      <c r="Y2011" s="237"/>
      <c r="Z2011" s="237"/>
      <c r="AA2011" s="237"/>
      <c r="AB2011" s="238"/>
      <c r="AC2011" s="196">
        <f t="shared" si="452"/>
        <v>0</v>
      </c>
      <c r="AD2011" s="196">
        <f t="shared" si="453"/>
        <v>0</v>
      </c>
      <c r="AE2011" s="196">
        <f t="shared" si="454"/>
        <v>0</v>
      </c>
      <c r="AF2011" s="2">
        <f t="shared" si="455"/>
        <v>0</v>
      </c>
      <c r="AG2011" s="2">
        <f t="shared" si="456"/>
        <v>0</v>
      </c>
    </row>
    <row r="2012" spans="1:33">
      <c r="A2012" s="20" t="s">
        <v>1891</v>
      </c>
      <c r="B2012" s="150"/>
      <c r="C2012" s="21" t="s">
        <v>294</v>
      </c>
      <c r="D2012" s="109" t="s">
        <v>13613</v>
      </c>
      <c r="E2012" s="109"/>
      <c r="F2012" s="391" t="s">
        <v>15120</v>
      </c>
      <c r="G2012" s="23" t="s">
        <v>13301</v>
      </c>
      <c r="H2012" s="23" t="s">
        <v>25116</v>
      </c>
      <c r="I2012" s="23"/>
      <c r="J2012" s="23"/>
      <c r="K2012" s="23"/>
      <c r="L2012" s="375" t="s">
        <v>27679</v>
      </c>
      <c r="M2012" s="351" t="s">
        <v>45</v>
      </c>
      <c r="N2012" s="267">
        <f t="shared" si="327"/>
        <v>0</v>
      </c>
      <c r="O2012" s="268">
        <f t="shared" si="328"/>
        <v>250</v>
      </c>
      <c r="P2012" s="239"/>
      <c r="Q2012" s="239"/>
      <c r="R2012" s="239"/>
      <c r="S2012" s="239"/>
      <c r="T2012" s="239"/>
      <c r="U2012" s="240">
        <f>500-450+700-500</f>
        <v>250</v>
      </c>
      <c r="V2012" s="240"/>
      <c r="W2012" s="240"/>
      <c r="X2012" s="278"/>
      <c r="Y2012" s="237"/>
      <c r="Z2012" s="237"/>
      <c r="AA2012" s="279"/>
      <c r="AB2012" s="238" t="s">
        <v>27676</v>
      </c>
      <c r="AC2012" s="196">
        <f t="shared" si="452"/>
        <v>250</v>
      </c>
      <c r="AD2012" s="196">
        <f t="shared" si="453"/>
        <v>250</v>
      </c>
      <c r="AE2012" s="196">
        <f t="shared" si="454"/>
        <v>0</v>
      </c>
      <c r="AF2012" s="2">
        <f t="shared" si="455"/>
        <v>250</v>
      </c>
      <c r="AG2012" s="2">
        <f t="shared" si="456"/>
        <v>0</v>
      </c>
    </row>
    <row r="2013" spans="1:33">
      <c r="A2013" s="20" t="s">
        <v>1888</v>
      </c>
      <c r="B2013" s="150"/>
      <c r="C2013" s="21" t="s">
        <v>294</v>
      </c>
      <c r="D2013" s="109" t="s">
        <v>13955</v>
      </c>
      <c r="E2013" s="109"/>
      <c r="F2013" s="391" t="s">
        <v>15120</v>
      </c>
      <c r="G2013" s="23" t="s">
        <v>13601</v>
      </c>
      <c r="H2013" s="23" t="s">
        <v>14649</v>
      </c>
      <c r="I2013" s="23" t="s">
        <v>13350</v>
      </c>
      <c r="J2013" s="23"/>
      <c r="K2013" s="23"/>
      <c r="L2013" s="375" t="s">
        <v>7787</v>
      </c>
      <c r="M2013" s="351" t="s">
        <v>7787</v>
      </c>
      <c r="N2013" s="267">
        <f t="shared" si="327"/>
        <v>0</v>
      </c>
      <c r="O2013" s="268">
        <f t="shared" si="328"/>
        <v>0</v>
      </c>
      <c r="P2013" s="241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2"/>
        <v>0</v>
      </c>
      <c r="AD2013" s="196">
        <f t="shared" si="453"/>
        <v>0</v>
      </c>
      <c r="AE2013" s="196">
        <f t="shared" si="454"/>
        <v>0</v>
      </c>
      <c r="AF2013" s="2">
        <f t="shared" si="455"/>
        <v>0</v>
      </c>
      <c r="AG2013" s="2">
        <f t="shared" si="456"/>
        <v>0</v>
      </c>
    </row>
    <row r="2014" spans="1:33">
      <c r="A2014" s="20" t="s">
        <v>1892</v>
      </c>
      <c r="B2014" s="150"/>
      <c r="C2014" s="21" t="s">
        <v>294</v>
      </c>
      <c r="D2014" s="109" t="s">
        <v>15124</v>
      </c>
      <c r="E2014" s="109"/>
      <c r="F2014" s="391" t="s">
        <v>15120</v>
      </c>
      <c r="G2014" s="23" t="s">
        <v>15091</v>
      </c>
      <c r="H2014" s="23" t="s">
        <v>15125</v>
      </c>
      <c r="I2014" s="23"/>
      <c r="J2014" s="23"/>
      <c r="K2014" s="23"/>
      <c r="L2014" s="375" t="s">
        <v>7787</v>
      </c>
      <c r="M2014" s="351" t="s">
        <v>7787</v>
      </c>
      <c r="N2014" s="267">
        <f t="shared" si="327"/>
        <v>0</v>
      </c>
      <c r="O2014" s="268">
        <f t="shared" si="328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2"/>
        <v>0</v>
      </c>
      <c r="AD2014" s="196">
        <f t="shared" si="453"/>
        <v>0</v>
      </c>
      <c r="AE2014" s="196">
        <f t="shared" si="454"/>
        <v>0</v>
      </c>
      <c r="AF2014" s="2">
        <f t="shared" si="455"/>
        <v>0</v>
      </c>
      <c r="AG2014" s="2">
        <f t="shared" si="456"/>
        <v>0</v>
      </c>
    </row>
    <row r="2015" spans="1:33">
      <c r="A2015" s="20" t="s">
        <v>19911</v>
      </c>
      <c r="B2015" s="150"/>
      <c r="C2015" s="21" t="s">
        <v>294</v>
      </c>
      <c r="D2015" s="109" t="s">
        <v>19712</v>
      </c>
      <c r="E2015" s="109" t="s">
        <v>19713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/>
      <c r="N2015" s="267">
        <f t="shared" si="327"/>
        <v>0</v>
      </c>
      <c r="O2015" s="268">
        <f t="shared" si="328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2"/>
        <v>0</v>
      </c>
      <c r="AD2015" s="196">
        <f t="shared" si="453"/>
        <v>0</v>
      </c>
      <c r="AE2015" s="196">
        <f t="shared" si="454"/>
        <v>0</v>
      </c>
      <c r="AF2015" s="2">
        <f t="shared" si="455"/>
        <v>0</v>
      </c>
      <c r="AG2015" s="2">
        <f t="shared" si="456"/>
        <v>0</v>
      </c>
    </row>
    <row r="2016" spans="1:33">
      <c r="A2016" s="20" t="s">
        <v>19912</v>
      </c>
      <c r="B2016" s="150"/>
      <c r="C2016" s="21" t="s">
        <v>294</v>
      </c>
      <c r="D2016" s="109" t="s">
        <v>19712</v>
      </c>
      <c r="E2016" s="109" t="s">
        <v>19711</v>
      </c>
      <c r="F2016" s="391" t="s">
        <v>4602</v>
      </c>
      <c r="G2016" s="23" t="s">
        <v>13377</v>
      </c>
      <c r="H2016" s="23"/>
      <c r="I2016" s="23"/>
      <c r="J2016" s="23"/>
      <c r="K2016" s="23"/>
      <c r="L2016" s="375" t="s">
        <v>7787</v>
      </c>
      <c r="M2016" s="351"/>
      <c r="N2016" s="267">
        <f t="shared" si="327"/>
        <v>0</v>
      </c>
      <c r="O2016" s="268">
        <f t="shared" si="328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2"/>
        <v>0</v>
      </c>
      <c r="AD2016" s="196">
        <f t="shared" si="453"/>
        <v>0</v>
      </c>
      <c r="AE2016" s="196">
        <f t="shared" si="454"/>
        <v>0</v>
      </c>
      <c r="AF2016" s="2">
        <f t="shared" si="455"/>
        <v>0</v>
      </c>
      <c r="AG2016" s="2">
        <f t="shared" si="456"/>
        <v>0</v>
      </c>
    </row>
    <row r="2017" spans="1:33">
      <c r="A2017" s="20" t="s">
        <v>19913</v>
      </c>
      <c r="B2017" s="150"/>
      <c r="C2017" s="21" t="s">
        <v>294</v>
      </c>
      <c r="D2017" s="109" t="s">
        <v>19712</v>
      </c>
      <c r="E2017" s="109" t="s">
        <v>19714</v>
      </c>
      <c r="F2017" s="391" t="s">
        <v>4602</v>
      </c>
      <c r="G2017" s="23" t="s">
        <v>13377</v>
      </c>
      <c r="H2017" s="23"/>
      <c r="I2017" s="23"/>
      <c r="J2017" s="23"/>
      <c r="K2017" s="23"/>
      <c r="L2017" s="375" t="s">
        <v>7787</v>
      </c>
      <c r="M2017" s="351" t="s">
        <v>7787</v>
      </c>
      <c r="N2017" s="267">
        <f t="shared" si="327"/>
        <v>0</v>
      </c>
      <c r="O2017" s="268">
        <f t="shared" si="328"/>
        <v>0</v>
      </c>
      <c r="P2017" s="239"/>
      <c r="Q2017" s="239"/>
      <c r="R2017" s="239"/>
      <c r="S2017" s="239"/>
      <c r="T2017" s="239"/>
      <c r="U2017" s="240"/>
      <c r="V2017" s="240"/>
      <c r="W2017" s="240"/>
      <c r="X2017" s="278"/>
      <c r="Y2017" s="237"/>
      <c r="Z2017" s="237"/>
      <c r="AA2017" s="279"/>
      <c r="AB2017" s="238"/>
      <c r="AC2017" s="196">
        <f t="shared" si="452"/>
        <v>0</v>
      </c>
      <c r="AD2017" s="196">
        <f t="shared" si="453"/>
        <v>0</v>
      </c>
      <c r="AE2017" s="196">
        <f t="shared" si="454"/>
        <v>0</v>
      </c>
      <c r="AF2017" s="2">
        <f t="shared" si="455"/>
        <v>0</v>
      </c>
      <c r="AG2017" s="2">
        <f t="shared" si="456"/>
        <v>0</v>
      </c>
    </row>
    <row r="2018" spans="1:33">
      <c r="A2018" s="20" t="s">
        <v>1894</v>
      </c>
      <c r="B2018" s="150"/>
      <c r="C2018" s="21" t="s">
        <v>295</v>
      </c>
      <c r="D2018" s="109" t="s">
        <v>14789</v>
      </c>
      <c r="E2018" s="109" t="s">
        <v>13611</v>
      </c>
      <c r="F2018" s="391" t="s">
        <v>15126</v>
      </c>
      <c r="G2018" s="23"/>
      <c r="H2018" s="23"/>
      <c r="I2018" s="23"/>
      <c r="J2018" s="23"/>
      <c r="K2018" s="23"/>
      <c r="L2018" s="375" t="s">
        <v>7787</v>
      </c>
      <c r="M2018" s="351"/>
      <c r="N2018" s="267">
        <f t="shared" si="327"/>
        <v>0</v>
      </c>
      <c r="O2018" s="268">
        <f t="shared" si="328"/>
        <v>0</v>
      </c>
      <c r="P2018" s="239"/>
      <c r="Q2018" s="239"/>
      <c r="R2018" s="239"/>
      <c r="S2018" s="239"/>
      <c r="T2018" s="239"/>
      <c r="U2018" s="240"/>
      <c r="V2018" s="240"/>
      <c r="W2018" s="240"/>
      <c r="X2018" s="278"/>
      <c r="Y2018" s="237"/>
      <c r="Z2018" s="237"/>
      <c r="AA2018" s="279"/>
      <c r="AB2018" s="238"/>
      <c r="AC2018" s="196">
        <f t="shared" si="452"/>
        <v>0</v>
      </c>
      <c r="AD2018" s="196">
        <f t="shared" si="453"/>
        <v>0</v>
      </c>
      <c r="AE2018" s="196">
        <f t="shared" si="454"/>
        <v>0</v>
      </c>
      <c r="AF2018" s="2">
        <f t="shared" si="455"/>
        <v>0</v>
      </c>
      <c r="AG2018" s="2">
        <f t="shared" si="456"/>
        <v>0</v>
      </c>
    </row>
    <row r="2019" spans="1:33">
      <c r="A2019" s="20" t="s">
        <v>1893</v>
      </c>
      <c r="B2019" s="150"/>
      <c r="C2019" s="21" t="s">
        <v>295</v>
      </c>
      <c r="D2019" s="109" t="s">
        <v>13878</v>
      </c>
      <c r="E2019" s="109"/>
      <c r="F2019" s="391" t="s">
        <v>15127</v>
      </c>
      <c r="G2019" s="23" t="s">
        <v>24950</v>
      </c>
      <c r="H2019" s="23"/>
      <c r="I2019" s="23"/>
      <c r="J2019" s="23"/>
      <c r="K2019" s="23"/>
      <c r="L2019" s="375" t="s">
        <v>45</v>
      </c>
      <c r="M2019" s="351" t="s">
        <v>45</v>
      </c>
      <c r="N2019" s="267">
        <f t="shared" si="327"/>
        <v>0</v>
      </c>
      <c r="O2019" s="268">
        <f t="shared" si="328"/>
        <v>350</v>
      </c>
      <c r="P2019" s="239">
        <f>600-250</f>
        <v>350</v>
      </c>
      <c r="Q2019" s="239"/>
      <c r="R2019" s="239"/>
      <c r="S2019" s="239"/>
      <c r="T2019" s="239"/>
      <c r="U2019" s="239"/>
      <c r="V2019" s="240"/>
      <c r="W2019" s="240"/>
      <c r="X2019" s="278"/>
      <c r="Y2019" s="237"/>
      <c r="Z2019" s="237"/>
      <c r="AA2019" s="279"/>
      <c r="AB2019" s="238" t="s">
        <v>26698</v>
      </c>
      <c r="AC2019" s="196">
        <f t="shared" ref="AC2019:AC2082" si="550">SUM(P2019:AA2019)</f>
        <v>350</v>
      </c>
      <c r="AD2019" s="196">
        <f t="shared" ref="AD2019:AD2082" si="551">SUM(P2019:AB2019)</f>
        <v>350</v>
      </c>
      <c r="AE2019" s="196">
        <f t="shared" ref="AE2019:AE2082" si="552">SUM(AC2019-AD2019)</f>
        <v>0</v>
      </c>
      <c r="AF2019" s="2">
        <f t="shared" ref="AF2019:AF2082" si="553">+AC2019</f>
        <v>350</v>
      </c>
      <c r="AG2019" s="2">
        <f t="shared" ref="AG2019:AG2082" si="554">+AC2019-AF2019</f>
        <v>0</v>
      </c>
    </row>
    <row r="2020" spans="1:33">
      <c r="A2020" s="20" t="s">
        <v>12836</v>
      </c>
      <c r="B2020" s="150"/>
      <c r="C2020" s="21" t="s">
        <v>295</v>
      </c>
      <c r="D2020" s="109" t="s">
        <v>13878</v>
      </c>
      <c r="E2020" s="109" t="s">
        <v>15063</v>
      </c>
      <c r="F2020" s="391" t="s">
        <v>15127</v>
      </c>
      <c r="G2020" s="23" t="s">
        <v>15128</v>
      </c>
      <c r="H2020" s="23"/>
      <c r="I2020" s="23"/>
      <c r="J2020" s="23"/>
      <c r="K2020" s="23"/>
      <c r="L2020" s="375" t="s">
        <v>7787</v>
      </c>
      <c r="M2020" s="351"/>
      <c r="N2020" s="267">
        <f t="shared" si="327"/>
        <v>0</v>
      </c>
      <c r="O2020" s="268">
        <f t="shared" si="328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50"/>
        <v>0</v>
      </c>
      <c r="AD2020" s="196">
        <f t="shared" si="551"/>
        <v>0</v>
      </c>
      <c r="AE2020" s="196">
        <f t="shared" si="552"/>
        <v>0</v>
      </c>
      <c r="AF2020" s="2">
        <f t="shared" si="553"/>
        <v>0</v>
      </c>
      <c r="AG2020" s="2">
        <f t="shared" si="554"/>
        <v>0</v>
      </c>
    </row>
    <row r="2021" spans="1:33">
      <c r="A2021" s="20" t="s">
        <v>1927</v>
      </c>
      <c r="B2021" s="161"/>
      <c r="C2021" s="21" t="s">
        <v>789</v>
      </c>
      <c r="D2021" s="109" t="s">
        <v>13878</v>
      </c>
      <c r="E2021" s="109"/>
      <c r="F2021" s="391" t="s">
        <v>15129</v>
      </c>
      <c r="G2021" s="23"/>
      <c r="H2021" s="23"/>
      <c r="I2021" s="23"/>
      <c r="J2021" s="23"/>
      <c r="K2021" s="23"/>
      <c r="L2021" s="350"/>
      <c r="M2021" s="351"/>
      <c r="N2021" s="267">
        <f t="shared" si="327"/>
        <v>0</v>
      </c>
      <c r="O2021" s="268">
        <f t="shared" si="328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50"/>
        <v>0</v>
      </c>
      <c r="AD2021" s="196">
        <f t="shared" si="551"/>
        <v>0</v>
      </c>
      <c r="AE2021" s="196">
        <f t="shared" si="552"/>
        <v>0</v>
      </c>
      <c r="AF2021" s="2">
        <f t="shared" si="553"/>
        <v>0</v>
      </c>
      <c r="AG2021" s="2">
        <f t="shared" si="554"/>
        <v>0</v>
      </c>
    </row>
    <row r="2022" spans="1:33">
      <c r="A2022" s="20" t="s">
        <v>1929</v>
      </c>
      <c r="B2022" s="150"/>
      <c r="C2022" s="21" t="s">
        <v>790</v>
      </c>
      <c r="D2022" s="109" t="s">
        <v>13949</v>
      </c>
      <c r="E2022" s="109"/>
      <c r="F2022" s="391" t="s">
        <v>15130</v>
      </c>
      <c r="G2022" s="23"/>
      <c r="H2022" s="23"/>
      <c r="I2022" s="23"/>
      <c r="J2022" s="23"/>
      <c r="K2022" s="23"/>
      <c r="L2022" s="350"/>
      <c r="M2022" s="351"/>
      <c r="N2022" s="267">
        <f t="shared" si="327"/>
        <v>0</v>
      </c>
      <c r="O2022" s="268">
        <f t="shared" si="328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50"/>
        <v>0</v>
      </c>
      <c r="AD2022" s="196">
        <f t="shared" si="551"/>
        <v>0</v>
      </c>
      <c r="AE2022" s="196">
        <f t="shared" si="552"/>
        <v>0</v>
      </c>
      <c r="AF2022" s="2">
        <f t="shared" si="553"/>
        <v>0</v>
      </c>
      <c r="AG2022" s="2">
        <f t="shared" si="554"/>
        <v>0</v>
      </c>
    </row>
    <row r="2023" spans="1:33">
      <c r="A2023" s="20" t="s">
        <v>1928</v>
      </c>
      <c r="B2023" s="150"/>
      <c r="C2023" s="21" t="s">
        <v>790</v>
      </c>
      <c r="D2023" s="109" t="s">
        <v>13613</v>
      </c>
      <c r="E2023" s="109"/>
      <c r="F2023" s="391" t="s">
        <v>15131</v>
      </c>
      <c r="G2023" s="23"/>
      <c r="H2023" s="23"/>
      <c r="I2023" s="23"/>
      <c r="J2023" s="23"/>
      <c r="K2023" s="23"/>
      <c r="L2023" s="350"/>
      <c r="M2023" s="351"/>
      <c r="N2023" s="267">
        <f t="shared" si="327"/>
        <v>0</v>
      </c>
      <c r="O2023" s="268">
        <f t="shared" si="328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7"/>
      <c r="Z2023" s="237"/>
      <c r="AA2023" s="279"/>
      <c r="AB2023" s="238"/>
      <c r="AC2023" s="196">
        <f t="shared" si="550"/>
        <v>0</v>
      </c>
      <c r="AD2023" s="196">
        <f t="shared" si="551"/>
        <v>0</v>
      </c>
      <c r="AE2023" s="196">
        <f t="shared" si="552"/>
        <v>0</v>
      </c>
      <c r="AF2023" s="2">
        <f t="shared" si="553"/>
        <v>0</v>
      </c>
      <c r="AG2023" s="2">
        <f t="shared" si="554"/>
        <v>0</v>
      </c>
    </row>
    <row r="2024" spans="1:33">
      <c r="A2024" s="20" t="s">
        <v>1933</v>
      </c>
      <c r="B2024" s="150"/>
      <c r="C2024" s="21" t="s">
        <v>714</v>
      </c>
      <c r="D2024" s="109" t="s">
        <v>13612</v>
      </c>
      <c r="E2024" s="109" t="s">
        <v>13611</v>
      </c>
      <c r="F2024" s="391" t="s">
        <v>15132</v>
      </c>
      <c r="G2024" s="23" t="s">
        <v>15133</v>
      </c>
      <c r="H2024" s="23"/>
      <c r="I2024" s="23"/>
      <c r="J2024" s="23"/>
      <c r="K2024" s="23"/>
      <c r="L2024" s="350"/>
      <c r="M2024" s="351"/>
      <c r="N2024" s="267">
        <f t="shared" si="327"/>
        <v>0</v>
      </c>
      <c r="O2024" s="268">
        <f t="shared" si="328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7"/>
      <c r="Z2024" s="237"/>
      <c r="AA2024" s="279"/>
      <c r="AB2024" s="238"/>
      <c r="AC2024" s="196">
        <f t="shared" si="550"/>
        <v>0</v>
      </c>
      <c r="AD2024" s="196">
        <f t="shared" si="551"/>
        <v>0</v>
      </c>
      <c r="AE2024" s="196">
        <f t="shared" si="552"/>
        <v>0</v>
      </c>
      <c r="AF2024" s="2">
        <f t="shared" si="553"/>
        <v>0</v>
      </c>
      <c r="AG2024" s="2">
        <f t="shared" si="554"/>
        <v>0</v>
      </c>
    </row>
    <row r="2025" spans="1:33">
      <c r="A2025" s="20" t="s">
        <v>1930</v>
      </c>
      <c r="B2025" s="150"/>
      <c r="C2025" s="21" t="s">
        <v>714</v>
      </c>
      <c r="D2025" s="109" t="s">
        <v>15014</v>
      </c>
      <c r="E2025" s="109"/>
      <c r="F2025" s="391" t="s">
        <v>15132</v>
      </c>
      <c r="G2025" s="23" t="s">
        <v>13610</v>
      </c>
      <c r="H2025" s="23"/>
      <c r="I2025" s="23"/>
      <c r="J2025" s="23"/>
      <c r="K2025" s="23"/>
      <c r="L2025" s="350"/>
      <c r="M2025" s="351"/>
      <c r="N2025" s="267">
        <f t="shared" si="327"/>
        <v>0</v>
      </c>
      <c r="O2025" s="268">
        <f t="shared" si="328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9"/>
      <c r="Z2025" s="237"/>
      <c r="AA2025" s="279"/>
      <c r="AB2025" s="238"/>
      <c r="AC2025" s="196">
        <f t="shared" si="550"/>
        <v>0</v>
      </c>
      <c r="AD2025" s="196">
        <f t="shared" si="551"/>
        <v>0</v>
      </c>
      <c r="AE2025" s="196">
        <f t="shared" si="552"/>
        <v>0</v>
      </c>
      <c r="AF2025" s="2">
        <f t="shared" si="553"/>
        <v>0</v>
      </c>
      <c r="AG2025" s="2">
        <f t="shared" si="554"/>
        <v>0</v>
      </c>
    </row>
    <row r="2026" spans="1:33">
      <c r="A2026" s="20" t="s">
        <v>1931</v>
      </c>
      <c r="B2026" s="150"/>
      <c r="C2026" s="21" t="s">
        <v>714</v>
      </c>
      <c r="D2026" s="109" t="s">
        <v>15014</v>
      </c>
      <c r="E2026" s="109"/>
      <c r="F2026" s="391" t="s">
        <v>15132</v>
      </c>
      <c r="G2026" s="23" t="s">
        <v>15133</v>
      </c>
      <c r="H2026" s="23"/>
      <c r="I2026" s="23"/>
      <c r="J2026" s="23"/>
      <c r="K2026" s="23"/>
      <c r="L2026" s="350"/>
      <c r="M2026" s="351"/>
      <c r="N2026" s="267">
        <f t="shared" si="327"/>
        <v>0</v>
      </c>
      <c r="O2026" s="268">
        <f t="shared" si="328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50"/>
        <v>0</v>
      </c>
      <c r="AD2026" s="196">
        <f t="shared" si="551"/>
        <v>0</v>
      </c>
      <c r="AE2026" s="196">
        <f t="shared" si="552"/>
        <v>0</v>
      </c>
      <c r="AF2026" s="2">
        <f t="shared" si="553"/>
        <v>0</v>
      </c>
      <c r="AG2026" s="2">
        <f t="shared" si="554"/>
        <v>0</v>
      </c>
    </row>
    <row r="2027" spans="1:33">
      <c r="A2027" s="20" t="s">
        <v>1932</v>
      </c>
      <c r="B2027" s="150"/>
      <c r="C2027" s="21" t="s">
        <v>714</v>
      </c>
      <c r="D2027" s="109" t="s">
        <v>13613</v>
      </c>
      <c r="E2027" s="109"/>
      <c r="F2027" s="391" t="s">
        <v>15132</v>
      </c>
      <c r="G2027" s="23" t="s">
        <v>13606</v>
      </c>
      <c r="H2027" s="23" t="s">
        <v>13944</v>
      </c>
      <c r="I2027" s="23" t="s">
        <v>14648</v>
      </c>
      <c r="J2027" s="23" t="s">
        <v>13339</v>
      </c>
      <c r="K2027" s="23" t="s">
        <v>22063</v>
      </c>
      <c r="L2027" s="375" t="s">
        <v>7787</v>
      </c>
      <c r="M2027" s="351" t="s">
        <v>7787</v>
      </c>
      <c r="N2027" s="267">
        <f t="shared" si="327"/>
        <v>0</v>
      </c>
      <c r="O2027" s="268">
        <f t="shared" si="328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50"/>
        <v>0</v>
      </c>
      <c r="AD2027" s="196">
        <f t="shared" si="551"/>
        <v>0</v>
      </c>
      <c r="AE2027" s="196">
        <f t="shared" si="552"/>
        <v>0</v>
      </c>
      <c r="AF2027" s="2">
        <f t="shared" si="553"/>
        <v>0</v>
      </c>
      <c r="AG2027" s="2">
        <f t="shared" si="554"/>
        <v>0</v>
      </c>
    </row>
    <row r="2028" spans="1:33">
      <c r="A2028" s="20" t="s">
        <v>1936</v>
      </c>
      <c r="B2028" s="150"/>
      <c r="C2028" s="21" t="s">
        <v>791</v>
      </c>
      <c r="D2028" s="109" t="s">
        <v>15134</v>
      </c>
      <c r="E2028" s="109" t="s">
        <v>13608</v>
      </c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si="327"/>
        <v>0</v>
      </c>
      <c r="O2028" s="268">
        <f t="shared" si="328"/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50"/>
        <v>0</v>
      </c>
      <c r="AD2028" s="196">
        <f t="shared" si="551"/>
        <v>0</v>
      </c>
      <c r="AE2028" s="196">
        <f t="shared" si="552"/>
        <v>0</v>
      </c>
      <c r="AF2028" s="2">
        <f t="shared" si="553"/>
        <v>0</v>
      </c>
      <c r="AG2028" s="2">
        <f t="shared" si="554"/>
        <v>0</v>
      </c>
    </row>
    <row r="2029" spans="1:33">
      <c r="A2029" s="20" t="s">
        <v>1934</v>
      </c>
      <c r="B2029" s="150"/>
      <c r="C2029" s="21" t="s">
        <v>791</v>
      </c>
      <c r="D2029" s="109" t="s">
        <v>13949</v>
      </c>
      <c r="E2029" s="109"/>
      <c r="F2029" s="391" t="s">
        <v>15135</v>
      </c>
      <c r="G2029" s="23"/>
      <c r="H2029" s="23"/>
      <c r="I2029" s="23"/>
      <c r="J2029" s="23"/>
      <c r="K2029" s="23"/>
      <c r="L2029" s="350"/>
      <c r="M2029" s="351"/>
      <c r="N2029" s="267">
        <f t="shared" si="327"/>
        <v>0</v>
      </c>
      <c r="O2029" s="268">
        <f t="shared" si="328"/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50"/>
        <v>0</v>
      </c>
      <c r="AD2029" s="196">
        <f t="shared" si="551"/>
        <v>0</v>
      </c>
      <c r="AE2029" s="196">
        <f t="shared" si="552"/>
        <v>0</v>
      </c>
      <c r="AF2029" s="2">
        <f t="shared" si="553"/>
        <v>0</v>
      </c>
      <c r="AG2029" s="2">
        <f t="shared" si="554"/>
        <v>0</v>
      </c>
    </row>
    <row r="2030" spans="1:33">
      <c r="A2030" s="20" t="s">
        <v>1935</v>
      </c>
      <c r="B2030" s="150"/>
      <c r="C2030" s="21" t="s">
        <v>791</v>
      </c>
      <c r="D2030" s="109" t="s">
        <v>13613</v>
      </c>
      <c r="E2030" s="109"/>
      <c r="F2030" s="391" t="s">
        <v>15135</v>
      </c>
      <c r="G2030" s="23"/>
      <c r="H2030" s="23"/>
      <c r="I2030" s="23"/>
      <c r="J2030" s="23"/>
      <c r="K2030" s="23"/>
      <c r="L2030" s="350"/>
      <c r="M2030" s="351"/>
      <c r="N2030" s="267">
        <f t="shared" ref="N2030:N2095" si="555">SUM(L2030:M2030)</f>
        <v>0</v>
      </c>
      <c r="O2030" s="268">
        <f t="shared" ref="O2030:O2095" si="556">SUM(P2030:Z2030)</f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50"/>
        <v>0</v>
      </c>
      <c r="AD2030" s="196">
        <f t="shared" si="551"/>
        <v>0</v>
      </c>
      <c r="AE2030" s="196">
        <f t="shared" si="552"/>
        <v>0</v>
      </c>
      <c r="AF2030" s="2">
        <f t="shared" si="553"/>
        <v>0</v>
      </c>
      <c r="AG2030" s="2">
        <f t="shared" si="554"/>
        <v>0</v>
      </c>
    </row>
    <row r="2031" spans="1:33">
      <c r="A2031" s="20" t="s">
        <v>1937</v>
      </c>
      <c r="B2031" s="150"/>
      <c r="C2031" s="21" t="s">
        <v>792</v>
      </c>
      <c r="D2031" s="109" t="s">
        <v>13612</v>
      </c>
      <c r="E2031" s="109" t="s">
        <v>13611</v>
      </c>
      <c r="F2031" s="391" t="s">
        <v>15136</v>
      </c>
      <c r="G2031" s="23"/>
      <c r="H2031" s="23"/>
      <c r="I2031" s="23"/>
      <c r="J2031" s="23"/>
      <c r="K2031" s="23"/>
      <c r="L2031" s="350"/>
      <c r="M2031" s="351"/>
      <c r="N2031" s="267">
        <f t="shared" si="555"/>
        <v>0</v>
      </c>
      <c r="O2031" s="268">
        <f t="shared" si="556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50"/>
        <v>0</v>
      </c>
      <c r="AD2031" s="196">
        <f t="shared" si="551"/>
        <v>0</v>
      </c>
      <c r="AE2031" s="196">
        <f t="shared" si="552"/>
        <v>0</v>
      </c>
      <c r="AF2031" s="2">
        <f t="shared" si="553"/>
        <v>0</v>
      </c>
      <c r="AG2031" s="2">
        <f t="shared" si="554"/>
        <v>0</v>
      </c>
    </row>
    <row r="2032" spans="1:33">
      <c r="A2032" s="20" t="s">
        <v>1938</v>
      </c>
      <c r="B2032" s="150"/>
      <c r="C2032" s="21" t="s">
        <v>792</v>
      </c>
      <c r="D2032" s="109" t="s">
        <v>13949</v>
      </c>
      <c r="E2032" s="109"/>
      <c r="F2032" s="391" t="s">
        <v>15136</v>
      </c>
      <c r="G2032" s="23"/>
      <c r="H2032" s="23"/>
      <c r="I2032" s="23"/>
      <c r="J2032" s="23"/>
      <c r="K2032" s="23"/>
      <c r="L2032" s="350"/>
      <c r="M2032" s="351"/>
      <c r="N2032" s="267">
        <f t="shared" si="555"/>
        <v>0</v>
      </c>
      <c r="O2032" s="268">
        <f t="shared" si="556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50"/>
        <v>0</v>
      </c>
      <c r="AD2032" s="196">
        <f t="shared" si="551"/>
        <v>0</v>
      </c>
      <c r="AE2032" s="196">
        <f t="shared" si="552"/>
        <v>0</v>
      </c>
      <c r="AF2032" s="2">
        <f t="shared" si="553"/>
        <v>0</v>
      </c>
      <c r="AG2032" s="2">
        <f t="shared" si="554"/>
        <v>0</v>
      </c>
    </row>
    <row r="2033" spans="1:33">
      <c r="A2033" s="20" t="s">
        <v>1943</v>
      </c>
      <c r="B2033" s="150"/>
      <c r="C2033" s="21" t="s">
        <v>793</v>
      </c>
      <c r="D2033" s="109" t="s">
        <v>14789</v>
      </c>
      <c r="E2033" s="109" t="s">
        <v>13947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5"/>
        <v>0</v>
      </c>
      <c r="O2033" s="268">
        <f t="shared" si="556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50"/>
        <v>0</v>
      </c>
      <c r="AD2033" s="196">
        <f t="shared" si="551"/>
        <v>0</v>
      </c>
      <c r="AE2033" s="196">
        <f t="shared" si="552"/>
        <v>0</v>
      </c>
      <c r="AF2033" s="2">
        <f t="shared" si="553"/>
        <v>0</v>
      </c>
      <c r="AG2033" s="2">
        <f t="shared" si="554"/>
        <v>0</v>
      </c>
    </row>
    <row r="2034" spans="1:33">
      <c r="A2034" s="20" t="s">
        <v>1944</v>
      </c>
      <c r="B2034" s="150"/>
      <c r="C2034" s="21" t="s">
        <v>793</v>
      </c>
      <c r="D2034" s="109" t="s">
        <v>13945</v>
      </c>
      <c r="E2034" s="109" t="s">
        <v>13947</v>
      </c>
      <c r="F2034" s="391" t="s">
        <v>15137</v>
      </c>
      <c r="G2034" s="23"/>
      <c r="H2034" s="23"/>
      <c r="I2034" s="23"/>
      <c r="J2034" s="23"/>
      <c r="K2034" s="23"/>
      <c r="L2034" s="350"/>
      <c r="M2034" s="351"/>
      <c r="N2034" s="267">
        <f t="shared" si="555"/>
        <v>0</v>
      </c>
      <c r="O2034" s="268">
        <f t="shared" si="556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50"/>
        <v>0</v>
      </c>
      <c r="AD2034" s="196">
        <f t="shared" si="551"/>
        <v>0</v>
      </c>
      <c r="AE2034" s="196">
        <f t="shared" si="552"/>
        <v>0</v>
      </c>
      <c r="AF2034" s="2">
        <f t="shared" si="553"/>
        <v>0</v>
      </c>
      <c r="AG2034" s="2">
        <f t="shared" si="554"/>
        <v>0</v>
      </c>
    </row>
    <row r="2035" spans="1:33">
      <c r="A2035" s="20" t="s">
        <v>1945</v>
      </c>
      <c r="B2035" s="150"/>
      <c r="C2035" s="21" t="s">
        <v>793</v>
      </c>
      <c r="D2035" s="109" t="s">
        <v>13945</v>
      </c>
      <c r="E2035" s="109" t="s">
        <v>14600</v>
      </c>
      <c r="F2035" s="391" t="s">
        <v>15137</v>
      </c>
      <c r="G2035" s="23"/>
      <c r="H2035" s="23"/>
      <c r="I2035" s="23"/>
      <c r="J2035" s="23"/>
      <c r="K2035" s="23"/>
      <c r="L2035" s="350"/>
      <c r="M2035" s="351"/>
      <c r="N2035" s="267">
        <f t="shared" si="555"/>
        <v>0</v>
      </c>
      <c r="O2035" s="268">
        <f t="shared" si="556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50"/>
        <v>0</v>
      </c>
      <c r="AD2035" s="196">
        <f t="shared" si="551"/>
        <v>0</v>
      </c>
      <c r="AE2035" s="196">
        <f t="shared" si="552"/>
        <v>0</v>
      </c>
      <c r="AF2035" s="2">
        <f t="shared" si="553"/>
        <v>0</v>
      </c>
      <c r="AG2035" s="2">
        <f t="shared" si="554"/>
        <v>0</v>
      </c>
    </row>
    <row r="2036" spans="1:33">
      <c r="A2036" s="377" t="s">
        <v>1941</v>
      </c>
      <c r="B2036" s="198" t="s">
        <v>7371</v>
      </c>
      <c r="C2036" s="21" t="s">
        <v>793</v>
      </c>
      <c r="D2036" s="109" t="s">
        <v>13945</v>
      </c>
      <c r="E2036" s="109"/>
      <c r="F2036" s="391" t="s">
        <v>15137</v>
      </c>
      <c r="G2036" s="23" t="s">
        <v>14573</v>
      </c>
      <c r="H2036" s="23"/>
      <c r="I2036" s="23"/>
      <c r="J2036" s="23"/>
      <c r="K2036" s="23"/>
      <c r="L2036" s="350"/>
      <c r="M2036" s="351"/>
      <c r="N2036" s="267">
        <f t="shared" si="555"/>
        <v>0</v>
      </c>
      <c r="O2036" s="268">
        <f t="shared" si="556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50"/>
        <v>0</v>
      </c>
      <c r="AD2036" s="196">
        <f t="shared" si="551"/>
        <v>0</v>
      </c>
      <c r="AE2036" s="196">
        <f t="shared" si="552"/>
        <v>0</v>
      </c>
      <c r="AF2036" s="2">
        <f t="shared" si="553"/>
        <v>0</v>
      </c>
      <c r="AG2036" s="2">
        <f t="shared" si="554"/>
        <v>0</v>
      </c>
    </row>
    <row r="2037" spans="1:33">
      <c r="A2037" s="20" t="s">
        <v>1942</v>
      </c>
      <c r="B2037" s="150"/>
      <c r="C2037" s="21" t="s">
        <v>793</v>
      </c>
      <c r="D2037" s="109" t="s">
        <v>13612</v>
      </c>
      <c r="E2037" s="109" t="s">
        <v>13611</v>
      </c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5"/>
        <v>0</v>
      </c>
      <c r="O2037" s="268">
        <f t="shared" si="556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50"/>
        <v>0</v>
      </c>
      <c r="AD2037" s="196">
        <f t="shared" si="551"/>
        <v>0</v>
      </c>
      <c r="AE2037" s="196">
        <f t="shared" si="552"/>
        <v>0</v>
      </c>
      <c r="AF2037" s="2">
        <f t="shared" si="553"/>
        <v>0</v>
      </c>
      <c r="AG2037" s="2">
        <f t="shared" si="554"/>
        <v>0</v>
      </c>
    </row>
    <row r="2038" spans="1:33">
      <c r="A2038" s="20" t="s">
        <v>1939</v>
      </c>
      <c r="B2038" s="150"/>
      <c r="C2038" s="21" t="s">
        <v>793</v>
      </c>
      <c r="D2038" s="109" t="s">
        <v>13949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5"/>
        <v>0</v>
      </c>
      <c r="O2038" s="268">
        <f t="shared" si="556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50"/>
        <v>0</v>
      </c>
      <c r="AD2038" s="196">
        <f t="shared" si="551"/>
        <v>0</v>
      </c>
      <c r="AE2038" s="196">
        <f t="shared" si="552"/>
        <v>0</v>
      </c>
      <c r="AF2038" s="2">
        <f t="shared" si="553"/>
        <v>0</v>
      </c>
      <c r="AG2038" s="2">
        <f t="shared" si="554"/>
        <v>0</v>
      </c>
    </row>
    <row r="2039" spans="1:33">
      <c r="A2039" s="20" t="s">
        <v>1940</v>
      </c>
      <c r="B2039" s="150"/>
      <c r="C2039" s="21" t="s">
        <v>793</v>
      </c>
      <c r="D2039" s="109" t="s">
        <v>13613</v>
      </c>
      <c r="E2039" s="109"/>
      <c r="F2039" s="391" t="s">
        <v>15137</v>
      </c>
      <c r="G2039" s="23"/>
      <c r="H2039" s="23"/>
      <c r="I2039" s="23"/>
      <c r="J2039" s="23"/>
      <c r="K2039" s="23"/>
      <c r="L2039" s="350"/>
      <c r="M2039" s="351"/>
      <c r="N2039" s="267">
        <f t="shared" si="555"/>
        <v>0</v>
      </c>
      <c r="O2039" s="268">
        <f t="shared" si="556"/>
        <v>0</v>
      </c>
      <c r="P2039" s="239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50"/>
        <v>0</v>
      </c>
      <c r="AD2039" s="196">
        <f t="shared" si="551"/>
        <v>0</v>
      </c>
      <c r="AE2039" s="196">
        <f t="shared" si="552"/>
        <v>0</v>
      </c>
      <c r="AF2039" s="2">
        <f t="shared" si="553"/>
        <v>0</v>
      </c>
      <c r="AG2039" s="2">
        <f t="shared" si="554"/>
        <v>0</v>
      </c>
    </row>
    <row r="2040" spans="1:33">
      <c r="A2040" s="20" t="s">
        <v>1941</v>
      </c>
      <c r="B2040" s="150"/>
      <c r="C2040" s="21" t="s">
        <v>793</v>
      </c>
      <c r="D2040" s="109" t="s">
        <v>13955</v>
      </c>
      <c r="E2040" s="109"/>
      <c r="F2040" s="391" t="s">
        <v>15137</v>
      </c>
      <c r="G2040" s="23"/>
      <c r="H2040" s="23"/>
      <c r="I2040" s="23"/>
      <c r="J2040" s="23"/>
      <c r="K2040" s="23"/>
      <c r="L2040" s="350"/>
      <c r="M2040" s="351"/>
      <c r="N2040" s="267">
        <f t="shared" si="555"/>
        <v>0</v>
      </c>
      <c r="O2040" s="268">
        <f t="shared" si="556"/>
        <v>0</v>
      </c>
      <c r="P2040" s="239"/>
      <c r="Q2040" s="239"/>
      <c r="R2040" s="239"/>
      <c r="S2040" s="239"/>
      <c r="T2040" s="239"/>
      <c r="U2040" s="240"/>
      <c r="V2040" s="240"/>
      <c r="W2040" s="240"/>
      <c r="X2040" s="278"/>
      <c r="Y2040" s="237"/>
      <c r="Z2040" s="237"/>
      <c r="AA2040" s="279"/>
      <c r="AB2040" s="238"/>
      <c r="AC2040" s="196">
        <f t="shared" si="550"/>
        <v>0</v>
      </c>
      <c r="AD2040" s="196">
        <f t="shared" si="551"/>
        <v>0</v>
      </c>
      <c r="AE2040" s="196">
        <f t="shared" si="552"/>
        <v>0</v>
      </c>
      <c r="AF2040" s="2">
        <f t="shared" si="553"/>
        <v>0</v>
      </c>
      <c r="AG2040" s="2">
        <f t="shared" si="554"/>
        <v>0</v>
      </c>
    </row>
    <row r="2041" spans="1:33">
      <c r="A2041" s="20" t="s">
        <v>1946</v>
      </c>
      <c r="B2041" s="150"/>
      <c r="C2041" s="21" t="s">
        <v>794</v>
      </c>
      <c r="D2041" s="109" t="s">
        <v>13949</v>
      </c>
      <c r="E2041" s="109"/>
      <c r="F2041" s="391" t="s">
        <v>15138</v>
      </c>
      <c r="G2041" s="23" t="s">
        <v>13951</v>
      </c>
      <c r="H2041" s="23" t="s">
        <v>22981</v>
      </c>
      <c r="I2041" s="23"/>
      <c r="J2041" s="23"/>
      <c r="K2041" s="23"/>
      <c r="L2041" s="375" t="s">
        <v>7787</v>
      </c>
      <c r="M2041" s="351" t="s">
        <v>7787</v>
      </c>
      <c r="N2041" s="267">
        <f t="shared" si="555"/>
        <v>0</v>
      </c>
      <c r="O2041" s="268">
        <f t="shared" si="556"/>
        <v>0</v>
      </c>
      <c r="P2041" s="240"/>
      <c r="Q2041" s="239"/>
      <c r="R2041" s="239"/>
      <c r="S2041" s="239"/>
      <c r="T2041" s="239"/>
      <c r="U2041" s="240"/>
      <c r="V2041" s="240"/>
      <c r="W2041" s="240"/>
      <c r="X2041" s="278"/>
      <c r="Y2041" s="237"/>
      <c r="Z2041" s="237"/>
      <c r="AA2041" s="279"/>
      <c r="AB2041" s="238"/>
      <c r="AC2041" s="196">
        <f t="shared" si="550"/>
        <v>0</v>
      </c>
      <c r="AD2041" s="196">
        <f t="shared" si="551"/>
        <v>0</v>
      </c>
      <c r="AE2041" s="196">
        <f t="shared" si="552"/>
        <v>0</v>
      </c>
      <c r="AF2041" s="2">
        <f t="shared" si="553"/>
        <v>0</v>
      </c>
      <c r="AG2041" s="2">
        <f t="shared" si="554"/>
        <v>0</v>
      </c>
    </row>
    <row r="2042" spans="1:33">
      <c r="A2042" s="20" t="s">
        <v>1952</v>
      </c>
      <c r="B2042" s="150"/>
      <c r="C2042" s="21" t="s">
        <v>301</v>
      </c>
      <c r="D2042" s="109" t="s">
        <v>14678</v>
      </c>
      <c r="E2042" s="109"/>
      <c r="F2042" s="391" t="s">
        <v>15139</v>
      </c>
      <c r="G2042" s="23"/>
      <c r="H2042" s="23"/>
      <c r="I2042" s="23"/>
      <c r="J2042" s="23"/>
      <c r="K2042" s="23"/>
      <c r="L2042" s="350"/>
      <c r="M2042" s="351"/>
      <c r="N2042" s="267">
        <f t="shared" si="555"/>
        <v>0</v>
      </c>
      <c r="O2042" s="268">
        <f t="shared" si="556"/>
        <v>0</v>
      </c>
      <c r="P2042" s="239"/>
      <c r="Q2042" s="239"/>
      <c r="R2042" s="239"/>
      <c r="S2042" s="239"/>
      <c r="T2042" s="239"/>
      <c r="U2042" s="240"/>
      <c r="V2042" s="240"/>
      <c r="W2042" s="240"/>
      <c r="X2042" s="278"/>
      <c r="Y2042" s="239"/>
      <c r="Z2042" s="237"/>
      <c r="AA2042" s="279"/>
      <c r="AB2042" s="238"/>
      <c r="AC2042" s="196">
        <f t="shared" si="550"/>
        <v>0</v>
      </c>
      <c r="AD2042" s="196">
        <f t="shared" si="551"/>
        <v>0</v>
      </c>
      <c r="AE2042" s="196">
        <f t="shared" si="552"/>
        <v>0</v>
      </c>
      <c r="AF2042" s="2">
        <f t="shared" si="553"/>
        <v>0</v>
      </c>
      <c r="AG2042" s="2">
        <f t="shared" si="554"/>
        <v>0</v>
      </c>
    </row>
    <row r="2043" spans="1:33">
      <c r="A2043" s="20" t="s">
        <v>1895</v>
      </c>
      <c r="B2043" s="150"/>
      <c r="C2043" s="21" t="s">
        <v>296</v>
      </c>
      <c r="D2043" s="109" t="s">
        <v>13949</v>
      </c>
      <c r="E2043" s="109"/>
      <c r="F2043" s="391" t="s">
        <v>15140</v>
      </c>
      <c r="G2043" s="23" t="s">
        <v>14562</v>
      </c>
      <c r="H2043" s="23" t="s">
        <v>14724</v>
      </c>
      <c r="I2043" s="23"/>
      <c r="J2043" s="23"/>
      <c r="K2043" s="23"/>
      <c r="L2043" s="375" t="s">
        <v>7787</v>
      </c>
      <c r="M2043" s="351" t="s">
        <v>7787</v>
      </c>
      <c r="N2043" s="267">
        <f t="shared" si="555"/>
        <v>0</v>
      </c>
      <c r="O2043" s="268">
        <f t="shared" si="556"/>
        <v>0</v>
      </c>
      <c r="P2043" s="248"/>
      <c r="Q2043" s="239"/>
      <c r="R2043" s="239"/>
      <c r="S2043" s="239"/>
      <c r="T2043" s="239"/>
      <c r="U2043" s="240"/>
      <c r="V2043" s="240"/>
      <c r="W2043" s="240"/>
      <c r="X2043" s="278"/>
      <c r="Y2043" s="237"/>
      <c r="Z2043" s="237"/>
      <c r="AA2043" s="285"/>
      <c r="AB2043" s="238"/>
      <c r="AC2043" s="196">
        <f t="shared" si="550"/>
        <v>0</v>
      </c>
      <c r="AD2043" s="196">
        <f t="shared" si="551"/>
        <v>0</v>
      </c>
      <c r="AE2043" s="196">
        <f t="shared" si="552"/>
        <v>0</v>
      </c>
      <c r="AF2043" s="2">
        <f t="shared" si="553"/>
        <v>0</v>
      </c>
      <c r="AG2043" s="2">
        <f t="shared" si="554"/>
        <v>0</v>
      </c>
    </row>
    <row r="2044" spans="1:33">
      <c r="A2044" s="20" t="s">
        <v>1896</v>
      </c>
      <c r="B2044" s="162" t="s">
        <v>15141</v>
      </c>
      <c r="C2044" s="21" t="s">
        <v>296</v>
      </c>
      <c r="D2044" s="109" t="s">
        <v>13613</v>
      </c>
      <c r="E2044" s="109"/>
      <c r="F2044" s="391" t="s">
        <v>15140</v>
      </c>
      <c r="G2044" s="23" t="s">
        <v>13951</v>
      </c>
      <c r="H2044" s="23" t="s">
        <v>14709</v>
      </c>
      <c r="I2044" s="23" t="s">
        <v>14724</v>
      </c>
      <c r="J2044" s="23"/>
      <c r="K2044" s="23"/>
      <c r="L2044" s="375" t="s">
        <v>45</v>
      </c>
      <c r="M2044" s="351" t="s">
        <v>7787</v>
      </c>
      <c r="N2044" s="267">
        <f t="shared" si="555"/>
        <v>0</v>
      </c>
      <c r="O2044" s="268">
        <f t="shared" si="556"/>
        <v>300</v>
      </c>
      <c r="P2044" s="239"/>
      <c r="Q2044" s="239"/>
      <c r="R2044" s="239"/>
      <c r="S2044" s="239"/>
      <c r="T2044" s="239"/>
      <c r="U2044" s="240">
        <f>1100+1400-2200</f>
        <v>300</v>
      </c>
      <c r="V2044" s="240"/>
      <c r="W2044" s="240"/>
      <c r="X2044" s="278"/>
      <c r="Y2044" s="237"/>
      <c r="Z2044" s="237"/>
      <c r="AA2044" s="239"/>
      <c r="AB2044" s="238" t="s">
        <v>26680</v>
      </c>
      <c r="AC2044" s="196">
        <f t="shared" si="550"/>
        <v>300</v>
      </c>
      <c r="AD2044" s="196">
        <f t="shared" si="551"/>
        <v>300</v>
      </c>
      <c r="AE2044" s="196">
        <f t="shared" si="552"/>
        <v>0</v>
      </c>
      <c r="AF2044" s="2">
        <f t="shared" si="553"/>
        <v>300</v>
      </c>
      <c r="AG2044" s="2">
        <f t="shared" si="554"/>
        <v>0</v>
      </c>
    </row>
    <row r="2045" spans="1:33">
      <c r="A2045" s="20" t="s">
        <v>1947</v>
      </c>
      <c r="B2045" s="150"/>
      <c r="C2045" s="21" t="s">
        <v>795</v>
      </c>
      <c r="D2045" s="109" t="s">
        <v>13949</v>
      </c>
      <c r="E2045" s="109"/>
      <c r="F2045" s="391" t="s">
        <v>15142</v>
      </c>
      <c r="G2045" s="23" t="s">
        <v>13951</v>
      </c>
      <c r="H2045" s="23" t="s">
        <v>14635</v>
      </c>
      <c r="I2045" s="23"/>
      <c r="J2045" s="23"/>
      <c r="K2045" s="23"/>
      <c r="L2045" s="350"/>
      <c r="M2045" s="351"/>
      <c r="N2045" s="267">
        <f t="shared" si="555"/>
        <v>0</v>
      </c>
      <c r="O2045" s="268">
        <f t="shared" si="556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50"/>
        <v>0</v>
      </c>
      <c r="AD2045" s="196">
        <f t="shared" si="551"/>
        <v>0</v>
      </c>
      <c r="AE2045" s="196">
        <f t="shared" si="552"/>
        <v>0</v>
      </c>
      <c r="AF2045" s="2">
        <f t="shared" si="553"/>
        <v>0</v>
      </c>
      <c r="AG2045" s="2">
        <f t="shared" si="554"/>
        <v>0</v>
      </c>
    </row>
    <row r="2046" spans="1:33">
      <c r="A2046" s="20" t="s">
        <v>1949</v>
      </c>
      <c r="B2046" s="150"/>
      <c r="C2046" s="21" t="s">
        <v>713</v>
      </c>
      <c r="D2046" s="109" t="s">
        <v>14789</v>
      </c>
      <c r="E2046" s="109" t="s">
        <v>15119</v>
      </c>
      <c r="F2046" s="391" t="s">
        <v>15143</v>
      </c>
      <c r="G2046" s="23"/>
      <c r="H2046" s="23"/>
      <c r="I2046" s="23"/>
      <c r="J2046" s="23"/>
      <c r="K2046" s="23"/>
      <c r="L2046" s="375" t="s">
        <v>7787</v>
      </c>
      <c r="M2046" s="351"/>
      <c r="N2046" s="267">
        <f t="shared" si="555"/>
        <v>0</v>
      </c>
      <c r="O2046" s="268">
        <f t="shared" si="556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50"/>
        <v>0</v>
      </c>
      <c r="AD2046" s="196">
        <f t="shared" si="551"/>
        <v>0</v>
      </c>
      <c r="AE2046" s="196">
        <f t="shared" si="552"/>
        <v>0</v>
      </c>
      <c r="AF2046" s="2">
        <f t="shared" si="553"/>
        <v>0</v>
      </c>
      <c r="AG2046" s="2">
        <f t="shared" si="554"/>
        <v>0</v>
      </c>
    </row>
    <row r="2047" spans="1:33">
      <c r="A2047" s="20" t="s">
        <v>1948</v>
      </c>
      <c r="B2047" s="150"/>
      <c r="C2047" s="21" t="s">
        <v>713</v>
      </c>
      <c r="D2047" s="109" t="s">
        <v>14789</v>
      </c>
      <c r="E2047" s="109" t="s">
        <v>14600</v>
      </c>
      <c r="F2047" s="391" t="s">
        <v>15143</v>
      </c>
      <c r="G2047" s="23"/>
      <c r="H2047" s="23"/>
      <c r="I2047" s="23"/>
      <c r="J2047" s="23"/>
      <c r="K2047" s="23"/>
      <c r="L2047" s="350" t="s">
        <v>7787</v>
      </c>
      <c r="M2047" s="351" t="s">
        <v>7787</v>
      </c>
      <c r="N2047" s="267">
        <f t="shared" si="555"/>
        <v>0</v>
      </c>
      <c r="O2047" s="268">
        <f t="shared" si="556"/>
        <v>0</v>
      </c>
      <c r="P2047" s="239"/>
      <c r="Q2047" s="239"/>
      <c r="R2047" s="239"/>
      <c r="S2047" s="239"/>
      <c r="T2047" s="239"/>
      <c r="U2047" s="240"/>
      <c r="V2047" s="240"/>
      <c r="W2047" s="240"/>
      <c r="X2047" s="278"/>
      <c r="Y2047" s="237"/>
      <c r="Z2047" s="237"/>
      <c r="AA2047" s="279"/>
      <c r="AB2047" s="238"/>
      <c r="AC2047" s="196">
        <f t="shared" si="550"/>
        <v>0</v>
      </c>
      <c r="AD2047" s="196">
        <f t="shared" si="551"/>
        <v>0</v>
      </c>
      <c r="AE2047" s="196">
        <f t="shared" si="552"/>
        <v>0</v>
      </c>
      <c r="AF2047" s="2">
        <f t="shared" si="553"/>
        <v>0</v>
      </c>
      <c r="AG2047" s="2">
        <f t="shared" si="554"/>
        <v>0</v>
      </c>
    </row>
    <row r="2048" spans="1:33">
      <c r="A2048" s="20" t="s">
        <v>1950</v>
      </c>
      <c r="B2048" s="150"/>
      <c r="C2048" s="21" t="s">
        <v>713</v>
      </c>
      <c r="D2048" s="109" t="s">
        <v>14789</v>
      </c>
      <c r="E2048" s="109" t="s">
        <v>13611</v>
      </c>
      <c r="F2048" s="391" t="s">
        <v>15143</v>
      </c>
      <c r="G2048" s="23"/>
      <c r="H2048" s="23"/>
      <c r="I2048" s="23"/>
      <c r="J2048" s="23"/>
      <c r="K2048" s="23"/>
      <c r="L2048" s="375" t="s">
        <v>7787</v>
      </c>
      <c r="M2048" s="351" t="s">
        <v>7787</v>
      </c>
      <c r="N2048" s="267">
        <f t="shared" si="555"/>
        <v>0</v>
      </c>
      <c r="O2048" s="268">
        <f t="shared" si="556"/>
        <v>0</v>
      </c>
      <c r="P2048" s="239"/>
      <c r="Q2048" s="239"/>
      <c r="R2048" s="239"/>
      <c r="S2048" s="239"/>
      <c r="T2048" s="239"/>
      <c r="U2048" s="240"/>
      <c r="V2048" s="240"/>
      <c r="W2048" s="240"/>
      <c r="X2048" s="278"/>
      <c r="Y2048" s="237"/>
      <c r="Z2048" s="237"/>
      <c r="AA2048" s="279"/>
      <c r="AB2048" s="238"/>
      <c r="AC2048" s="196">
        <f t="shared" si="550"/>
        <v>0</v>
      </c>
      <c r="AD2048" s="196">
        <f t="shared" si="551"/>
        <v>0</v>
      </c>
      <c r="AE2048" s="196">
        <f t="shared" si="552"/>
        <v>0</v>
      </c>
      <c r="AF2048" s="2">
        <f t="shared" si="553"/>
        <v>0</v>
      </c>
      <c r="AG2048" s="2">
        <f t="shared" si="554"/>
        <v>0</v>
      </c>
    </row>
    <row r="2049" spans="1:33">
      <c r="A2049" s="20" t="s">
        <v>1951</v>
      </c>
      <c r="B2049" s="156" t="s">
        <v>15144</v>
      </c>
      <c r="C2049" s="21" t="s">
        <v>713</v>
      </c>
      <c r="D2049" s="109" t="s">
        <v>13613</v>
      </c>
      <c r="E2049" s="109"/>
      <c r="F2049" s="391" t="s">
        <v>15143</v>
      </c>
      <c r="G2049" s="23" t="s">
        <v>15145</v>
      </c>
      <c r="H2049" s="23" t="s">
        <v>14705</v>
      </c>
      <c r="I2049" s="23" t="s">
        <v>14648</v>
      </c>
      <c r="J2049" s="23" t="s">
        <v>14649</v>
      </c>
      <c r="K2049" s="23" t="s">
        <v>19108</v>
      </c>
      <c r="L2049" s="375" t="s">
        <v>7787</v>
      </c>
      <c r="M2049" s="351" t="s">
        <v>7787</v>
      </c>
      <c r="N2049" s="267">
        <f t="shared" si="555"/>
        <v>0</v>
      </c>
      <c r="O2049" s="268">
        <f t="shared" si="556"/>
        <v>0</v>
      </c>
      <c r="P2049" s="240"/>
      <c r="Q2049" s="239"/>
      <c r="R2049" s="239"/>
      <c r="S2049" s="239"/>
      <c r="T2049" s="240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50"/>
        <v>0</v>
      </c>
      <c r="AD2049" s="196">
        <f t="shared" si="551"/>
        <v>0</v>
      </c>
      <c r="AE2049" s="196">
        <f t="shared" si="552"/>
        <v>0</v>
      </c>
      <c r="AF2049" s="2">
        <f t="shared" si="553"/>
        <v>0</v>
      </c>
      <c r="AG2049" s="2">
        <f t="shared" si="554"/>
        <v>0</v>
      </c>
    </row>
    <row r="2050" spans="1:33">
      <c r="A2050" s="20" t="s">
        <v>1953</v>
      </c>
      <c r="B2050" s="150"/>
      <c r="C2050" s="21" t="s">
        <v>302</v>
      </c>
      <c r="D2050" s="109" t="s">
        <v>14678</v>
      </c>
      <c r="E2050" s="109"/>
      <c r="F2050" s="391" t="s">
        <v>15146</v>
      </c>
      <c r="G2050" s="23"/>
      <c r="H2050" s="23"/>
      <c r="I2050" s="23"/>
      <c r="J2050" s="23"/>
      <c r="K2050" s="23"/>
      <c r="L2050" s="350"/>
      <c r="M2050" s="351"/>
      <c r="N2050" s="267">
        <f t="shared" si="555"/>
        <v>0</v>
      </c>
      <c r="O2050" s="268">
        <f t="shared" si="556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50"/>
        <v>0</v>
      </c>
      <c r="AD2050" s="196">
        <f t="shared" si="551"/>
        <v>0</v>
      </c>
      <c r="AE2050" s="196">
        <f t="shared" si="552"/>
        <v>0</v>
      </c>
      <c r="AF2050" s="2">
        <f t="shared" si="553"/>
        <v>0</v>
      </c>
      <c r="AG2050" s="2">
        <f t="shared" si="554"/>
        <v>0</v>
      </c>
    </row>
    <row r="2051" spans="1:33">
      <c r="A2051" s="20" t="s">
        <v>1897</v>
      </c>
      <c r="B2051" s="162" t="s">
        <v>5845</v>
      </c>
      <c r="C2051" s="21" t="s">
        <v>297</v>
      </c>
      <c r="D2051" s="109" t="s">
        <v>13949</v>
      </c>
      <c r="E2051" s="109"/>
      <c r="F2051" s="391" t="s">
        <v>15147</v>
      </c>
      <c r="G2051" s="23" t="s">
        <v>14635</v>
      </c>
      <c r="H2051" s="23" t="s">
        <v>14724</v>
      </c>
      <c r="I2051" s="23" t="s">
        <v>13617</v>
      </c>
      <c r="J2051" s="23"/>
      <c r="K2051" s="23"/>
      <c r="L2051" s="375" t="s">
        <v>7787</v>
      </c>
      <c r="M2051" s="351" t="s">
        <v>7787</v>
      </c>
      <c r="N2051" s="267">
        <f t="shared" si="555"/>
        <v>0</v>
      </c>
      <c r="O2051" s="268">
        <f t="shared" si="556"/>
        <v>0</v>
      </c>
      <c r="P2051" s="239"/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/>
      <c r="AC2051" s="196">
        <f t="shared" si="550"/>
        <v>0</v>
      </c>
      <c r="AD2051" s="196">
        <f t="shared" si="551"/>
        <v>0</v>
      </c>
      <c r="AE2051" s="196">
        <f t="shared" si="552"/>
        <v>0</v>
      </c>
      <c r="AF2051" s="2">
        <f t="shared" si="553"/>
        <v>0</v>
      </c>
      <c r="AG2051" s="2">
        <f t="shared" si="554"/>
        <v>0</v>
      </c>
    </row>
    <row r="2052" spans="1:33">
      <c r="A2052" s="20" t="s">
        <v>1898</v>
      </c>
      <c r="B2052" s="161"/>
      <c r="C2052" s="21" t="s">
        <v>297</v>
      </c>
      <c r="D2052" s="109" t="s">
        <v>13613</v>
      </c>
      <c r="E2052" s="109" t="s">
        <v>25658</v>
      </c>
      <c r="F2052" s="391" t="s">
        <v>15147</v>
      </c>
      <c r="G2052" s="23" t="s">
        <v>14793</v>
      </c>
      <c r="H2052" s="23" t="s">
        <v>15148</v>
      </c>
      <c r="I2052" s="23" t="s">
        <v>13603</v>
      </c>
      <c r="J2052" s="23" t="s">
        <v>22164</v>
      </c>
      <c r="K2052" s="23"/>
      <c r="L2052" s="375" t="s">
        <v>7787</v>
      </c>
      <c r="M2052" s="351"/>
      <c r="N2052" s="267">
        <f t="shared" si="555"/>
        <v>0</v>
      </c>
      <c r="O2052" s="268">
        <f t="shared" si="556"/>
        <v>0</v>
      </c>
      <c r="P2052" s="239"/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/>
      <c r="AC2052" s="196">
        <f t="shared" si="550"/>
        <v>0</v>
      </c>
      <c r="AD2052" s="196">
        <f t="shared" si="551"/>
        <v>0</v>
      </c>
      <c r="AE2052" s="196">
        <f t="shared" si="552"/>
        <v>0</v>
      </c>
      <c r="AF2052" s="2">
        <f t="shared" si="553"/>
        <v>0</v>
      </c>
      <c r="AG2052" s="2">
        <f t="shared" si="554"/>
        <v>0</v>
      </c>
    </row>
    <row r="2053" spans="1:33">
      <c r="A2053" s="20" t="s">
        <v>27064</v>
      </c>
      <c r="B2053" s="161"/>
      <c r="C2053" s="21" t="s">
        <v>297</v>
      </c>
      <c r="D2053" s="109" t="s">
        <v>3096</v>
      </c>
      <c r="E2053" s="109" t="s">
        <v>25658</v>
      </c>
      <c r="F2053" s="391" t="s">
        <v>4605</v>
      </c>
      <c r="G2053" s="23" t="s">
        <v>13525</v>
      </c>
      <c r="H2053" s="23" t="s">
        <v>13409</v>
      </c>
      <c r="I2053" s="23" t="s">
        <v>13603</v>
      </c>
      <c r="J2053" s="23" t="s">
        <v>22164</v>
      </c>
      <c r="K2053" s="23"/>
      <c r="L2053" s="375" t="s">
        <v>7787</v>
      </c>
      <c r="M2053" s="351"/>
      <c r="N2053" s="267">
        <f t="shared" ref="N2053" si="557">SUM(L2053:M2053)</f>
        <v>0</v>
      </c>
      <c r="O2053" s="268">
        <f t="shared" ref="O2053" si="558">SUM(P2053:Z2053)</f>
        <v>2500</v>
      </c>
      <c r="P2053" s="239">
        <f>4000-1000-500+1000-1000</f>
        <v>2500</v>
      </c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 t="s">
        <v>27190</v>
      </c>
      <c r="AC2053" s="196">
        <f t="shared" si="550"/>
        <v>2500</v>
      </c>
      <c r="AD2053" s="196">
        <f t="shared" si="551"/>
        <v>2500</v>
      </c>
      <c r="AE2053" s="196">
        <f t="shared" si="552"/>
        <v>0</v>
      </c>
      <c r="AF2053" s="2">
        <f t="shared" si="553"/>
        <v>2500</v>
      </c>
      <c r="AG2053" s="2">
        <f t="shared" si="554"/>
        <v>0</v>
      </c>
    </row>
    <row r="2054" spans="1:33">
      <c r="A2054" s="20" t="s">
        <v>1954</v>
      </c>
      <c r="B2054" s="150"/>
      <c r="C2054" s="21" t="s">
        <v>796</v>
      </c>
      <c r="D2054" s="109" t="s">
        <v>13949</v>
      </c>
      <c r="E2054" s="109"/>
      <c r="F2054" s="391" t="s">
        <v>15149</v>
      </c>
      <c r="G2054" s="23"/>
      <c r="H2054" s="23"/>
      <c r="I2054" s="23"/>
      <c r="J2054" s="23"/>
      <c r="K2054" s="23"/>
      <c r="L2054" s="350"/>
      <c r="M2054" s="351"/>
      <c r="N2054" s="267">
        <f t="shared" si="555"/>
        <v>0</v>
      </c>
      <c r="O2054" s="268">
        <f t="shared" si="556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50"/>
        <v>0</v>
      </c>
      <c r="AD2054" s="196">
        <f t="shared" si="551"/>
        <v>0</v>
      </c>
      <c r="AE2054" s="196">
        <f t="shared" si="552"/>
        <v>0</v>
      </c>
      <c r="AF2054" s="2">
        <f t="shared" si="553"/>
        <v>0</v>
      </c>
      <c r="AG2054" s="2">
        <f t="shared" si="554"/>
        <v>0</v>
      </c>
    </row>
    <row r="2055" spans="1:33">
      <c r="A2055" s="20" t="s">
        <v>1955</v>
      </c>
      <c r="B2055" s="150"/>
      <c r="C2055" s="21" t="s">
        <v>796</v>
      </c>
      <c r="D2055" s="109" t="s">
        <v>13949</v>
      </c>
      <c r="E2055" s="109"/>
      <c r="F2055" s="391" t="s">
        <v>15149</v>
      </c>
      <c r="G2055" s="23"/>
      <c r="H2055" s="23"/>
      <c r="I2055" s="23"/>
      <c r="J2055" s="23"/>
      <c r="K2055" s="23"/>
      <c r="L2055" s="350"/>
      <c r="M2055" s="351"/>
      <c r="N2055" s="267">
        <f t="shared" si="555"/>
        <v>0</v>
      </c>
      <c r="O2055" s="268">
        <f t="shared" si="556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50"/>
        <v>0</v>
      </c>
      <c r="AD2055" s="196">
        <f t="shared" si="551"/>
        <v>0</v>
      </c>
      <c r="AE2055" s="196">
        <f t="shared" si="552"/>
        <v>0</v>
      </c>
      <c r="AF2055" s="2">
        <f t="shared" si="553"/>
        <v>0</v>
      </c>
      <c r="AG2055" s="2">
        <f t="shared" si="554"/>
        <v>0</v>
      </c>
    </row>
    <row r="2056" spans="1:33">
      <c r="A2056" s="20" t="s">
        <v>1956</v>
      </c>
      <c r="B2056" s="150"/>
      <c r="C2056" s="21" t="s">
        <v>796</v>
      </c>
      <c r="D2056" s="109" t="s">
        <v>13613</v>
      </c>
      <c r="E2056" s="109"/>
      <c r="F2056" s="391" t="s">
        <v>15150</v>
      </c>
      <c r="G2056" s="23"/>
      <c r="H2056" s="23"/>
      <c r="I2056" s="23"/>
      <c r="J2056" s="23"/>
      <c r="K2056" s="23"/>
      <c r="L2056" s="350"/>
      <c r="M2056" s="351"/>
      <c r="N2056" s="267">
        <f t="shared" si="555"/>
        <v>0</v>
      </c>
      <c r="O2056" s="268">
        <f t="shared" si="556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92"/>
      <c r="AB2056" s="238"/>
      <c r="AC2056" s="196">
        <f t="shared" si="550"/>
        <v>0</v>
      </c>
      <c r="AD2056" s="196">
        <f t="shared" si="551"/>
        <v>0</v>
      </c>
      <c r="AE2056" s="196">
        <f t="shared" si="552"/>
        <v>0</v>
      </c>
      <c r="AF2056" s="2">
        <f t="shared" si="553"/>
        <v>0</v>
      </c>
      <c r="AG2056" s="2">
        <f t="shared" si="554"/>
        <v>0</v>
      </c>
    </row>
    <row r="2057" spans="1:33">
      <c r="A2057" s="20" t="s">
        <v>1957</v>
      </c>
      <c r="B2057" s="150"/>
      <c r="C2057" s="21" t="s">
        <v>796</v>
      </c>
      <c r="D2057" s="109" t="s">
        <v>13613</v>
      </c>
      <c r="E2057" s="109"/>
      <c r="F2057" s="391" t="s">
        <v>15150</v>
      </c>
      <c r="G2057" s="23" t="s">
        <v>14709</v>
      </c>
      <c r="H2057" s="23" t="s">
        <v>15151</v>
      </c>
      <c r="I2057" s="23" t="s">
        <v>14724</v>
      </c>
      <c r="J2057" s="23" t="s">
        <v>13507</v>
      </c>
      <c r="K2057" s="23"/>
      <c r="L2057" s="350"/>
      <c r="M2057" s="351"/>
      <c r="N2057" s="267">
        <f t="shared" si="555"/>
        <v>0</v>
      </c>
      <c r="O2057" s="268">
        <f t="shared" si="556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92"/>
      <c r="AB2057" s="238"/>
      <c r="AC2057" s="196">
        <f t="shared" si="550"/>
        <v>0</v>
      </c>
      <c r="AD2057" s="196">
        <f t="shared" si="551"/>
        <v>0</v>
      </c>
      <c r="AE2057" s="196">
        <f t="shared" si="552"/>
        <v>0</v>
      </c>
      <c r="AF2057" s="2">
        <f t="shared" si="553"/>
        <v>0</v>
      </c>
      <c r="AG2057" s="2">
        <f t="shared" si="554"/>
        <v>0</v>
      </c>
    </row>
    <row r="2058" spans="1:33">
      <c r="A2058" s="20" t="s">
        <v>1958</v>
      </c>
      <c r="B2058" s="150"/>
      <c r="C2058" s="21" t="s">
        <v>796</v>
      </c>
      <c r="D2058" s="109" t="s">
        <v>13613</v>
      </c>
      <c r="E2058" s="109"/>
      <c r="F2058" s="391" t="s">
        <v>15149</v>
      </c>
      <c r="G2058" s="23"/>
      <c r="H2058" s="23"/>
      <c r="I2058" s="23"/>
      <c r="J2058" s="23"/>
      <c r="K2058" s="23"/>
      <c r="L2058" s="350"/>
      <c r="M2058" s="351"/>
      <c r="N2058" s="267">
        <f t="shared" si="555"/>
        <v>0</v>
      </c>
      <c r="O2058" s="268">
        <f t="shared" si="556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50"/>
        <v>0</v>
      </c>
      <c r="AD2058" s="196">
        <f t="shared" si="551"/>
        <v>0</v>
      </c>
      <c r="AE2058" s="196">
        <f t="shared" si="552"/>
        <v>0</v>
      </c>
      <c r="AF2058" s="2">
        <f t="shared" si="553"/>
        <v>0</v>
      </c>
      <c r="AG2058" s="2">
        <f t="shared" si="554"/>
        <v>0</v>
      </c>
    </row>
    <row r="2059" spans="1:33">
      <c r="A2059" s="20" t="s">
        <v>1959</v>
      </c>
      <c r="B2059" s="150"/>
      <c r="C2059" s="21" t="s">
        <v>796</v>
      </c>
      <c r="D2059" s="109" t="s">
        <v>13613</v>
      </c>
      <c r="E2059" s="109"/>
      <c r="F2059" s="391" t="s">
        <v>15149</v>
      </c>
      <c r="G2059" s="23" t="s">
        <v>14709</v>
      </c>
      <c r="H2059" s="23"/>
      <c r="I2059" s="23"/>
      <c r="J2059" s="23"/>
      <c r="K2059" s="23"/>
      <c r="L2059" s="350"/>
      <c r="M2059" s="351"/>
      <c r="N2059" s="267">
        <f t="shared" si="555"/>
        <v>0</v>
      </c>
      <c r="O2059" s="268">
        <f t="shared" si="556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50"/>
        <v>0</v>
      </c>
      <c r="AD2059" s="196">
        <f t="shared" si="551"/>
        <v>0</v>
      </c>
      <c r="AE2059" s="196">
        <f t="shared" si="552"/>
        <v>0</v>
      </c>
      <c r="AF2059" s="2">
        <f t="shared" si="553"/>
        <v>0</v>
      </c>
      <c r="AG2059" s="2">
        <f t="shared" si="554"/>
        <v>0</v>
      </c>
    </row>
    <row r="2060" spans="1:33">
      <c r="A2060" s="20" t="s">
        <v>1961</v>
      </c>
      <c r="B2060" s="150"/>
      <c r="C2060" s="21" t="s">
        <v>797</v>
      </c>
      <c r="D2060" s="109" t="s">
        <v>13612</v>
      </c>
      <c r="E2060" s="109" t="s">
        <v>13611</v>
      </c>
      <c r="F2060" s="391" t="s">
        <v>15152</v>
      </c>
      <c r="G2060" s="23"/>
      <c r="H2060" s="23"/>
      <c r="I2060" s="23"/>
      <c r="J2060" s="23"/>
      <c r="K2060" s="23"/>
      <c r="L2060" s="350"/>
      <c r="M2060" s="351"/>
      <c r="N2060" s="267">
        <f t="shared" si="555"/>
        <v>0</v>
      </c>
      <c r="O2060" s="268">
        <f t="shared" si="556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79"/>
      <c r="AB2060" s="238"/>
      <c r="AC2060" s="196">
        <f t="shared" si="550"/>
        <v>0</v>
      </c>
      <c r="AD2060" s="196">
        <f t="shared" si="551"/>
        <v>0</v>
      </c>
      <c r="AE2060" s="196">
        <f t="shared" si="552"/>
        <v>0</v>
      </c>
      <c r="AF2060" s="2">
        <f t="shared" si="553"/>
        <v>0</v>
      </c>
      <c r="AG2060" s="2">
        <f t="shared" si="554"/>
        <v>0</v>
      </c>
    </row>
    <row r="2061" spans="1:33">
      <c r="A2061" s="20" t="s">
        <v>1960</v>
      </c>
      <c r="B2061" s="150"/>
      <c r="C2061" s="21" t="s">
        <v>797</v>
      </c>
      <c r="D2061" s="109" t="s">
        <v>13949</v>
      </c>
      <c r="E2061" s="109"/>
      <c r="F2061" s="391" t="s">
        <v>15152</v>
      </c>
      <c r="G2061" s="23" t="s">
        <v>15153</v>
      </c>
      <c r="H2061" s="23" t="s">
        <v>21149</v>
      </c>
      <c r="I2061" s="23"/>
      <c r="J2061" s="23"/>
      <c r="K2061" s="23"/>
      <c r="L2061" s="375" t="s">
        <v>7787</v>
      </c>
      <c r="M2061" s="351" t="s">
        <v>7787</v>
      </c>
      <c r="N2061" s="267">
        <f t="shared" si="555"/>
        <v>0</v>
      </c>
      <c r="O2061" s="268">
        <f t="shared" si="556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79"/>
      <c r="AB2061" s="238"/>
      <c r="AC2061" s="196">
        <f t="shared" si="550"/>
        <v>0</v>
      </c>
      <c r="AD2061" s="196">
        <f t="shared" si="551"/>
        <v>0</v>
      </c>
      <c r="AE2061" s="196">
        <f t="shared" si="552"/>
        <v>0</v>
      </c>
      <c r="AF2061" s="2">
        <f t="shared" si="553"/>
        <v>0</v>
      </c>
      <c r="AG2061" s="2">
        <f t="shared" si="554"/>
        <v>0</v>
      </c>
    </row>
    <row r="2062" spans="1:33">
      <c r="A2062" s="20" t="s">
        <v>1899</v>
      </c>
      <c r="B2062" s="150"/>
      <c r="C2062" s="21" t="s">
        <v>298</v>
      </c>
      <c r="D2062" s="109" t="s">
        <v>13949</v>
      </c>
      <c r="E2062" s="109"/>
      <c r="F2062" s="391" t="s">
        <v>15154</v>
      </c>
      <c r="G2062" s="23" t="s">
        <v>15155</v>
      </c>
      <c r="H2062" s="23"/>
      <c r="I2062" s="23"/>
      <c r="J2062" s="23"/>
      <c r="K2062" s="23"/>
      <c r="L2062" s="359" t="s">
        <v>7787</v>
      </c>
      <c r="M2062" s="351" t="s">
        <v>7787</v>
      </c>
      <c r="N2062" s="267">
        <f t="shared" si="555"/>
        <v>0</v>
      </c>
      <c r="O2062" s="268">
        <f t="shared" si="556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85"/>
      <c r="AB2062" s="238"/>
      <c r="AC2062" s="196">
        <f t="shared" si="550"/>
        <v>0</v>
      </c>
      <c r="AD2062" s="196">
        <f t="shared" si="551"/>
        <v>0</v>
      </c>
      <c r="AE2062" s="196">
        <f t="shared" si="552"/>
        <v>0</v>
      </c>
      <c r="AF2062" s="2">
        <f t="shared" si="553"/>
        <v>0</v>
      </c>
      <c r="AG2062" s="2">
        <f t="shared" si="554"/>
        <v>0</v>
      </c>
    </row>
    <row r="2063" spans="1:33">
      <c r="A2063" s="20" t="s">
        <v>1900</v>
      </c>
      <c r="B2063" s="156" t="s">
        <v>15156</v>
      </c>
      <c r="C2063" s="21" t="s">
        <v>298</v>
      </c>
      <c r="D2063" s="109" t="s">
        <v>13613</v>
      </c>
      <c r="E2063" s="109"/>
      <c r="F2063" s="391" t="s">
        <v>15154</v>
      </c>
      <c r="G2063" s="23" t="s">
        <v>15157</v>
      </c>
      <c r="H2063" s="23"/>
      <c r="I2063" s="23"/>
      <c r="J2063" s="23"/>
      <c r="K2063" s="23"/>
      <c r="L2063" s="375" t="s">
        <v>7787</v>
      </c>
      <c r="M2063" s="351" t="s">
        <v>7787</v>
      </c>
      <c r="N2063" s="267">
        <f t="shared" si="555"/>
        <v>0</v>
      </c>
      <c r="O2063" s="268">
        <f t="shared" si="556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50"/>
        <v>0</v>
      </c>
      <c r="AD2063" s="196">
        <f t="shared" si="551"/>
        <v>0</v>
      </c>
      <c r="AE2063" s="196">
        <f t="shared" si="552"/>
        <v>0</v>
      </c>
      <c r="AF2063" s="2">
        <f t="shared" si="553"/>
        <v>0</v>
      </c>
      <c r="AG2063" s="2">
        <f t="shared" si="554"/>
        <v>0</v>
      </c>
    </row>
    <row r="2064" spans="1:33">
      <c r="A2064" s="20" t="s">
        <v>1962</v>
      </c>
      <c r="B2064" s="150"/>
      <c r="C2064" s="21" t="s">
        <v>798</v>
      </c>
      <c r="D2064" s="109" t="s">
        <v>13949</v>
      </c>
      <c r="E2064" s="109"/>
      <c r="F2064" s="391" t="s">
        <v>15158</v>
      </c>
      <c r="G2064" s="23"/>
      <c r="H2064" s="23"/>
      <c r="I2064" s="23"/>
      <c r="J2064" s="23"/>
      <c r="K2064" s="23"/>
      <c r="L2064" s="350"/>
      <c r="M2064" s="351"/>
      <c r="N2064" s="267">
        <f t="shared" si="555"/>
        <v>0</v>
      </c>
      <c r="O2064" s="268">
        <f t="shared" si="556"/>
        <v>0</v>
      </c>
      <c r="P2064" s="239"/>
      <c r="Q2064" s="239"/>
      <c r="R2064" s="239"/>
      <c r="S2064" s="239"/>
      <c r="T2064" s="239"/>
      <c r="U2064" s="240"/>
      <c r="V2064" s="240"/>
      <c r="W2064" s="240"/>
      <c r="X2064" s="278"/>
      <c r="Y2064" s="237"/>
      <c r="Z2064" s="237"/>
      <c r="AA2064" s="279"/>
      <c r="AB2064" s="238"/>
      <c r="AC2064" s="196">
        <f t="shared" si="550"/>
        <v>0</v>
      </c>
      <c r="AD2064" s="196">
        <f t="shared" si="551"/>
        <v>0</v>
      </c>
      <c r="AE2064" s="196">
        <f t="shared" si="552"/>
        <v>0</v>
      </c>
      <c r="AF2064" s="2">
        <f t="shared" si="553"/>
        <v>0</v>
      </c>
      <c r="AG2064" s="2">
        <f t="shared" si="554"/>
        <v>0</v>
      </c>
    </row>
    <row r="2065" spans="1:33">
      <c r="A2065" s="20" t="s">
        <v>1965</v>
      </c>
      <c r="B2065" s="161"/>
      <c r="C2065" s="21" t="s">
        <v>686</v>
      </c>
      <c r="D2065" s="109" t="s">
        <v>13945</v>
      </c>
      <c r="E2065" s="109" t="s">
        <v>13947</v>
      </c>
      <c r="F2065" s="391" t="s">
        <v>15159</v>
      </c>
      <c r="G2065" s="23"/>
      <c r="H2065" s="23"/>
      <c r="I2065" s="23"/>
      <c r="J2065" s="23"/>
      <c r="K2065" s="23"/>
      <c r="L2065" s="375" t="s">
        <v>7787</v>
      </c>
      <c r="M2065" s="351"/>
      <c r="N2065" s="267">
        <f t="shared" si="555"/>
        <v>0</v>
      </c>
      <c r="O2065" s="268">
        <f t="shared" si="556"/>
        <v>0</v>
      </c>
      <c r="P2065" s="239"/>
      <c r="Q2065" s="239"/>
      <c r="R2065" s="239"/>
      <c r="S2065" s="239"/>
      <c r="T2065" s="239"/>
      <c r="U2065" s="240"/>
      <c r="V2065" s="240"/>
      <c r="W2065" s="240"/>
      <c r="X2065" s="278"/>
      <c r="Y2065" s="237"/>
      <c r="Z2065" s="237"/>
      <c r="AA2065" s="279"/>
      <c r="AB2065" s="238"/>
      <c r="AC2065" s="196">
        <f t="shared" si="550"/>
        <v>0</v>
      </c>
      <c r="AD2065" s="196">
        <f t="shared" si="551"/>
        <v>0</v>
      </c>
      <c r="AE2065" s="196">
        <f t="shared" si="552"/>
        <v>0</v>
      </c>
      <c r="AF2065" s="2">
        <f t="shared" si="553"/>
        <v>0</v>
      </c>
      <c r="AG2065" s="2">
        <f t="shared" si="554"/>
        <v>0</v>
      </c>
    </row>
    <row r="2066" spans="1:33">
      <c r="A2066" s="20" t="s">
        <v>1963</v>
      </c>
      <c r="B2066" s="152" t="s">
        <v>15160</v>
      </c>
      <c r="C2066" s="21" t="s">
        <v>686</v>
      </c>
      <c r="D2066" s="109" t="s">
        <v>15161</v>
      </c>
      <c r="E2066" s="109"/>
      <c r="F2066" s="391" t="s">
        <v>15162</v>
      </c>
      <c r="G2066" s="23" t="s">
        <v>15163</v>
      </c>
      <c r="H2066" s="23" t="s">
        <v>15164</v>
      </c>
      <c r="I2066" s="23"/>
      <c r="J2066" s="23"/>
      <c r="K2066" s="23"/>
      <c r="L2066" s="375"/>
      <c r="M2066" s="351" t="s">
        <v>7787</v>
      </c>
      <c r="N2066" s="267">
        <f t="shared" si="555"/>
        <v>0</v>
      </c>
      <c r="O2066" s="268">
        <f t="shared" si="556"/>
        <v>0</v>
      </c>
      <c r="P2066" s="239"/>
      <c r="Q2066" s="239"/>
      <c r="R2066" s="239"/>
      <c r="S2066" s="239"/>
      <c r="T2066" s="239"/>
      <c r="U2066" s="239"/>
      <c r="V2066" s="239"/>
      <c r="W2066" s="240"/>
      <c r="X2066" s="278"/>
      <c r="Y2066" s="237"/>
      <c r="Z2066" s="237"/>
      <c r="AA2066" s="279"/>
      <c r="AB2066" s="238"/>
      <c r="AC2066" s="196">
        <f t="shared" si="550"/>
        <v>0</v>
      </c>
      <c r="AD2066" s="196">
        <f t="shared" si="551"/>
        <v>0</v>
      </c>
      <c r="AE2066" s="196">
        <f t="shared" si="552"/>
        <v>0</v>
      </c>
      <c r="AF2066" s="2">
        <f t="shared" si="553"/>
        <v>0</v>
      </c>
      <c r="AG2066" s="2">
        <f t="shared" si="554"/>
        <v>0</v>
      </c>
    </row>
    <row r="2067" spans="1:33">
      <c r="A2067" s="20" t="s">
        <v>1964</v>
      </c>
      <c r="B2067" s="156" t="s">
        <v>15166</v>
      </c>
      <c r="C2067" s="21" t="s">
        <v>686</v>
      </c>
      <c r="D2067" s="109" t="s">
        <v>15167</v>
      </c>
      <c r="E2067" s="109"/>
      <c r="F2067" s="391" t="s">
        <v>15162</v>
      </c>
      <c r="G2067" s="23" t="s">
        <v>15168</v>
      </c>
      <c r="H2067" s="23"/>
      <c r="I2067" s="23"/>
      <c r="J2067" s="23"/>
      <c r="K2067" s="23"/>
      <c r="L2067" s="375" t="s">
        <v>7787</v>
      </c>
      <c r="M2067" s="351" t="s">
        <v>7787</v>
      </c>
      <c r="N2067" s="267">
        <f t="shared" si="555"/>
        <v>0</v>
      </c>
      <c r="O2067" s="268">
        <f t="shared" si="556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39"/>
      <c r="AB2067" s="238"/>
      <c r="AC2067" s="196">
        <f t="shared" si="550"/>
        <v>0</v>
      </c>
      <c r="AD2067" s="196">
        <f t="shared" si="551"/>
        <v>0</v>
      </c>
      <c r="AE2067" s="196">
        <f t="shared" si="552"/>
        <v>0</v>
      </c>
      <c r="AF2067" s="2">
        <f t="shared" si="553"/>
        <v>0</v>
      </c>
      <c r="AG2067" s="2">
        <f t="shared" si="554"/>
        <v>0</v>
      </c>
    </row>
    <row r="2068" spans="1:33">
      <c r="A2068" s="20" t="s">
        <v>1966</v>
      </c>
      <c r="B2068" s="150"/>
      <c r="C2068" s="21" t="s">
        <v>799</v>
      </c>
      <c r="D2068" s="109" t="s">
        <v>15161</v>
      </c>
      <c r="E2068" s="109"/>
      <c r="F2068" s="391" t="s">
        <v>15169</v>
      </c>
      <c r="G2068" s="23" t="s">
        <v>13826</v>
      </c>
      <c r="H2068" s="23"/>
      <c r="I2068" s="23"/>
      <c r="J2068" s="23"/>
      <c r="K2068" s="23"/>
      <c r="L2068" s="375" t="s">
        <v>7787</v>
      </c>
      <c r="M2068" s="351" t="s">
        <v>7787</v>
      </c>
      <c r="N2068" s="267">
        <f t="shared" si="555"/>
        <v>0</v>
      </c>
      <c r="O2068" s="268">
        <f t="shared" si="556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79"/>
      <c r="AB2068" s="238"/>
      <c r="AC2068" s="196">
        <f t="shared" si="550"/>
        <v>0</v>
      </c>
      <c r="AD2068" s="196">
        <f t="shared" si="551"/>
        <v>0</v>
      </c>
      <c r="AE2068" s="196">
        <f t="shared" si="552"/>
        <v>0</v>
      </c>
      <c r="AF2068" s="2">
        <f t="shared" si="553"/>
        <v>0</v>
      </c>
      <c r="AG2068" s="2">
        <f t="shared" si="554"/>
        <v>0</v>
      </c>
    </row>
    <row r="2069" spans="1:33">
      <c r="A2069" s="20" t="s">
        <v>1967</v>
      </c>
      <c r="B2069" s="150"/>
      <c r="C2069" s="21" t="s">
        <v>800</v>
      </c>
      <c r="D2069" s="109" t="s">
        <v>13228</v>
      </c>
      <c r="E2069" s="109"/>
      <c r="F2069" s="391" t="s">
        <v>15170</v>
      </c>
      <c r="G2069" s="23"/>
      <c r="H2069" s="23"/>
      <c r="I2069" s="23"/>
      <c r="J2069" s="23"/>
      <c r="K2069" s="23"/>
      <c r="L2069" s="350"/>
      <c r="M2069" s="351"/>
      <c r="N2069" s="267">
        <f t="shared" si="555"/>
        <v>0</v>
      </c>
      <c r="O2069" s="268">
        <f t="shared" si="556"/>
        <v>0</v>
      </c>
      <c r="P2069" s="239"/>
      <c r="Q2069" s="239"/>
      <c r="R2069" s="239"/>
      <c r="S2069" s="239"/>
      <c r="T2069" s="239"/>
      <c r="U2069" s="240"/>
      <c r="V2069" s="240"/>
      <c r="W2069" s="240"/>
      <c r="X2069" s="278"/>
      <c r="Y2069" s="237"/>
      <c r="Z2069" s="237"/>
      <c r="AA2069" s="279"/>
      <c r="AB2069" s="238"/>
      <c r="AC2069" s="196">
        <f t="shared" si="550"/>
        <v>0</v>
      </c>
      <c r="AD2069" s="196">
        <f t="shared" si="551"/>
        <v>0</v>
      </c>
      <c r="AE2069" s="196">
        <f t="shared" si="552"/>
        <v>0</v>
      </c>
      <c r="AF2069" s="2">
        <f t="shared" si="553"/>
        <v>0</v>
      </c>
      <c r="AG2069" s="2">
        <f t="shared" si="554"/>
        <v>0</v>
      </c>
    </row>
    <row r="2070" spans="1:33">
      <c r="A2070" s="20" t="s">
        <v>1968</v>
      </c>
      <c r="B2070" s="150"/>
      <c r="C2070" s="21" t="s">
        <v>800</v>
      </c>
      <c r="D2070" s="109" t="s">
        <v>13207</v>
      </c>
      <c r="E2070" s="109"/>
      <c r="F2070" s="391" t="s">
        <v>15170</v>
      </c>
      <c r="G2070" s="23" t="s">
        <v>14407</v>
      </c>
      <c r="H2070" s="23"/>
      <c r="I2070" s="23"/>
      <c r="J2070" s="23"/>
      <c r="K2070" s="23"/>
      <c r="L2070" s="350"/>
      <c r="M2070" s="351"/>
      <c r="N2070" s="267">
        <f t="shared" si="555"/>
        <v>0</v>
      </c>
      <c r="O2070" s="268">
        <f t="shared" si="556"/>
        <v>0</v>
      </c>
      <c r="P2070" s="239"/>
      <c r="Q2070" s="239"/>
      <c r="R2070" s="239"/>
      <c r="S2070" s="239"/>
      <c r="T2070" s="239"/>
      <c r="U2070" s="240"/>
      <c r="V2070" s="240"/>
      <c r="W2070" s="240"/>
      <c r="X2070" s="278"/>
      <c r="Y2070" s="237"/>
      <c r="Z2070" s="237"/>
      <c r="AA2070" s="285"/>
      <c r="AB2070" s="238"/>
      <c r="AC2070" s="196">
        <f t="shared" si="550"/>
        <v>0</v>
      </c>
      <c r="AD2070" s="196">
        <f t="shared" si="551"/>
        <v>0</v>
      </c>
      <c r="AE2070" s="196">
        <f t="shared" si="552"/>
        <v>0</v>
      </c>
      <c r="AF2070" s="2">
        <f t="shared" si="553"/>
        <v>0</v>
      </c>
      <c r="AG2070" s="2">
        <f t="shared" si="554"/>
        <v>0</v>
      </c>
    </row>
    <row r="2071" spans="1:33">
      <c r="A2071" s="20" t="s">
        <v>1977</v>
      </c>
      <c r="B2071" s="156" t="s">
        <v>15171</v>
      </c>
      <c r="C2071" s="21" t="s">
        <v>802</v>
      </c>
      <c r="D2071" s="109" t="s">
        <v>13234</v>
      </c>
      <c r="E2071" s="109"/>
      <c r="F2071" s="391" t="s">
        <v>15172</v>
      </c>
      <c r="G2071" s="23" t="s">
        <v>13214</v>
      </c>
      <c r="H2071" s="23" t="s">
        <v>14269</v>
      </c>
      <c r="I2071" s="23" t="s">
        <v>13236</v>
      </c>
      <c r="J2071" s="23"/>
      <c r="K2071" s="23"/>
      <c r="L2071" s="375" t="s">
        <v>7787</v>
      </c>
      <c r="M2071" s="351" t="s">
        <v>7787</v>
      </c>
      <c r="N2071" s="267">
        <f t="shared" si="555"/>
        <v>0</v>
      </c>
      <c r="O2071" s="268">
        <f t="shared" si="556"/>
        <v>100</v>
      </c>
      <c r="P2071" s="239"/>
      <c r="Q2071" s="239"/>
      <c r="R2071" s="239"/>
      <c r="S2071" s="239"/>
      <c r="T2071" s="17">
        <f>1150-50-1000</f>
        <v>100</v>
      </c>
      <c r="U2071" s="240"/>
      <c r="V2071" s="240"/>
      <c r="W2071" s="240"/>
      <c r="X2071" s="278"/>
      <c r="Y2071" s="237"/>
      <c r="Z2071" s="237"/>
      <c r="AA2071" s="279"/>
      <c r="AB2071" s="238" t="s">
        <v>21223</v>
      </c>
      <c r="AC2071" s="196">
        <f t="shared" si="550"/>
        <v>100</v>
      </c>
      <c r="AD2071" s="196">
        <f t="shared" si="551"/>
        <v>100</v>
      </c>
      <c r="AE2071" s="196">
        <f t="shared" si="552"/>
        <v>0</v>
      </c>
      <c r="AF2071" s="2">
        <f t="shared" si="553"/>
        <v>100</v>
      </c>
      <c r="AG2071" s="2">
        <f t="shared" si="554"/>
        <v>0</v>
      </c>
    </row>
    <row r="2072" spans="1:33">
      <c r="A2072" s="20" t="s">
        <v>1978</v>
      </c>
      <c r="B2072" s="156" t="s">
        <v>15173</v>
      </c>
      <c r="C2072" s="21" t="s">
        <v>802</v>
      </c>
      <c r="D2072" s="109" t="s">
        <v>15174</v>
      </c>
      <c r="E2072" s="109"/>
      <c r="F2072" s="391" t="s">
        <v>15172</v>
      </c>
      <c r="G2072" s="23" t="s">
        <v>13214</v>
      </c>
      <c r="H2072" s="23" t="s">
        <v>13215</v>
      </c>
      <c r="I2072" s="23" t="s">
        <v>15175</v>
      </c>
      <c r="J2072" s="23"/>
      <c r="K2072" s="23"/>
      <c r="L2072" s="375" t="s">
        <v>7787</v>
      </c>
      <c r="M2072" s="351" t="s">
        <v>7787</v>
      </c>
      <c r="N2072" s="267">
        <f t="shared" si="555"/>
        <v>0</v>
      </c>
      <c r="O2072" s="268">
        <f t="shared" si="556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50"/>
        <v>0</v>
      </c>
      <c r="AD2072" s="196">
        <f t="shared" si="551"/>
        <v>0</v>
      </c>
      <c r="AE2072" s="196">
        <f t="shared" si="552"/>
        <v>0</v>
      </c>
      <c r="AF2072" s="2">
        <f t="shared" si="553"/>
        <v>0</v>
      </c>
      <c r="AG2072" s="2">
        <f t="shared" si="554"/>
        <v>0</v>
      </c>
    </row>
    <row r="2073" spans="1:33">
      <c r="A2073" s="20" t="s">
        <v>2012</v>
      </c>
      <c r="B2073" s="150"/>
      <c r="C2073" s="21" t="s">
        <v>711</v>
      </c>
      <c r="D2073" s="109" t="s">
        <v>14004</v>
      </c>
      <c r="E2073" s="109" t="s">
        <v>13210</v>
      </c>
      <c r="F2073" s="391" t="s">
        <v>15176</v>
      </c>
      <c r="G2073" s="23" t="s">
        <v>13214</v>
      </c>
      <c r="H2073" s="23"/>
      <c r="I2073" s="23"/>
      <c r="J2073" s="23"/>
      <c r="K2073" s="23"/>
      <c r="L2073" s="350"/>
      <c r="M2073" s="351"/>
      <c r="N2073" s="267">
        <f t="shared" si="555"/>
        <v>0</v>
      </c>
      <c r="O2073" s="268">
        <f t="shared" si="556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50"/>
        <v>0</v>
      </c>
      <c r="AD2073" s="196">
        <f t="shared" si="551"/>
        <v>0</v>
      </c>
      <c r="AE2073" s="196">
        <f t="shared" si="552"/>
        <v>0</v>
      </c>
      <c r="AF2073" s="2">
        <f t="shared" si="553"/>
        <v>0</v>
      </c>
      <c r="AG2073" s="2">
        <f t="shared" si="554"/>
        <v>0</v>
      </c>
    </row>
    <row r="2074" spans="1:33">
      <c r="A2074" s="20" t="s">
        <v>2008</v>
      </c>
      <c r="B2074" s="150"/>
      <c r="C2074" s="21" t="s">
        <v>711</v>
      </c>
      <c r="D2074" s="109" t="s">
        <v>15177</v>
      </c>
      <c r="E2074" s="109"/>
      <c r="F2074" s="391" t="s">
        <v>15176</v>
      </c>
      <c r="G2074" s="23" t="s">
        <v>15178</v>
      </c>
      <c r="H2074" s="23"/>
      <c r="I2074" s="23"/>
      <c r="J2074" s="23"/>
      <c r="K2074" s="23"/>
      <c r="L2074" s="350"/>
      <c r="M2074" s="351"/>
      <c r="N2074" s="267">
        <f t="shared" si="555"/>
        <v>0</v>
      </c>
      <c r="O2074" s="268">
        <f t="shared" si="556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50"/>
        <v>0</v>
      </c>
      <c r="AD2074" s="196">
        <f t="shared" si="551"/>
        <v>0</v>
      </c>
      <c r="AE2074" s="196">
        <f t="shared" si="552"/>
        <v>0</v>
      </c>
      <c r="AF2074" s="2">
        <f t="shared" si="553"/>
        <v>0</v>
      </c>
      <c r="AG2074" s="2">
        <f t="shared" si="554"/>
        <v>0</v>
      </c>
    </row>
    <row r="2075" spans="1:33">
      <c r="A2075" s="20" t="s">
        <v>2009</v>
      </c>
      <c r="B2075" s="150"/>
      <c r="C2075" s="21" t="s">
        <v>711</v>
      </c>
      <c r="D2075" s="109" t="s">
        <v>13228</v>
      </c>
      <c r="E2075" s="109" t="s">
        <v>14386</v>
      </c>
      <c r="F2075" s="391" t="s">
        <v>15176</v>
      </c>
      <c r="G2075" s="23" t="s">
        <v>13215</v>
      </c>
      <c r="H2075" s="23"/>
      <c r="I2075" s="23"/>
      <c r="J2075" s="23"/>
      <c r="K2075" s="23"/>
      <c r="L2075" s="375" t="s">
        <v>7787</v>
      </c>
      <c r="M2075" s="351" t="s">
        <v>7787</v>
      </c>
      <c r="N2075" s="267">
        <f t="shared" si="555"/>
        <v>0</v>
      </c>
      <c r="O2075" s="268">
        <f t="shared" si="556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50"/>
        <v>0</v>
      </c>
      <c r="AD2075" s="196">
        <f t="shared" si="551"/>
        <v>0</v>
      </c>
      <c r="AE2075" s="196">
        <f t="shared" si="552"/>
        <v>0</v>
      </c>
      <c r="AF2075" s="2">
        <f t="shared" si="553"/>
        <v>0</v>
      </c>
      <c r="AG2075" s="2">
        <f t="shared" si="554"/>
        <v>0</v>
      </c>
    </row>
    <row r="2076" spans="1:33">
      <c r="A2076" s="20" t="s">
        <v>2011</v>
      </c>
      <c r="B2076" s="150"/>
      <c r="C2076" s="21" t="s">
        <v>711</v>
      </c>
      <c r="D2076" s="109" t="s">
        <v>13207</v>
      </c>
      <c r="E2076" s="109"/>
      <c r="F2076" s="391" t="s">
        <v>15176</v>
      </c>
      <c r="G2076" s="23" t="s">
        <v>13214</v>
      </c>
      <c r="H2076" s="23"/>
      <c r="I2076" s="23"/>
      <c r="J2076" s="23"/>
      <c r="K2076" s="23"/>
      <c r="L2076" s="350"/>
      <c r="M2076" s="351"/>
      <c r="N2076" s="267">
        <f t="shared" si="555"/>
        <v>0</v>
      </c>
      <c r="O2076" s="268">
        <f t="shared" si="556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79"/>
      <c r="AB2076" s="238"/>
      <c r="AC2076" s="196">
        <f t="shared" si="550"/>
        <v>0</v>
      </c>
      <c r="AD2076" s="196">
        <f t="shared" si="551"/>
        <v>0</v>
      </c>
      <c r="AE2076" s="196">
        <f t="shared" si="552"/>
        <v>0</v>
      </c>
      <c r="AF2076" s="2">
        <f t="shared" si="553"/>
        <v>0</v>
      </c>
      <c r="AG2076" s="2">
        <f t="shared" si="554"/>
        <v>0</v>
      </c>
    </row>
    <row r="2077" spans="1:33">
      <c r="A2077" s="20" t="s">
        <v>2006</v>
      </c>
      <c r="B2077" s="161"/>
      <c r="C2077" s="21" t="s">
        <v>15179</v>
      </c>
      <c r="D2077" s="109" t="s">
        <v>15180</v>
      </c>
      <c r="E2077" s="109"/>
      <c r="F2077" s="391" t="s">
        <v>15176</v>
      </c>
      <c r="G2077" s="23"/>
      <c r="H2077" s="23"/>
      <c r="I2077" s="23"/>
      <c r="J2077" s="23"/>
      <c r="K2077" s="23"/>
      <c r="L2077" s="350"/>
      <c r="M2077" s="351"/>
      <c r="N2077" s="267">
        <f t="shared" si="555"/>
        <v>0</v>
      </c>
      <c r="O2077" s="268">
        <f t="shared" si="556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79"/>
      <c r="AB2077" s="238"/>
      <c r="AC2077" s="196">
        <f t="shared" si="550"/>
        <v>0</v>
      </c>
      <c r="AD2077" s="196">
        <f t="shared" si="551"/>
        <v>0</v>
      </c>
      <c r="AE2077" s="196">
        <f t="shared" si="552"/>
        <v>0</v>
      </c>
      <c r="AF2077" s="2">
        <f t="shared" si="553"/>
        <v>0</v>
      </c>
      <c r="AG2077" s="2">
        <f t="shared" si="554"/>
        <v>0</v>
      </c>
    </row>
    <row r="2078" spans="1:33">
      <c r="A2078" s="20" t="s">
        <v>2010</v>
      </c>
      <c r="B2078" s="150"/>
      <c r="C2078" s="21" t="s">
        <v>711</v>
      </c>
      <c r="D2078" s="109" t="s">
        <v>15181</v>
      </c>
      <c r="E2078" s="109"/>
      <c r="F2078" s="391" t="s">
        <v>15176</v>
      </c>
      <c r="G2078" s="23" t="s">
        <v>13214</v>
      </c>
      <c r="H2078" s="23" t="s">
        <v>14026</v>
      </c>
      <c r="I2078" s="23"/>
      <c r="J2078" s="23"/>
      <c r="K2078" s="23"/>
      <c r="L2078" s="350"/>
      <c r="M2078" s="351"/>
      <c r="N2078" s="267">
        <f t="shared" si="555"/>
        <v>0</v>
      </c>
      <c r="O2078" s="268">
        <f t="shared" si="556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39"/>
      <c r="AB2078" s="238"/>
      <c r="AC2078" s="196">
        <f t="shared" si="550"/>
        <v>0</v>
      </c>
      <c r="AD2078" s="196">
        <f t="shared" si="551"/>
        <v>0</v>
      </c>
      <c r="AE2078" s="196">
        <f t="shared" si="552"/>
        <v>0</v>
      </c>
      <c r="AF2078" s="2">
        <f t="shared" si="553"/>
        <v>0</v>
      </c>
      <c r="AG2078" s="2">
        <f t="shared" si="554"/>
        <v>0</v>
      </c>
    </row>
    <row r="2079" spans="1:33">
      <c r="A2079" s="20" t="s">
        <v>2013</v>
      </c>
      <c r="B2079" s="161"/>
      <c r="C2079" s="21" t="s">
        <v>303</v>
      </c>
      <c r="D2079" s="109" t="s">
        <v>15182</v>
      </c>
      <c r="E2079" s="109"/>
      <c r="F2079" s="391" t="s">
        <v>15183</v>
      </c>
      <c r="G2079" s="23"/>
      <c r="H2079" s="23"/>
      <c r="I2079" s="23"/>
      <c r="J2079" s="23"/>
      <c r="K2079" s="23"/>
      <c r="L2079" s="350"/>
      <c r="M2079" s="351"/>
      <c r="N2079" s="267">
        <f t="shared" si="555"/>
        <v>0</v>
      </c>
      <c r="O2079" s="268">
        <f t="shared" si="556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50"/>
        <v>0</v>
      </c>
      <c r="AD2079" s="196">
        <f t="shared" si="551"/>
        <v>0</v>
      </c>
      <c r="AE2079" s="196">
        <f t="shared" si="552"/>
        <v>0</v>
      </c>
      <c r="AF2079" s="2">
        <f t="shared" si="553"/>
        <v>0</v>
      </c>
      <c r="AG2079" s="2">
        <f t="shared" si="554"/>
        <v>0</v>
      </c>
    </row>
    <row r="2080" spans="1:33">
      <c r="A2080" s="20" t="s">
        <v>2014</v>
      </c>
      <c r="B2080" s="161"/>
      <c r="C2080" s="21" t="s">
        <v>303</v>
      </c>
      <c r="D2080" s="109" t="s">
        <v>13207</v>
      </c>
      <c r="E2080" s="109" t="s">
        <v>13971</v>
      </c>
      <c r="F2080" s="391" t="s">
        <v>15183</v>
      </c>
      <c r="G2080" s="23" t="s">
        <v>13972</v>
      </c>
      <c r="H2080" s="23" t="s">
        <v>14059</v>
      </c>
      <c r="I2080" s="23"/>
      <c r="J2080" s="23"/>
      <c r="K2080" s="23"/>
      <c r="L2080" s="350">
        <v>0</v>
      </c>
      <c r="M2080" s="351" t="s">
        <v>7787</v>
      </c>
      <c r="N2080" s="267">
        <f t="shared" si="555"/>
        <v>0</v>
      </c>
      <c r="O2080" s="268">
        <f t="shared" si="556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50"/>
        <v>0</v>
      </c>
      <c r="AD2080" s="196">
        <f t="shared" si="551"/>
        <v>0</v>
      </c>
      <c r="AE2080" s="196">
        <f t="shared" si="552"/>
        <v>0</v>
      </c>
      <c r="AF2080" s="2">
        <f t="shared" si="553"/>
        <v>0</v>
      </c>
      <c r="AG2080" s="2">
        <f t="shared" si="554"/>
        <v>0</v>
      </c>
    </row>
    <row r="2081" spans="1:33">
      <c r="A2081" s="20" t="s">
        <v>2015</v>
      </c>
      <c r="B2081" s="150"/>
      <c r="C2081" s="21" t="s">
        <v>303</v>
      </c>
      <c r="D2081" s="109" t="s">
        <v>13232</v>
      </c>
      <c r="E2081" s="109"/>
      <c r="F2081" s="391" t="s">
        <v>15183</v>
      </c>
      <c r="G2081" s="23"/>
      <c r="H2081" s="23"/>
      <c r="I2081" s="23"/>
      <c r="J2081" s="23"/>
      <c r="K2081" s="23"/>
      <c r="L2081" s="350"/>
      <c r="M2081" s="351"/>
      <c r="N2081" s="267">
        <f t="shared" si="555"/>
        <v>0</v>
      </c>
      <c r="O2081" s="268">
        <f t="shared" si="556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si="550"/>
        <v>0</v>
      </c>
      <c r="AD2081" s="196">
        <f t="shared" si="551"/>
        <v>0</v>
      </c>
      <c r="AE2081" s="196">
        <f t="shared" si="552"/>
        <v>0</v>
      </c>
      <c r="AF2081" s="2">
        <f t="shared" si="553"/>
        <v>0</v>
      </c>
      <c r="AG2081" s="2">
        <f t="shared" si="554"/>
        <v>0</v>
      </c>
    </row>
    <row r="2082" spans="1:33">
      <c r="A2082" s="20" t="s">
        <v>2016</v>
      </c>
      <c r="B2082" s="150"/>
      <c r="C2082" s="21" t="s">
        <v>304</v>
      </c>
      <c r="D2082" s="109" t="s">
        <v>14038</v>
      </c>
      <c r="E2082" s="109"/>
      <c r="F2082" s="391" t="s">
        <v>15184</v>
      </c>
      <c r="G2082" s="23"/>
      <c r="H2082" s="23"/>
      <c r="I2082" s="23"/>
      <c r="J2082" s="23"/>
      <c r="K2082" s="23"/>
      <c r="L2082" s="350"/>
      <c r="M2082" s="351"/>
      <c r="N2082" s="267">
        <f t="shared" si="555"/>
        <v>0</v>
      </c>
      <c r="O2082" s="268">
        <f t="shared" si="556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si="550"/>
        <v>0</v>
      </c>
      <c r="AD2082" s="196">
        <f t="shared" si="551"/>
        <v>0</v>
      </c>
      <c r="AE2082" s="196">
        <f t="shared" si="552"/>
        <v>0</v>
      </c>
      <c r="AF2082" s="2">
        <f t="shared" si="553"/>
        <v>0</v>
      </c>
      <c r="AG2082" s="2">
        <f t="shared" si="554"/>
        <v>0</v>
      </c>
    </row>
    <row r="2083" spans="1:33">
      <c r="A2083" s="20" t="s">
        <v>2017</v>
      </c>
      <c r="B2083" s="150"/>
      <c r="C2083" s="21" t="s">
        <v>305</v>
      </c>
      <c r="D2083" s="109" t="s">
        <v>14038</v>
      </c>
      <c r="E2083" s="109"/>
      <c r="F2083" s="391" t="s">
        <v>15185</v>
      </c>
      <c r="G2083" s="23"/>
      <c r="H2083" s="23"/>
      <c r="I2083" s="23"/>
      <c r="J2083" s="23"/>
      <c r="K2083" s="23"/>
      <c r="L2083" s="350"/>
      <c r="M2083" s="351"/>
      <c r="N2083" s="267">
        <f t="shared" si="555"/>
        <v>0</v>
      </c>
      <c r="O2083" s="268">
        <f t="shared" si="556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ref="AC2083:AC2146" si="559">SUM(P2083:AA2083)</f>
        <v>0</v>
      </c>
      <c r="AD2083" s="196">
        <f t="shared" ref="AD2083:AD2146" si="560">SUM(P2083:AB2083)</f>
        <v>0</v>
      </c>
      <c r="AE2083" s="196">
        <f t="shared" ref="AE2083:AE2146" si="561">SUM(AC2083-AD2083)</f>
        <v>0</v>
      </c>
      <c r="AF2083" s="2">
        <f t="shared" ref="AF2083:AF2146" si="562">+AC2083</f>
        <v>0</v>
      </c>
      <c r="AG2083" s="2">
        <f t="shared" ref="AG2083:AG2146" si="563">+AC2083-AF2083</f>
        <v>0</v>
      </c>
    </row>
    <row r="2084" spans="1:33">
      <c r="A2084" s="20" t="s">
        <v>2021</v>
      </c>
      <c r="B2084" s="161"/>
      <c r="C2084" s="21" t="s">
        <v>306</v>
      </c>
      <c r="D2084" s="109" t="s">
        <v>14004</v>
      </c>
      <c r="E2084" s="109" t="s">
        <v>13203</v>
      </c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5"/>
        <v>0</v>
      </c>
      <c r="O2084" s="268">
        <f t="shared" si="556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9"/>
        <v>0</v>
      </c>
      <c r="AD2084" s="196">
        <f t="shared" si="560"/>
        <v>0</v>
      </c>
      <c r="AE2084" s="196">
        <f t="shared" si="561"/>
        <v>0</v>
      </c>
      <c r="AF2084" s="2">
        <f t="shared" si="562"/>
        <v>0</v>
      </c>
      <c r="AG2084" s="2">
        <f t="shared" si="563"/>
        <v>0</v>
      </c>
    </row>
    <row r="2085" spans="1:33">
      <c r="A2085" s="20" t="s">
        <v>2022</v>
      </c>
      <c r="B2085" s="150"/>
      <c r="C2085" s="21" t="s">
        <v>306</v>
      </c>
      <c r="D2085" s="109" t="s">
        <v>14004</v>
      </c>
      <c r="E2085" s="109" t="s">
        <v>13210</v>
      </c>
      <c r="F2085" s="391" t="s">
        <v>15186</v>
      </c>
      <c r="G2085" s="23"/>
      <c r="H2085" s="23"/>
      <c r="I2085" s="23"/>
      <c r="J2085" s="23"/>
      <c r="K2085" s="23"/>
      <c r="L2085" s="350"/>
      <c r="M2085" s="351"/>
      <c r="N2085" s="267">
        <f t="shared" si="555"/>
        <v>0</v>
      </c>
      <c r="O2085" s="268">
        <f t="shared" si="556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9"/>
        <v>0</v>
      </c>
      <c r="AD2085" s="196">
        <f t="shared" si="560"/>
        <v>0</v>
      </c>
      <c r="AE2085" s="196">
        <f t="shared" si="561"/>
        <v>0</v>
      </c>
      <c r="AF2085" s="2">
        <f t="shared" si="562"/>
        <v>0</v>
      </c>
      <c r="AG2085" s="2">
        <f t="shared" si="563"/>
        <v>0</v>
      </c>
    </row>
    <row r="2086" spans="1:33">
      <c r="A2086" s="20" t="s">
        <v>2018</v>
      </c>
      <c r="B2086" s="161"/>
      <c r="C2086" s="21" t="s">
        <v>306</v>
      </c>
      <c r="D2086" s="109" t="s">
        <v>14038</v>
      </c>
      <c r="E2086" s="109"/>
      <c r="F2086" s="391" t="s">
        <v>15186</v>
      </c>
      <c r="G2086" s="23"/>
      <c r="H2086" s="23"/>
      <c r="I2086" s="23"/>
      <c r="J2086" s="23"/>
      <c r="K2086" s="23"/>
      <c r="L2086" s="350"/>
      <c r="M2086" s="351"/>
      <c r="N2086" s="267">
        <f t="shared" si="555"/>
        <v>0</v>
      </c>
      <c r="O2086" s="268">
        <f t="shared" si="556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7"/>
      <c r="Z2086" s="237"/>
      <c r="AA2086" s="279"/>
      <c r="AB2086" s="238"/>
      <c r="AC2086" s="196">
        <f t="shared" si="559"/>
        <v>0</v>
      </c>
      <c r="AD2086" s="196">
        <f t="shared" si="560"/>
        <v>0</v>
      </c>
      <c r="AE2086" s="196">
        <f t="shared" si="561"/>
        <v>0</v>
      </c>
      <c r="AF2086" s="2">
        <f t="shared" si="562"/>
        <v>0</v>
      </c>
      <c r="AG2086" s="2">
        <f t="shared" si="563"/>
        <v>0</v>
      </c>
    </row>
    <row r="2087" spans="1:33">
      <c r="A2087" s="20" t="s">
        <v>2023</v>
      </c>
      <c r="B2087" s="150"/>
      <c r="C2087" s="21" t="s">
        <v>309</v>
      </c>
      <c r="D2087" s="109" t="s">
        <v>14004</v>
      </c>
      <c r="E2087" s="109" t="s">
        <v>13210</v>
      </c>
      <c r="F2087" s="391" t="s">
        <v>15187</v>
      </c>
      <c r="G2087" s="23"/>
      <c r="H2087" s="23"/>
      <c r="I2087" s="23"/>
      <c r="J2087" s="23"/>
      <c r="K2087" s="23"/>
      <c r="L2087" s="350"/>
      <c r="M2087" s="351"/>
      <c r="N2087" s="267">
        <f t="shared" si="555"/>
        <v>0</v>
      </c>
      <c r="O2087" s="268">
        <f t="shared" si="556"/>
        <v>0</v>
      </c>
      <c r="P2087" s="239"/>
      <c r="Q2087" s="239"/>
      <c r="R2087" s="239"/>
      <c r="S2087" s="239"/>
      <c r="T2087" s="239"/>
      <c r="U2087" s="240"/>
      <c r="V2087" s="240"/>
      <c r="W2087" s="240"/>
      <c r="X2087" s="278"/>
      <c r="Y2087" s="237"/>
      <c r="Z2087" s="237"/>
      <c r="AA2087" s="279"/>
      <c r="AB2087" s="238"/>
      <c r="AC2087" s="196">
        <f t="shared" si="559"/>
        <v>0</v>
      </c>
      <c r="AD2087" s="196">
        <f t="shared" si="560"/>
        <v>0</v>
      </c>
      <c r="AE2087" s="196">
        <f t="shared" si="561"/>
        <v>0</v>
      </c>
      <c r="AF2087" s="2">
        <f t="shared" si="562"/>
        <v>0</v>
      </c>
      <c r="AG2087" s="2">
        <f t="shared" si="563"/>
        <v>0</v>
      </c>
    </row>
    <row r="2088" spans="1:33">
      <c r="A2088" s="20" t="s">
        <v>2024</v>
      </c>
      <c r="B2088" s="162" t="s">
        <v>5846</v>
      </c>
      <c r="C2088" s="21" t="s">
        <v>309</v>
      </c>
      <c r="D2088" s="109" t="s">
        <v>13228</v>
      </c>
      <c r="E2088" s="109" t="s">
        <v>13969</v>
      </c>
      <c r="F2088" s="391" t="s">
        <v>15188</v>
      </c>
      <c r="G2088" s="23" t="s">
        <v>14363</v>
      </c>
      <c r="H2088" s="23" t="s">
        <v>13231</v>
      </c>
      <c r="I2088" s="23" t="s">
        <v>15189</v>
      </c>
      <c r="J2088" s="23" t="s">
        <v>15190</v>
      </c>
      <c r="K2088" s="23" t="s">
        <v>13350</v>
      </c>
      <c r="L2088" s="375" t="s">
        <v>7787</v>
      </c>
      <c r="M2088" s="351"/>
      <c r="N2088" s="267">
        <f t="shared" si="555"/>
        <v>0</v>
      </c>
      <c r="O2088" s="268">
        <f t="shared" si="556"/>
        <v>0</v>
      </c>
      <c r="P2088" s="239"/>
      <c r="Q2088" s="239"/>
      <c r="R2088" s="239"/>
      <c r="S2088" s="239"/>
      <c r="T2088" s="239"/>
      <c r="U2088" s="240"/>
      <c r="V2088" s="240"/>
      <c r="W2088" s="240"/>
      <c r="X2088" s="278"/>
      <c r="Y2088" s="239"/>
      <c r="Z2088" s="237"/>
      <c r="AA2088" s="279"/>
      <c r="AB2088" s="238"/>
      <c r="AC2088" s="196">
        <f t="shared" si="559"/>
        <v>0</v>
      </c>
      <c r="AD2088" s="196">
        <f t="shared" si="560"/>
        <v>0</v>
      </c>
      <c r="AE2088" s="196">
        <f t="shared" si="561"/>
        <v>0</v>
      </c>
      <c r="AF2088" s="2">
        <f t="shared" si="562"/>
        <v>0</v>
      </c>
      <c r="AG2088" s="2">
        <f t="shared" si="563"/>
        <v>0</v>
      </c>
    </row>
    <row r="2089" spans="1:33">
      <c r="A2089" s="20" t="s">
        <v>27065</v>
      </c>
      <c r="B2089" s="162"/>
      <c r="C2089" s="21" t="s">
        <v>309</v>
      </c>
      <c r="D2089" s="109" t="s">
        <v>3101</v>
      </c>
      <c r="E2089" s="109" t="s">
        <v>22402</v>
      </c>
      <c r="F2089" s="391" t="s">
        <v>4658</v>
      </c>
      <c r="G2089" s="23" t="s">
        <v>13215</v>
      </c>
      <c r="H2089" s="23"/>
      <c r="I2089" s="23"/>
      <c r="J2089" s="23"/>
      <c r="K2089" s="23"/>
      <c r="L2089" s="375" t="s">
        <v>7787</v>
      </c>
      <c r="M2089" s="351"/>
      <c r="N2089" s="267">
        <f t="shared" ref="N2089" si="564">SUM(L2089:M2089)</f>
        <v>0</v>
      </c>
      <c r="O2089" s="268">
        <f t="shared" ref="O2089" si="565">SUM(P2089:Z2089)</f>
        <v>100</v>
      </c>
      <c r="P2089" s="239"/>
      <c r="Q2089" s="239">
        <f>150-50</f>
        <v>100</v>
      </c>
      <c r="R2089" s="239"/>
      <c r="S2089" s="239"/>
      <c r="T2089" s="239"/>
      <c r="U2089" s="240"/>
      <c r="V2089" s="240"/>
      <c r="W2089" s="240"/>
      <c r="X2089" s="278"/>
      <c r="Y2089" s="239"/>
      <c r="Z2089" s="237"/>
      <c r="AA2089" s="279"/>
      <c r="AB2089" s="238" t="s">
        <v>24905</v>
      </c>
      <c r="AC2089" s="196">
        <f t="shared" si="559"/>
        <v>100</v>
      </c>
      <c r="AD2089" s="196">
        <f t="shared" si="560"/>
        <v>100</v>
      </c>
      <c r="AE2089" s="196">
        <f t="shared" si="561"/>
        <v>0</v>
      </c>
      <c r="AF2089" s="2">
        <f t="shared" si="562"/>
        <v>100</v>
      </c>
      <c r="AG2089" s="2">
        <f t="shared" si="563"/>
        <v>0</v>
      </c>
    </row>
    <row r="2090" spans="1:33">
      <c r="A2090" s="20" t="s">
        <v>2025</v>
      </c>
      <c r="B2090" s="161"/>
      <c r="C2090" s="21" t="s">
        <v>309</v>
      </c>
      <c r="D2090" s="109" t="s">
        <v>13228</v>
      </c>
      <c r="E2090" s="109" t="s">
        <v>13971</v>
      </c>
      <c r="F2090" s="391" t="s">
        <v>15188</v>
      </c>
      <c r="G2090" s="23" t="s">
        <v>14361</v>
      </c>
      <c r="H2090" s="23"/>
      <c r="I2090" s="23"/>
      <c r="J2090" s="23"/>
      <c r="K2090" s="23"/>
      <c r="L2090" s="350"/>
      <c r="M2090" s="351" t="s">
        <v>7787</v>
      </c>
      <c r="N2090" s="267">
        <f t="shared" si="555"/>
        <v>0</v>
      </c>
      <c r="O2090" s="268">
        <f t="shared" si="556"/>
        <v>0</v>
      </c>
      <c r="P2090" s="239"/>
      <c r="Q2090" s="239"/>
      <c r="R2090" s="239"/>
      <c r="S2090" s="239"/>
      <c r="T2090" s="239"/>
      <c r="U2090" s="240"/>
      <c r="V2090" s="240"/>
      <c r="W2090" s="240"/>
      <c r="X2090" s="278"/>
      <c r="Y2090" s="237"/>
      <c r="Z2090" s="237"/>
      <c r="AA2090" s="279"/>
      <c r="AB2090" s="238"/>
      <c r="AC2090" s="196">
        <f t="shared" si="559"/>
        <v>0</v>
      </c>
      <c r="AD2090" s="196">
        <f t="shared" si="560"/>
        <v>0</v>
      </c>
      <c r="AE2090" s="196">
        <f t="shared" si="561"/>
        <v>0</v>
      </c>
      <c r="AF2090" s="2">
        <f t="shared" si="562"/>
        <v>0</v>
      </c>
      <c r="AG2090" s="2">
        <f t="shared" si="563"/>
        <v>0</v>
      </c>
    </row>
    <row r="2091" spans="1:33">
      <c r="A2091" s="20" t="s">
        <v>2027</v>
      </c>
      <c r="B2091" s="150"/>
      <c r="C2091" s="21" t="s">
        <v>309</v>
      </c>
      <c r="D2091" s="109" t="s">
        <v>13207</v>
      </c>
      <c r="E2091" s="109" t="s">
        <v>25762</v>
      </c>
      <c r="F2091" s="391" t="s">
        <v>15191</v>
      </c>
      <c r="G2091" s="23" t="s">
        <v>13972</v>
      </c>
      <c r="H2091" s="23" t="s">
        <v>14056</v>
      </c>
      <c r="I2091" s="23" t="s">
        <v>14533</v>
      </c>
      <c r="J2091" s="23" t="s">
        <v>15627</v>
      </c>
      <c r="K2091" s="23" t="s">
        <v>22604</v>
      </c>
      <c r="L2091" s="375" t="s">
        <v>7787</v>
      </c>
      <c r="M2091" s="351" t="s">
        <v>7787</v>
      </c>
      <c r="N2091" s="267">
        <f t="shared" si="555"/>
        <v>0</v>
      </c>
      <c r="O2091" s="268">
        <f t="shared" si="556"/>
        <v>9950</v>
      </c>
      <c r="P2091" s="239"/>
      <c r="Q2091" s="237"/>
      <c r="R2091" s="237"/>
      <c r="S2091" s="239"/>
      <c r="T2091" s="239">
        <f>4000-500-1500+4000-300+8000-3700-2250+2200</f>
        <v>9950</v>
      </c>
      <c r="U2091" s="240"/>
      <c r="V2091" s="240"/>
      <c r="W2091" s="240"/>
      <c r="X2091" s="278"/>
      <c r="Y2091" s="237"/>
      <c r="Z2091" s="237"/>
      <c r="AA2091" s="239"/>
      <c r="AB2091" s="238"/>
      <c r="AC2091" s="196">
        <f t="shared" si="559"/>
        <v>9950</v>
      </c>
      <c r="AD2091" s="196">
        <f t="shared" si="560"/>
        <v>9950</v>
      </c>
      <c r="AE2091" s="196">
        <f t="shared" si="561"/>
        <v>0</v>
      </c>
      <c r="AF2091" s="2">
        <f t="shared" si="562"/>
        <v>9950</v>
      </c>
      <c r="AG2091" s="2">
        <f t="shared" si="563"/>
        <v>0</v>
      </c>
    </row>
    <row r="2092" spans="1:33">
      <c r="A2092" s="20" t="s">
        <v>23165</v>
      </c>
      <c r="B2092" s="150"/>
      <c r="C2092" s="21" t="s">
        <v>309</v>
      </c>
      <c r="D2092" s="109" t="s">
        <v>23193</v>
      </c>
      <c r="E2092" s="109" t="s">
        <v>25275</v>
      </c>
      <c r="F2092" s="391" t="s">
        <v>23192</v>
      </c>
      <c r="G2092" s="23" t="s">
        <v>6774</v>
      </c>
      <c r="H2092" s="23"/>
      <c r="I2092" s="23"/>
      <c r="J2092" s="23"/>
      <c r="K2092" s="23"/>
      <c r="L2092" s="375" t="s">
        <v>7787</v>
      </c>
      <c r="M2092" s="351" t="s">
        <v>7787</v>
      </c>
      <c r="N2092" s="267">
        <f t="shared" si="555"/>
        <v>0</v>
      </c>
      <c r="O2092" s="268">
        <f t="shared" si="556"/>
        <v>0</v>
      </c>
      <c r="P2092" s="239"/>
      <c r="Q2092" s="243"/>
      <c r="R2092" s="239"/>
      <c r="S2092" s="239"/>
      <c r="T2092" s="239"/>
      <c r="U2092" s="240"/>
      <c r="V2092" s="240"/>
      <c r="W2092" s="240"/>
      <c r="X2092" s="278"/>
      <c r="Y2092" s="243"/>
      <c r="Z2092" s="237"/>
      <c r="AA2092" s="247"/>
      <c r="AB2092" s="238"/>
      <c r="AC2092" s="196">
        <f t="shared" si="559"/>
        <v>0</v>
      </c>
      <c r="AD2092" s="196">
        <f t="shared" si="560"/>
        <v>0</v>
      </c>
      <c r="AE2092" s="196">
        <f t="shared" si="561"/>
        <v>0</v>
      </c>
      <c r="AF2092" s="2">
        <f t="shared" si="562"/>
        <v>0</v>
      </c>
      <c r="AG2092" s="2">
        <f t="shared" si="563"/>
        <v>0</v>
      </c>
    </row>
    <row r="2093" spans="1:33">
      <c r="A2093" s="20" t="s">
        <v>2026</v>
      </c>
      <c r="B2093" s="150"/>
      <c r="C2093" s="21" t="s">
        <v>309</v>
      </c>
      <c r="D2093" s="109" t="s">
        <v>15192</v>
      </c>
      <c r="E2093" s="109"/>
      <c r="F2093" s="391" t="s">
        <v>15193</v>
      </c>
      <c r="G2093" s="23" t="s">
        <v>15194</v>
      </c>
      <c r="H2093" s="23" t="s">
        <v>13218</v>
      </c>
      <c r="I2093" s="23" t="s">
        <v>14026</v>
      </c>
      <c r="J2093" s="23" t="s">
        <v>13236</v>
      </c>
      <c r="K2093" s="23"/>
      <c r="L2093" s="375" t="s">
        <v>7787</v>
      </c>
      <c r="M2093" s="351" t="s">
        <v>7787</v>
      </c>
      <c r="N2093" s="267">
        <f t="shared" si="555"/>
        <v>0</v>
      </c>
      <c r="O2093" s="268">
        <f t="shared" si="556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9"/>
      <c r="Z2093" s="237"/>
      <c r="AA2093" s="279"/>
      <c r="AB2093" s="238"/>
      <c r="AC2093" s="196">
        <f t="shared" si="559"/>
        <v>0</v>
      </c>
      <c r="AD2093" s="196">
        <f t="shared" si="560"/>
        <v>0</v>
      </c>
      <c r="AE2093" s="196">
        <f t="shared" si="561"/>
        <v>0</v>
      </c>
      <c r="AF2093" s="2">
        <f t="shared" si="562"/>
        <v>0</v>
      </c>
      <c r="AG2093" s="2">
        <f t="shared" si="563"/>
        <v>0</v>
      </c>
    </row>
    <row r="2094" spans="1:33">
      <c r="A2094" s="20" t="s">
        <v>2030</v>
      </c>
      <c r="B2094" s="150"/>
      <c r="C2094" s="21" t="s">
        <v>310</v>
      </c>
      <c r="D2094" s="109" t="s">
        <v>14041</v>
      </c>
      <c r="E2094" s="109" t="s">
        <v>14043</v>
      </c>
      <c r="F2094" s="391" t="s">
        <v>15195</v>
      </c>
      <c r="G2094" s="23"/>
      <c r="H2094" s="23"/>
      <c r="I2094" s="23"/>
      <c r="J2094" s="23"/>
      <c r="K2094" s="23"/>
      <c r="L2094" s="375" t="s">
        <v>7787</v>
      </c>
      <c r="M2094" s="351" t="s">
        <v>7787</v>
      </c>
      <c r="N2094" s="267">
        <f t="shared" si="555"/>
        <v>0</v>
      </c>
      <c r="O2094" s="268">
        <f t="shared" si="556"/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7"/>
      <c r="Z2094" s="237"/>
      <c r="AA2094" s="279"/>
      <c r="AB2094" s="238"/>
      <c r="AC2094" s="196">
        <f t="shared" si="559"/>
        <v>0</v>
      </c>
      <c r="AD2094" s="196">
        <f t="shared" si="560"/>
        <v>0</v>
      </c>
      <c r="AE2094" s="196">
        <f t="shared" si="561"/>
        <v>0</v>
      </c>
      <c r="AF2094" s="2">
        <f t="shared" si="562"/>
        <v>0</v>
      </c>
      <c r="AG2094" s="2">
        <f t="shared" si="563"/>
        <v>0</v>
      </c>
    </row>
    <row r="2095" spans="1:33">
      <c r="A2095" s="20" t="s">
        <v>13109</v>
      </c>
      <c r="B2095" s="150"/>
      <c r="C2095" s="21" t="s">
        <v>310</v>
      </c>
      <c r="D2095" s="109" t="s">
        <v>3101</v>
      </c>
      <c r="E2095" s="109"/>
      <c r="F2095" s="391" t="s">
        <v>17185</v>
      </c>
      <c r="G2095" s="23" t="s">
        <v>15379</v>
      </c>
      <c r="H2095" s="23" t="s">
        <v>17186</v>
      </c>
      <c r="I2095" s="23"/>
      <c r="J2095" s="23"/>
      <c r="K2095" s="23"/>
      <c r="L2095" s="375" t="s">
        <v>7787</v>
      </c>
      <c r="M2095" s="351" t="s">
        <v>7787</v>
      </c>
      <c r="N2095" s="267">
        <f t="shared" si="555"/>
        <v>0</v>
      </c>
      <c r="O2095" s="268">
        <f t="shared" si="556"/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7"/>
      <c r="Z2095" s="237"/>
      <c r="AA2095" s="279"/>
      <c r="AB2095" s="238"/>
      <c r="AC2095" s="196">
        <f t="shared" si="559"/>
        <v>0</v>
      </c>
      <c r="AD2095" s="196">
        <f t="shared" si="560"/>
        <v>0</v>
      </c>
      <c r="AE2095" s="196">
        <f t="shared" si="561"/>
        <v>0</v>
      </c>
      <c r="AF2095" s="2">
        <f t="shared" si="562"/>
        <v>0</v>
      </c>
      <c r="AG2095" s="2">
        <f t="shared" si="563"/>
        <v>0</v>
      </c>
    </row>
    <row r="2096" spans="1:33">
      <c r="A2096" s="20" t="s">
        <v>2028</v>
      </c>
      <c r="B2096" s="150"/>
      <c r="C2096" s="21" t="s">
        <v>310</v>
      </c>
      <c r="D2096" s="109" t="s">
        <v>14177</v>
      </c>
      <c r="E2096" s="109"/>
      <c r="F2096" s="391" t="s">
        <v>15195</v>
      </c>
      <c r="G2096" s="23" t="s">
        <v>14090</v>
      </c>
      <c r="H2096" s="23"/>
      <c r="I2096" s="23"/>
      <c r="J2096" s="23"/>
      <c r="K2096" s="23"/>
      <c r="L2096" s="375" t="s">
        <v>7787</v>
      </c>
      <c r="M2096" s="351" t="s">
        <v>7787</v>
      </c>
      <c r="N2096" s="267">
        <f t="shared" ref="N2096:N2160" si="566">SUM(L2096:M2096)</f>
        <v>0</v>
      </c>
      <c r="O2096" s="268">
        <f t="shared" ref="O2096:O2160" si="567">SUM(P2096:Z2096)</f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9"/>
      <c r="Z2096" s="237"/>
      <c r="AA2096" s="279"/>
      <c r="AB2096" s="238"/>
      <c r="AC2096" s="196">
        <f t="shared" si="559"/>
        <v>0</v>
      </c>
      <c r="AD2096" s="196">
        <f t="shared" si="560"/>
        <v>0</v>
      </c>
      <c r="AE2096" s="196">
        <f t="shared" si="561"/>
        <v>0</v>
      </c>
      <c r="AF2096" s="2">
        <f t="shared" si="562"/>
        <v>0</v>
      </c>
      <c r="AG2096" s="2">
        <f t="shared" si="563"/>
        <v>0</v>
      </c>
    </row>
    <row r="2097" spans="1:33">
      <c r="A2097" s="20" t="s">
        <v>2029</v>
      </c>
      <c r="B2097" s="150"/>
      <c r="C2097" s="21" t="s">
        <v>310</v>
      </c>
      <c r="D2097" s="109" t="s">
        <v>14179</v>
      </c>
      <c r="E2097" s="109"/>
      <c r="F2097" s="391" t="s">
        <v>15195</v>
      </c>
      <c r="G2097" s="23" t="s">
        <v>13546</v>
      </c>
      <c r="H2097" s="23"/>
      <c r="I2097" s="23"/>
      <c r="J2097" s="23"/>
      <c r="K2097" s="23"/>
      <c r="L2097" s="375"/>
      <c r="M2097" s="351" t="s">
        <v>7787</v>
      </c>
      <c r="N2097" s="267">
        <f t="shared" si="566"/>
        <v>0</v>
      </c>
      <c r="O2097" s="268">
        <f t="shared" si="567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9"/>
        <v>0</v>
      </c>
      <c r="AD2097" s="196">
        <f t="shared" si="560"/>
        <v>0</v>
      </c>
      <c r="AE2097" s="196">
        <f t="shared" si="561"/>
        <v>0</v>
      </c>
      <c r="AF2097" s="2">
        <f t="shared" si="562"/>
        <v>0</v>
      </c>
      <c r="AG2097" s="2">
        <f t="shared" si="563"/>
        <v>0</v>
      </c>
    </row>
    <row r="2098" spans="1:33">
      <c r="A2098" s="20" t="s">
        <v>2031</v>
      </c>
      <c r="B2098" s="150"/>
      <c r="C2098" s="21" t="s">
        <v>311</v>
      </c>
      <c r="D2098" s="109" t="s">
        <v>13228</v>
      </c>
      <c r="E2098" s="109"/>
      <c r="F2098" s="391" t="s">
        <v>15196</v>
      </c>
      <c r="G2098" s="23" t="s">
        <v>13975</v>
      </c>
      <c r="H2098" s="23"/>
      <c r="I2098" s="23"/>
      <c r="J2098" s="23"/>
      <c r="K2098" s="23"/>
      <c r="L2098" s="350"/>
      <c r="M2098" s="351"/>
      <c r="N2098" s="267">
        <f t="shared" si="566"/>
        <v>0</v>
      </c>
      <c r="O2098" s="268">
        <f t="shared" si="567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9"/>
        <v>0</v>
      </c>
      <c r="AD2098" s="196">
        <f t="shared" si="560"/>
        <v>0</v>
      </c>
      <c r="AE2098" s="196">
        <f t="shared" si="561"/>
        <v>0</v>
      </c>
      <c r="AF2098" s="2">
        <f t="shared" si="562"/>
        <v>0</v>
      </c>
      <c r="AG2098" s="2">
        <f t="shared" si="563"/>
        <v>0</v>
      </c>
    </row>
    <row r="2099" spans="1:33">
      <c r="A2099" s="20" t="s">
        <v>2034</v>
      </c>
      <c r="B2099" s="150"/>
      <c r="C2099" s="21" t="s">
        <v>312</v>
      </c>
      <c r="D2099" s="109" t="s">
        <v>14004</v>
      </c>
      <c r="E2099" s="109" t="s">
        <v>13210</v>
      </c>
      <c r="F2099" s="391" t="s">
        <v>15197</v>
      </c>
      <c r="G2099" s="23"/>
      <c r="H2099" s="23"/>
      <c r="I2099" s="23"/>
      <c r="J2099" s="23"/>
      <c r="K2099" s="23"/>
      <c r="L2099" s="350"/>
      <c r="M2099" s="351"/>
      <c r="N2099" s="267">
        <f t="shared" si="566"/>
        <v>0</v>
      </c>
      <c r="O2099" s="268">
        <f t="shared" si="567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9"/>
        <v>0</v>
      </c>
      <c r="AD2099" s="196">
        <f t="shared" si="560"/>
        <v>0</v>
      </c>
      <c r="AE2099" s="196">
        <f t="shared" si="561"/>
        <v>0</v>
      </c>
      <c r="AF2099" s="2">
        <f t="shared" si="562"/>
        <v>0</v>
      </c>
      <c r="AG2099" s="2">
        <f t="shared" si="563"/>
        <v>0</v>
      </c>
    </row>
    <row r="2100" spans="1:33">
      <c r="A2100" s="20" t="s">
        <v>2032</v>
      </c>
      <c r="B2100" s="150"/>
      <c r="C2100" s="21" t="s">
        <v>15198</v>
      </c>
      <c r="D2100" s="109" t="s">
        <v>13228</v>
      </c>
      <c r="E2100" s="109"/>
      <c r="F2100" s="391" t="s">
        <v>15197</v>
      </c>
      <c r="G2100" s="23" t="s">
        <v>13986</v>
      </c>
      <c r="H2100" s="23"/>
      <c r="I2100" s="23"/>
      <c r="J2100" s="23"/>
      <c r="K2100" s="23"/>
      <c r="L2100" s="375" t="s">
        <v>7787</v>
      </c>
      <c r="M2100" s="351" t="s">
        <v>7787</v>
      </c>
      <c r="N2100" s="267">
        <f t="shared" si="566"/>
        <v>0</v>
      </c>
      <c r="O2100" s="268">
        <f t="shared" si="567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9"/>
        <v>0</v>
      </c>
      <c r="AD2100" s="196">
        <f t="shared" si="560"/>
        <v>0</v>
      </c>
      <c r="AE2100" s="196">
        <f t="shared" si="561"/>
        <v>0</v>
      </c>
      <c r="AF2100" s="2">
        <f t="shared" si="562"/>
        <v>0</v>
      </c>
      <c r="AG2100" s="2">
        <f t="shared" si="563"/>
        <v>0</v>
      </c>
    </row>
    <row r="2101" spans="1:33">
      <c r="A2101" s="20" t="s">
        <v>2033</v>
      </c>
      <c r="B2101" s="150"/>
      <c r="C2101" s="21" t="s">
        <v>312</v>
      </c>
      <c r="D2101" s="109" t="s">
        <v>13232</v>
      </c>
      <c r="E2101" s="109"/>
      <c r="F2101" s="391" t="s">
        <v>15197</v>
      </c>
      <c r="G2101" s="23"/>
      <c r="H2101" s="23"/>
      <c r="I2101" s="23"/>
      <c r="J2101" s="23"/>
      <c r="K2101" s="23"/>
      <c r="L2101" s="350"/>
      <c r="M2101" s="351"/>
      <c r="N2101" s="267">
        <f t="shared" si="566"/>
        <v>0</v>
      </c>
      <c r="O2101" s="268">
        <f t="shared" si="567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9"/>
        <v>0</v>
      </c>
      <c r="AD2101" s="196">
        <f t="shared" si="560"/>
        <v>0</v>
      </c>
      <c r="AE2101" s="196">
        <f t="shared" si="561"/>
        <v>0</v>
      </c>
      <c r="AF2101" s="2">
        <f t="shared" si="562"/>
        <v>0</v>
      </c>
      <c r="AG2101" s="2">
        <f t="shared" si="563"/>
        <v>0</v>
      </c>
    </row>
    <row r="2102" spans="1:33">
      <c r="A2102" s="20" t="s">
        <v>2035</v>
      </c>
      <c r="B2102" s="150"/>
      <c r="C2102" s="21" t="s">
        <v>15199</v>
      </c>
      <c r="D2102" s="109" t="s">
        <v>14038</v>
      </c>
      <c r="E2102" s="109"/>
      <c r="F2102" s="391" t="s">
        <v>15200</v>
      </c>
      <c r="G2102" s="23"/>
      <c r="H2102" s="23"/>
      <c r="I2102" s="23"/>
      <c r="J2102" s="23"/>
      <c r="K2102" s="23"/>
      <c r="L2102" s="350"/>
      <c r="M2102" s="351"/>
      <c r="N2102" s="267">
        <f t="shared" si="566"/>
        <v>0</v>
      </c>
      <c r="O2102" s="268">
        <f t="shared" si="567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9"/>
        <v>0</v>
      </c>
      <c r="AD2102" s="196">
        <f t="shared" si="560"/>
        <v>0</v>
      </c>
      <c r="AE2102" s="196">
        <f t="shared" si="561"/>
        <v>0</v>
      </c>
      <c r="AF2102" s="2">
        <f t="shared" si="562"/>
        <v>0</v>
      </c>
      <c r="AG2102" s="2">
        <f t="shared" si="563"/>
        <v>0</v>
      </c>
    </row>
    <row r="2103" spans="1:33">
      <c r="A2103" s="20" t="s">
        <v>2036</v>
      </c>
      <c r="B2103" s="161"/>
      <c r="C2103" s="21" t="s">
        <v>313</v>
      </c>
      <c r="D2103" s="109" t="s">
        <v>14038</v>
      </c>
      <c r="E2103" s="109"/>
      <c r="F2103" s="391" t="s">
        <v>15201</v>
      </c>
      <c r="G2103" s="23"/>
      <c r="H2103" s="23"/>
      <c r="I2103" s="23"/>
      <c r="J2103" s="23"/>
      <c r="K2103" s="23"/>
      <c r="L2103" s="350"/>
      <c r="M2103" s="351"/>
      <c r="N2103" s="267">
        <f t="shared" si="566"/>
        <v>0</v>
      </c>
      <c r="O2103" s="268">
        <f t="shared" si="567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9"/>
        <v>0</v>
      </c>
      <c r="AD2103" s="196">
        <f t="shared" si="560"/>
        <v>0</v>
      </c>
      <c r="AE2103" s="196">
        <f t="shared" si="561"/>
        <v>0</v>
      </c>
      <c r="AF2103" s="2">
        <f t="shared" si="562"/>
        <v>0</v>
      </c>
      <c r="AG2103" s="2">
        <f t="shared" si="563"/>
        <v>0</v>
      </c>
    </row>
    <row r="2104" spans="1:33">
      <c r="A2104" s="20" t="s">
        <v>2037</v>
      </c>
      <c r="B2104" s="150"/>
      <c r="C2104" s="21" t="s">
        <v>313</v>
      </c>
      <c r="D2104" s="109" t="s">
        <v>14038</v>
      </c>
      <c r="E2104" s="109"/>
      <c r="F2104" s="391" t="s">
        <v>15200</v>
      </c>
      <c r="G2104" s="23"/>
      <c r="H2104" s="23"/>
      <c r="I2104" s="23"/>
      <c r="J2104" s="23"/>
      <c r="K2104" s="23"/>
      <c r="L2104" s="350"/>
      <c r="M2104" s="351"/>
      <c r="N2104" s="267">
        <f t="shared" si="566"/>
        <v>0</v>
      </c>
      <c r="O2104" s="268">
        <f t="shared" si="567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9"/>
        <v>0</v>
      </c>
      <c r="AD2104" s="196">
        <f t="shared" si="560"/>
        <v>0</v>
      </c>
      <c r="AE2104" s="196">
        <f t="shared" si="561"/>
        <v>0</v>
      </c>
      <c r="AF2104" s="2">
        <f t="shared" si="562"/>
        <v>0</v>
      </c>
      <c r="AG2104" s="2">
        <f t="shared" si="563"/>
        <v>0</v>
      </c>
    </row>
    <row r="2105" spans="1:33">
      <c r="A2105" s="20" t="s">
        <v>2038</v>
      </c>
      <c r="B2105" s="150"/>
      <c r="C2105" s="21" t="s">
        <v>313</v>
      </c>
      <c r="D2105" s="109" t="s">
        <v>14038</v>
      </c>
      <c r="E2105" s="109"/>
      <c r="F2105" s="391" t="s">
        <v>15202</v>
      </c>
      <c r="G2105" s="23"/>
      <c r="H2105" s="23"/>
      <c r="I2105" s="23"/>
      <c r="J2105" s="23"/>
      <c r="K2105" s="23"/>
      <c r="L2105" s="350"/>
      <c r="M2105" s="351"/>
      <c r="N2105" s="267">
        <f t="shared" si="566"/>
        <v>0</v>
      </c>
      <c r="O2105" s="268">
        <f t="shared" si="567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9"/>
        <v>0</v>
      </c>
      <c r="AD2105" s="196">
        <f t="shared" si="560"/>
        <v>0</v>
      </c>
      <c r="AE2105" s="196">
        <f t="shared" si="561"/>
        <v>0</v>
      </c>
      <c r="AF2105" s="2">
        <f t="shared" si="562"/>
        <v>0</v>
      </c>
      <c r="AG2105" s="2">
        <f t="shared" si="563"/>
        <v>0</v>
      </c>
    </row>
    <row r="2106" spans="1:33">
      <c r="A2106" s="20" t="s">
        <v>2039</v>
      </c>
      <c r="B2106" s="150"/>
      <c r="C2106" s="21" t="s">
        <v>313</v>
      </c>
      <c r="D2106" s="109" t="s">
        <v>14038</v>
      </c>
      <c r="E2106" s="109"/>
      <c r="F2106" s="391" t="s">
        <v>15203</v>
      </c>
      <c r="G2106" s="23"/>
      <c r="H2106" s="23"/>
      <c r="I2106" s="23"/>
      <c r="J2106" s="23"/>
      <c r="K2106" s="23"/>
      <c r="L2106" s="350"/>
      <c r="M2106" s="351"/>
      <c r="N2106" s="267">
        <f t="shared" si="566"/>
        <v>0</v>
      </c>
      <c r="O2106" s="268">
        <f t="shared" si="567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9"/>
        <v>0</v>
      </c>
      <c r="AD2106" s="196">
        <f t="shared" si="560"/>
        <v>0</v>
      </c>
      <c r="AE2106" s="196">
        <f t="shared" si="561"/>
        <v>0</v>
      </c>
      <c r="AF2106" s="2">
        <f t="shared" si="562"/>
        <v>0</v>
      </c>
      <c r="AG2106" s="2">
        <f t="shared" si="563"/>
        <v>0</v>
      </c>
    </row>
    <row r="2107" spans="1:33">
      <c r="A2107" s="20" t="s">
        <v>2040</v>
      </c>
      <c r="B2107" s="150"/>
      <c r="C2107" s="21" t="s">
        <v>807</v>
      </c>
      <c r="D2107" s="109" t="s">
        <v>14038</v>
      </c>
      <c r="E2107" s="109"/>
      <c r="F2107" s="391" t="s">
        <v>4669</v>
      </c>
      <c r="G2107" s="23"/>
      <c r="H2107" s="23"/>
      <c r="I2107" s="23"/>
      <c r="J2107" s="23"/>
      <c r="K2107" s="23"/>
      <c r="L2107" s="350"/>
      <c r="M2107" s="351"/>
      <c r="N2107" s="267">
        <f t="shared" si="566"/>
        <v>0</v>
      </c>
      <c r="O2107" s="268">
        <f t="shared" si="567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9"/>
        <v>0</v>
      </c>
      <c r="AD2107" s="196">
        <f t="shared" si="560"/>
        <v>0</v>
      </c>
      <c r="AE2107" s="196">
        <f t="shared" si="561"/>
        <v>0</v>
      </c>
      <c r="AF2107" s="2">
        <f t="shared" si="562"/>
        <v>0</v>
      </c>
      <c r="AG2107" s="2">
        <f t="shared" si="563"/>
        <v>0</v>
      </c>
    </row>
    <row r="2108" spans="1:33">
      <c r="A2108" s="20" t="s">
        <v>2041</v>
      </c>
      <c r="B2108" s="150"/>
      <c r="C2108" s="21" t="s">
        <v>807</v>
      </c>
      <c r="D2108" s="109" t="s">
        <v>14038</v>
      </c>
      <c r="E2108" s="109"/>
      <c r="F2108" s="391" t="s">
        <v>15204</v>
      </c>
      <c r="G2108" s="23"/>
      <c r="H2108" s="23"/>
      <c r="I2108" s="23"/>
      <c r="J2108" s="23"/>
      <c r="K2108" s="23"/>
      <c r="L2108" s="350"/>
      <c r="M2108" s="351"/>
      <c r="N2108" s="267">
        <f t="shared" si="566"/>
        <v>0</v>
      </c>
      <c r="O2108" s="268">
        <f t="shared" si="567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9"/>
        <v>0</v>
      </c>
      <c r="AD2108" s="196">
        <f t="shared" si="560"/>
        <v>0</v>
      </c>
      <c r="AE2108" s="196">
        <f t="shared" si="561"/>
        <v>0</v>
      </c>
      <c r="AF2108" s="2">
        <f t="shared" si="562"/>
        <v>0</v>
      </c>
      <c r="AG2108" s="2">
        <f t="shared" si="563"/>
        <v>0</v>
      </c>
    </row>
    <row r="2109" spans="1:33">
      <c r="A2109" s="20" t="s">
        <v>2042</v>
      </c>
      <c r="B2109" s="150"/>
      <c r="C2109" s="21" t="s">
        <v>314</v>
      </c>
      <c r="D2109" s="109" t="s">
        <v>14038</v>
      </c>
      <c r="E2109" s="109"/>
      <c r="F2109" s="391" t="s">
        <v>15205</v>
      </c>
      <c r="G2109" s="23"/>
      <c r="H2109" s="23"/>
      <c r="I2109" s="23"/>
      <c r="J2109" s="23"/>
      <c r="K2109" s="23"/>
      <c r="L2109" s="350"/>
      <c r="M2109" s="351"/>
      <c r="N2109" s="267">
        <f t="shared" si="566"/>
        <v>0</v>
      </c>
      <c r="O2109" s="268">
        <f t="shared" si="567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9"/>
        <v>0</v>
      </c>
      <c r="AD2109" s="196">
        <f t="shared" si="560"/>
        <v>0</v>
      </c>
      <c r="AE2109" s="196">
        <f t="shared" si="561"/>
        <v>0</v>
      </c>
      <c r="AF2109" s="2">
        <f t="shared" si="562"/>
        <v>0</v>
      </c>
      <c r="AG2109" s="2">
        <f t="shared" si="563"/>
        <v>0</v>
      </c>
    </row>
    <row r="2110" spans="1:33">
      <c r="A2110" s="20" t="s">
        <v>2043</v>
      </c>
      <c r="B2110" s="161"/>
      <c r="C2110" s="21" t="s">
        <v>315</v>
      </c>
      <c r="D2110" s="109" t="s">
        <v>13228</v>
      </c>
      <c r="E2110" s="109"/>
      <c r="F2110" s="391" t="s">
        <v>15206</v>
      </c>
      <c r="G2110" s="23" t="s">
        <v>13997</v>
      </c>
      <c r="H2110" s="23"/>
      <c r="I2110" s="23"/>
      <c r="J2110" s="23"/>
      <c r="K2110" s="23"/>
      <c r="L2110" s="350"/>
      <c r="M2110" s="351"/>
      <c r="N2110" s="267">
        <f t="shared" si="566"/>
        <v>0</v>
      </c>
      <c r="O2110" s="268">
        <f t="shared" si="567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9"/>
        <v>0</v>
      </c>
      <c r="AD2110" s="196">
        <f t="shared" si="560"/>
        <v>0</v>
      </c>
      <c r="AE2110" s="196">
        <f t="shared" si="561"/>
        <v>0</v>
      </c>
      <c r="AF2110" s="2">
        <f t="shared" si="562"/>
        <v>0</v>
      </c>
      <c r="AG2110" s="2">
        <f t="shared" si="563"/>
        <v>0</v>
      </c>
    </row>
    <row r="2111" spans="1:33">
      <c r="A2111" s="20" t="s">
        <v>2044</v>
      </c>
      <c r="B2111" s="150"/>
      <c r="C2111" s="21" t="s">
        <v>315</v>
      </c>
      <c r="D2111" s="109" t="s">
        <v>13207</v>
      </c>
      <c r="E2111" s="109"/>
      <c r="F2111" s="391" t="s">
        <v>15206</v>
      </c>
      <c r="G2111" s="23" t="s">
        <v>14215</v>
      </c>
      <c r="H2111" s="23" t="s">
        <v>15207</v>
      </c>
      <c r="I2111" s="23"/>
      <c r="J2111" s="23"/>
      <c r="K2111" s="23"/>
      <c r="L2111" s="350"/>
      <c r="M2111" s="351"/>
      <c r="N2111" s="267">
        <f t="shared" si="566"/>
        <v>0</v>
      </c>
      <c r="O2111" s="268">
        <f t="shared" si="567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9"/>
        <v>0</v>
      </c>
      <c r="AD2111" s="196">
        <f t="shared" si="560"/>
        <v>0</v>
      </c>
      <c r="AE2111" s="196">
        <f t="shared" si="561"/>
        <v>0</v>
      </c>
      <c r="AF2111" s="2">
        <f t="shared" si="562"/>
        <v>0</v>
      </c>
      <c r="AG2111" s="2">
        <f t="shared" si="563"/>
        <v>0</v>
      </c>
    </row>
    <row r="2112" spans="1:33">
      <c r="A2112" s="20" t="s">
        <v>2045</v>
      </c>
      <c r="B2112" s="161"/>
      <c r="C2112" s="21" t="s">
        <v>315</v>
      </c>
      <c r="D2112" s="109" t="s">
        <v>13232</v>
      </c>
      <c r="E2112" s="109"/>
      <c r="F2112" s="391" t="s">
        <v>15206</v>
      </c>
      <c r="G2112" s="23" t="s">
        <v>14059</v>
      </c>
      <c r="H2112" s="23"/>
      <c r="I2112" s="23"/>
      <c r="J2112" s="23"/>
      <c r="K2112" s="23"/>
      <c r="L2112" s="350"/>
      <c r="M2112" s="351"/>
      <c r="N2112" s="267">
        <f t="shared" si="566"/>
        <v>0</v>
      </c>
      <c r="O2112" s="268">
        <f t="shared" si="567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9"/>
        <v>0</v>
      </c>
      <c r="AD2112" s="196">
        <f t="shared" si="560"/>
        <v>0</v>
      </c>
      <c r="AE2112" s="196">
        <f t="shared" si="561"/>
        <v>0</v>
      </c>
      <c r="AF2112" s="2">
        <f t="shared" si="562"/>
        <v>0</v>
      </c>
      <c r="AG2112" s="2">
        <f t="shared" si="563"/>
        <v>0</v>
      </c>
    </row>
    <row r="2113" spans="1:33">
      <c r="A2113" s="20" t="s">
        <v>2046</v>
      </c>
      <c r="B2113" s="150"/>
      <c r="C2113" s="21" t="s">
        <v>316</v>
      </c>
      <c r="D2113" s="109" t="s">
        <v>13207</v>
      </c>
      <c r="E2113" s="109"/>
      <c r="F2113" s="391" t="s">
        <v>15208</v>
      </c>
      <c r="G2113" s="23"/>
      <c r="H2113" s="23"/>
      <c r="I2113" s="23"/>
      <c r="J2113" s="23"/>
      <c r="K2113" s="23"/>
      <c r="L2113" s="350"/>
      <c r="M2113" s="351"/>
      <c r="N2113" s="267">
        <f t="shared" si="566"/>
        <v>0</v>
      </c>
      <c r="O2113" s="268">
        <f t="shared" si="567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9"/>
        <v>0</v>
      </c>
      <c r="AD2113" s="196">
        <f t="shared" si="560"/>
        <v>0</v>
      </c>
      <c r="AE2113" s="196">
        <f t="shared" si="561"/>
        <v>0</v>
      </c>
      <c r="AF2113" s="2">
        <f t="shared" si="562"/>
        <v>0</v>
      </c>
      <c r="AG2113" s="2">
        <f t="shared" si="563"/>
        <v>0</v>
      </c>
    </row>
    <row r="2114" spans="1:33">
      <c r="A2114" s="20" t="s">
        <v>2047</v>
      </c>
      <c r="B2114" s="150"/>
      <c r="C2114" s="21" t="s">
        <v>316</v>
      </c>
      <c r="D2114" s="109" t="s">
        <v>13207</v>
      </c>
      <c r="E2114" s="109"/>
      <c r="F2114" s="391" t="s">
        <v>15208</v>
      </c>
      <c r="G2114" s="23"/>
      <c r="H2114" s="23"/>
      <c r="I2114" s="23"/>
      <c r="J2114" s="23"/>
      <c r="K2114" s="23"/>
      <c r="L2114" s="350"/>
      <c r="M2114" s="351"/>
      <c r="N2114" s="267">
        <f t="shared" si="566"/>
        <v>0</v>
      </c>
      <c r="O2114" s="268">
        <f t="shared" si="567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9"/>
        <v>0</v>
      </c>
      <c r="AD2114" s="196">
        <f t="shared" si="560"/>
        <v>0</v>
      </c>
      <c r="AE2114" s="196">
        <f t="shared" si="561"/>
        <v>0</v>
      </c>
      <c r="AF2114" s="2">
        <f t="shared" si="562"/>
        <v>0</v>
      </c>
      <c r="AG2114" s="2">
        <f t="shared" si="563"/>
        <v>0</v>
      </c>
    </row>
    <row r="2115" spans="1:33">
      <c r="A2115" s="20" t="s">
        <v>2048</v>
      </c>
      <c r="B2115" s="156" t="s">
        <v>15209</v>
      </c>
      <c r="C2115" s="21" t="s">
        <v>317</v>
      </c>
      <c r="D2115" s="109" t="s">
        <v>13228</v>
      </c>
      <c r="E2115" s="109"/>
      <c r="F2115" s="391" t="s">
        <v>15210</v>
      </c>
      <c r="G2115" s="23" t="s">
        <v>13999</v>
      </c>
      <c r="H2115" s="23" t="s">
        <v>13218</v>
      </c>
      <c r="I2115" s="23"/>
      <c r="J2115" s="23"/>
      <c r="K2115" s="23"/>
      <c r="L2115" s="350"/>
      <c r="M2115" s="357" t="s">
        <v>7787</v>
      </c>
      <c r="N2115" s="267">
        <f t="shared" si="566"/>
        <v>0</v>
      </c>
      <c r="O2115" s="268">
        <f t="shared" si="567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9"/>
        <v>0</v>
      </c>
      <c r="AD2115" s="196">
        <f t="shared" si="560"/>
        <v>0</v>
      </c>
      <c r="AE2115" s="196">
        <f t="shared" si="561"/>
        <v>0</v>
      </c>
      <c r="AF2115" s="2">
        <f t="shared" si="562"/>
        <v>0</v>
      </c>
      <c r="AG2115" s="2">
        <f t="shared" si="563"/>
        <v>0</v>
      </c>
    </row>
    <row r="2116" spans="1:33">
      <c r="A2116" s="20" t="s">
        <v>2049</v>
      </c>
      <c r="B2116" s="150"/>
      <c r="C2116" s="21" t="s">
        <v>317</v>
      </c>
      <c r="D2116" s="109" t="s">
        <v>13207</v>
      </c>
      <c r="E2116" s="109"/>
      <c r="F2116" s="391" t="s">
        <v>15210</v>
      </c>
      <c r="G2116" s="23"/>
      <c r="H2116" s="23"/>
      <c r="I2116" s="23"/>
      <c r="J2116" s="23"/>
      <c r="K2116" s="23"/>
      <c r="L2116" s="350"/>
      <c r="M2116" s="351"/>
      <c r="N2116" s="267">
        <f t="shared" si="566"/>
        <v>0</v>
      </c>
      <c r="O2116" s="268">
        <f t="shared" si="567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9"/>
        <v>0</v>
      </c>
      <c r="AD2116" s="196">
        <f t="shared" si="560"/>
        <v>0</v>
      </c>
      <c r="AE2116" s="196">
        <f t="shared" si="561"/>
        <v>0</v>
      </c>
      <c r="AF2116" s="2">
        <f t="shared" si="562"/>
        <v>0</v>
      </c>
      <c r="AG2116" s="2">
        <f t="shared" si="563"/>
        <v>0</v>
      </c>
    </row>
    <row r="2117" spans="1:33">
      <c r="A2117" s="20" t="s">
        <v>2050</v>
      </c>
      <c r="B2117" s="150"/>
      <c r="C2117" s="21" t="s">
        <v>318</v>
      </c>
      <c r="D2117" s="109" t="s">
        <v>14038</v>
      </c>
      <c r="E2117" s="109"/>
      <c r="F2117" s="391" t="s">
        <v>15211</v>
      </c>
      <c r="G2117" s="23"/>
      <c r="H2117" s="23"/>
      <c r="I2117" s="23"/>
      <c r="J2117" s="23"/>
      <c r="K2117" s="23"/>
      <c r="L2117" s="350"/>
      <c r="M2117" s="351"/>
      <c r="N2117" s="267">
        <f t="shared" si="566"/>
        <v>0</v>
      </c>
      <c r="O2117" s="268">
        <f t="shared" si="567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7"/>
      <c r="Z2117" s="237"/>
      <c r="AA2117" s="279"/>
      <c r="AB2117" s="238"/>
      <c r="AC2117" s="196">
        <f t="shared" si="559"/>
        <v>0</v>
      </c>
      <c r="AD2117" s="196">
        <f t="shared" si="560"/>
        <v>0</v>
      </c>
      <c r="AE2117" s="196">
        <f t="shared" si="561"/>
        <v>0</v>
      </c>
      <c r="AF2117" s="2">
        <f t="shared" si="562"/>
        <v>0</v>
      </c>
      <c r="AG2117" s="2">
        <f t="shared" si="563"/>
        <v>0</v>
      </c>
    </row>
    <row r="2118" spans="1:33">
      <c r="A2118" s="20" t="s">
        <v>2053</v>
      </c>
      <c r="B2118" s="150"/>
      <c r="C2118" s="21" t="s">
        <v>319</v>
      </c>
      <c r="D2118" s="109" t="s">
        <v>14004</v>
      </c>
      <c r="E2118" s="109" t="s">
        <v>13210</v>
      </c>
      <c r="F2118" s="391" t="s">
        <v>15212</v>
      </c>
      <c r="G2118" s="23"/>
      <c r="H2118" s="23"/>
      <c r="I2118" s="23"/>
      <c r="J2118" s="23"/>
      <c r="K2118" s="23"/>
      <c r="L2118" s="350"/>
      <c r="M2118" s="351"/>
      <c r="N2118" s="267">
        <f t="shared" si="566"/>
        <v>0</v>
      </c>
      <c r="O2118" s="268">
        <f t="shared" si="567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7"/>
      <c r="Z2118" s="237"/>
      <c r="AA2118" s="279"/>
      <c r="AB2118" s="238"/>
      <c r="AC2118" s="196">
        <f t="shared" si="559"/>
        <v>0</v>
      </c>
      <c r="AD2118" s="196">
        <f t="shared" si="560"/>
        <v>0</v>
      </c>
      <c r="AE2118" s="196">
        <f t="shared" si="561"/>
        <v>0</v>
      </c>
      <c r="AF2118" s="2">
        <f t="shared" si="562"/>
        <v>0</v>
      </c>
      <c r="AG2118" s="2">
        <f t="shared" si="563"/>
        <v>0</v>
      </c>
    </row>
    <row r="2119" spans="1:33">
      <c r="A2119" s="20" t="s">
        <v>2051</v>
      </c>
      <c r="B2119" s="162" t="s">
        <v>5847</v>
      </c>
      <c r="C2119" s="21" t="s">
        <v>319</v>
      </c>
      <c r="D2119" s="109" t="s">
        <v>13228</v>
      </c>
      <c r="E2119" s="109"/>
      <c r="F2119" s="391" t="s">
        <v>15212</v>
      </c>
      <c r="G2119" s="23" t="s">
        <v>13215</v>
      </c>
      <c r="H2119" s="23" t="s">
        <v>13214</v>
      </c>
      <c r="I2119" s="23"/>
      <c r="J2119" s="23"/>
      <c r="K2119" s="23"/>
      <c r="L2119" s="375" t="s">
        <v>7787</v>
      </c>
      <c r="M2119" s="351" t="s">
        <v>7787</v>
      </c>
      <c r="N2119" s="267">
        <f t="shared" si="566"/>
        <v>0</v>
      </c>
      <c r="O2119" s="268">
        <f t="shared" si="567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9"/>
      <c r="Z2119" s="237"/>
      <c r="AA2119" s="279"/>
      <c r="AB2119" s="238"/>
      <c r="AC2119" s="196">
        <f t="shared" si="559"/>
        <v>0</v>
      </c>
      <c r="AD2119" s="196">
        <f t="shared" si="560"/>
        <v>0</v>
      </c>
      <c r="AE2119" s="196">
        <f t="shared" si="561"/>
        <v>0</v>
      </c>
      <c r="AF2119" s="2">
        <f t="shared" si="562"/>
        <v>0</v>
      </c>
      <c r="AG2119" s="2">
        <f t="shared" si="563"/>
        <v>0</v>
      </c>
    </row>
    <row r="2120" spans="1:33">
      <c r="A2120" s="20" t="s">
        <v>2052</v>
      </c>
      <c r="B2120" s="150"/>
      <c r="C2120" s="21" t="s">
        <v>319</v>
      </c>
      <c r="D2120" s="109" t="s">
        <v>13207</v>
      </c>
      <c r="E2120" s="109"/>
      <c r="F2120" s="391" t="s">
        <v>15212</v>
      </c>
      <c r="G2120" s="23"/>
      <c r="H2120" s="23"/>
      <c r="I2120" s="23"/>
      <c r="J2120" s="23"/>
      <c r="K2120" s="23"/>
      <c r="L2120" s="350"/>
      <c r="M2120" s="351"/>
      <c r="N2120" s="267">
        <f t="shared" si="566"/>
        <v>0</v>
      </c>
      <c r="O2120" s="268">
        <f t="shared" si="567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9"/>
        <v>0</v>
      </c>
      <c r="AD2120" s="196">
        <f t="shared" si="560"/>
        <v>0</v>
      </c>
      <c r="AE2120" s="196">
        <f t="shared" si="561"/>
        <v>0</v>
      </c>
      <c r="AF2120" s="2">
        <f t="shared" si="562"/>
        <v>0</v>
      </c>
      <c r="AG2120" s="2">
        <f t="shared" si="563"/>
        <v>0</v>
      </c>
    </row>
    <row r="2121" spans="1:33">
      <c r="A2121" s="20" t="s">
        <v>2057</v>
      </c>
      <c r="B2121" s="150"/>
      <c r="C2121" s="21" t="s">
        <v>320</v>
      </c>
      <c r="D2121" s="109" t="s">
        <v>14041</v>
      </c>
      <c r="E2121" s="109" t="s">
        <v>13994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6"/>
        <v>0</v>
      </c>
      <c r="O2121" s="268">
        <f t="shared" si="567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9"/>
        <v>0</v>
      </c>
      <c r="AD2121" s="196">
        <f t="shared" si="560"/>
        <v>0</v>
      </c>
      <c r="AE2121" s="196">
        <f t="shared" si="561"/>
        <v>0</v>
      </c>
      <c r="AF2121" s="2">
        <f t="shared" si="562"/>
        <v>0</v>
      </c>
      <c r="AG2121" s="2">
        <f t="shared" si="563"/>
        <v>0</v>
      </c>
    </row>
    <row r="2122" spans="1:33">
      <c r="A2122" s="20" t="s">
        <v>2058</v>
      </c>
      <c r="B2122" s="150"/>
      <c r="C2122" s="21" t="s">
        <v>320</v>
      </c>
      <c r="D2122" s="109" t="s">
        <v>14041</v>
      </c>
      <c r="E2122" s="109" t="s">
        <v>13210</v>
      </c>
      <c r="F2122" s="391" t="s">
        <v>15213</v>
      </c>
      <c r="G2122" s="23" t="s">
        <v>7855</v>
      </c>
      <c r="H2122" s="23"/>
      <c r="I2122" s="23"/>
      <c r="J2122" s="23"/>
      <c r="K2122" s="23"/>
      <c r="L2122" s="350"/>
      <c r="M2122" s="351"/>
      <c r="N2122" s="267">
        <f t="shared" si="566"/>
        <v>0</v>
      </c>
      <c r="O2122" s="268">
        <f t="shared" si="567"/>
        <v>0</v>
      </c>
      <c r="P2122" s="239"/>
      <c r="Q2122" s="239"/>
      <c r="R2122" s="239"/>
      <c r="S2122" s="239"/>
      <c r="T2122" s="239"/>
      <c r="U2122" s="240"/>
      <c r="V2122" s="240"/>
      <c r="W2122" s="240"/>
      <c r="X2122" s="278"/>
      <c r="Y2122" s="237"/>
      <c r="Z2122" s="237"/>
      <c r="AA2122" s="279"/>
      <c r="AB2122" s="238"/>
      <c r="AC2122" s="196">
        <f t="shared" si="559"/>
        <v>0</v>
      </c>
      <c r="AD2122" s="196">
        <f t="shared" si="560"/>
        <v>0</v>
      </c>
      <c r="AE2122" s="196">
        <f t="shared" si="561"/>
        <v>0</v>
      </c>
      <c r="AF2122" s="2">
        <f t="shared" si="562"/>
        <v>0</v>
      </c>
      <c r="AG2122" s="2">
        <f t="shared" si="563"/>
        <v>0</v>
      </c>
    </row>
    <row r="2123" spans="1:33">
      <c r="A2123" s="20" t="s">
        <v>2056</v>
      </c>
      <c r="B2123" s="150"/>
      <c r="C2123" s="21" t="s">
        <v>320</v>
      </c>
      <c r="D2123" s="109" t="s">
        <v>14004</v>
      </c>
      <c r="E2123" s="109" t="s">
        <v>13210</v>
      </c>
      <c r="F2123" s="391" t="s">
        <v>15213</v>
      </c>
      <c r="G2123" s="23" t="s">
        <v>7855</v>
      </c>
      <c r="H2123" s="23"/>
      <c r="I2123" s="23"/>
      <c r="J2123" s="23"/>
      <c r="K2123" s="23"/>
      <c r="L2123" s="350"/>
      <c r="M2123" s="351"/>
      <c r="N2123" s="267">
        <f t="shared" si="566"/>
        <v>0</v>
      </c>
      <c r="O2123" s="268">
        <f t="shared" si="567"/>
        <v>0</v>
      </c>
      <c r="P2123" s="239"/>
      <c r="Q2123" s="239"/>
      <c r="R2123" s="239"/>
      <c r="S2123" s="239"/>
      <c r="T2123" s="239"/>
      <c r="U2123" s="240"/>
      <c r="V2123" s="240"/>
      <c r="W2123" s="240"/>
      <c r="X2123" s="278"/>
      <c r="Y2123" s="237"/>
      <c r="Z2123" s="237"/>
      <c r="AA2123" s="279"/>
      <c r="AB2123" s="238"/>
      <c r="AC2123" s="196">
        <f t="shared" si="559"/>
        <v>0</v>
      </c>
      <c r="AD2123" s="196">
        <f t="shared" si="560"/>
        <v>0</v>
      </c>
      <c r="AE2123" s="196">
        <f t="shared" si="561"/>
        <v>0</v>
      </c>
      <c r="AF2123" s="2">
        <f t="shared" si="562"/>
        <v>0</v>
      </c>
      <c r="AG2123" s="2">
        <f t="shared" si="563"/>
        <v>0</v>
      </c>
    </row>
    <row r="2124" spans="1:33">
      <c r="A2124" s="20" t="s">
        <v>2054</v>
      </c>
      <c r="B2124" s="150"/>
      <c r="C2124" s="21" t="s">
        <v>320</v>
      </c>
      <c r="D2124" s="109" t="s">
        <v>13228</v>
      </c>
      <c r="E2124" s="109"/>
      <c r="F2124" s="391" t="s">
        <v>15214</v>
      </c>
      <c r="G2124" s="23" t="s">
        <v>13240</v>
      </c>
      <c r="H2124" s="23" t="s">
        <v>14026</v>
      </c>
      <c r="I2124" s="23" t="s">
        <v>13888</v>
      </c>
      <c r="J2124" s="23" t="s">
        <v>22393</v>
      </c>
      <c r="K2124" s="23" t="s">
        <v>17233</v>
      </c>
      <c r="L2124" s="375" t="s">
        <v>45</v>
      </c>
      <c r="M2124" s="351" t="s">
        <v>45</v>
      </c>
      <c r="N2124" s="267">
        <f t="shared" si="566"/>
        <v>0</v>
      </c>
      <c r="O2124" s="268">
        <f t="shared" si="567"/>
        <v>100</v>
      </c>
      <c r="P2124" s="239"/>
      <c r="Q2124" s="239"/>
      <c r="R2124" s="239"/>
      <c r="S2124" s="239"/>
      <c r="T2124" s="239"/>
      <c r="U2124" s="239">
        <f>1000-300-300-200+500-600+1500-500-300-500+1850-2000+1250-500-400-400</f>
        <v>100</v>
      </c>
      <c r="V2124" s="239"/>
      <c r="W2124" s="240"/>
      <c r="X2124" s="278"/>
      <c r="Y2124" s="237"/>
      <c r="Z2124" s="237"/>
      <c r="AA2124" s="279"/>
      <c r="AB2124" s="238" t="s">
        <v>26182</v>
      </c>
      <c r="AC2124" s="196">
        <f t="shared" si="559"/>
        <v>100</v>
      </c>
      <c r="AD2124" s="196">
        <f t="shared" si="560"/>
        <v>100</v>
      </c>
      <c r="AE2124" s="196">
        <f t="shared" si="561"/>
        <v>0</v>
      </c>
      <c r="AF2124" s="2">
        <f t="shared" si="562"/>
        <v>100</v>
      </c>
      <c r="AG2124" s="2">
        <f t="shared" si="563"/>
        <v>0</v>
      </c>
    </row>
    <row r="2125" spans="1:33">
      <c r="A2125" s="20" t="s">
        <v>2055</v>
      </c>
      <c r="B2125" s="161"/>
      <c r="C2125" s="21" t="s">
        <v>320</v>
      </c>
      <c r="D2125" s="109" t="s">
        <v>13232</v>
      </c>
      <c r="E2125" s="109"/>
      <c r="F2125" s="391" t="s">
        <v>15213</v>
      </c>
      <c r="G2125" s="23" t="s">
        <v>13986</v>
      </c>
      <c r="H2125" s="23"/>
      <c r="I2125" s="23"/>
      <c r="J2125" s="23"/>
      <c r="K2125" s="23"/>
      <c r="L2125" s="350"/>
      <c r="M2125" s="351"/>
      <c r="N2125" s="267">
        <f t="shared" si="566"/>
        <v>0</v>
      </c>
      <c r="O2125" s="268">
        <f t="shared" si="567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37"/>
      <c r="Z2125" s="237"/>
      <c r="AA2125" s="279"/>
      <c r="AB2125" s="238"/>
      <c r="AC2125" s="196">
        <f t="shared" si="559"/>
        <v>0</v>
      </c>
      <c r="AD2125" s="196">
        <f t="shared" si="560"/>
        <v>0</v>
      </c>
      <c r="AE2125" s="196">
        <f t="shared" si="561"/>
        <v>0</v>
      </c>
      <c r="AF2125" s="2">
        <f t="shared" si="562"/>
        <v>0</v>
      </c>
      <c r="AG2125" s="2">
        <f t="shared" si="563"/>
        <v>0</v>
      </c>
    </row>
    <row r="2126" spans="1:33">
      <c r="A2126" s="20" t="s">
        <v>2059</v>
      </c>
      <c r="B2126" s="150"/>
      <c r="C2126" s="21" t="s">
        <v>321</v>
      </c>
      <c r="D2126" s="109" t="s">
        <v>13232</v>
      </c>
      <c r="E2126" s="109"/>
      <c r="F2126" s="391" t="s">
        <v>15215</v>
      </c>
      <c r="G2126" s="23"/>
      <c r="H2126" s="23"/>
      <c r="I2126" s="23"/>
      <c r="J2126" s="23"/>
      <c r="K2126" s="23"/>
      <c r="L2126" s="350"/>
      <c r="M2126" s="351"/>
      <c r="N2126" s="267">
        <f t="shared" si="566"/>
        <v>0</v>
      </c>
      <c r="O2126" s="268">
        <f t="shared" si="567"/>
        <v>0</v>
      </c>
      <c r="P2126" s="239"/>
      <c r="Q2126" s="239"/>
      <c r="R2126" s="239"/>
      <c r="S2126" s="239"/>
      <c r="T2126" s="239"/>
      <c r="U2126" s="240"/>
      <c r="V2126" s="240"/>
      <c r="W2126" s="240"/>
      <c r="X2126" s="278"/>
      <c r="Y2126" s="248"/>
      <c r="Z2126" s="237"/>
      <c r="AA2126" s="279"/>
      <c r="AB2126" s="238"/>
      <c r="AC2126" s="196">
        <f t="shared" si="559"/>
        <v>0</v>
      </c>
      <c r="AD2126" s="196">
        <f t="shared" si="560"/>
        <v>0</v>
      </c>
      <c r="AE2126" s="196">
        <f t="shared" si="561"/>
        <v>0</v>
      </c>
      <c r="AF2126" s="2">
        <f t="shared" si="562"/>
        <v>0</v>
      </c>
      <c r="AG2126" s="2">
        <f t="shared" si="563"/>
        <v>0</v>
      </c>
    </row>
    <row r="2127" spans="1:33">
      <c r="A2127" s="20" t="s">
        <v>2063</v>
      </c>
      <c r="B2127" s="150"/>
      <c r="C2127" s="21" t="s">
        <v>322</v>
      </c>
      <c r="D2127" s="109" t="s">
        <v>14004</v>
      </c>
      <c r="E2127" s="109" t="s">
        <v>13210</v>
      </c>
      <c r="F2127" s="391" t="s">
        <v>15216</v>
      </c>
      <c r="G2127" s="23"/>
      <c r="H2127" s="380"/>
      <c r="I2127" s="23"/>
      <c r="J2127" s="23"/>
      <c r="K2127" s="23"/>
      <c r="L2127" s="350"/>
      <c r="M2127" s="351"/>
      <c r="N2127" s="267">
        <f t="shared" si="566"/>
        <v>0</v>
      </c>
      <c r="O2127" s="268">
        <f t="shared" si="567"/>
        <v>0</v>
      </c>
      <c r="P2127" s="239"/>
      <c r="Q2127" s="239"/>
      <c r="R2127" s="239"/>
      <c r="S2127" s="239"/>
      <c r="T2127" s="239"/>
      <c r="U2127" s="240"/>
      <c r="V2127" s="240"/>
      <c r="W2127" s="240"/>
      <c r="X2127" s="278"/>
      <c r="Y2127" s="248"/>
      <c r="Z2127" s="237"/>
      <c r="AA2127" s="279"/>
      <c r="AB2127" s="238"/>
      <c r="AC2127" s="196">
        <f t="shared" si="559"/>
        <v>0</v>
      </c>
      <c r="AD2127" s="196">
        <f t="shared" si="560"/>
        <v>0</v>
      </c>
      <c r="AE2127" s="196">
        <f t="shared" si="561"/>
        <v>0</v>
      </c>
      <c r="AF2127" s="2">
        <f t="shared" si="562"/>
        <v>0</v>
      </c>
      <c r="AG2127" s="2">
        <f t="shared" si="563"/>
        <v>0</v>
      </c>
    </row>
    <row r="2128" spans="1:33">
      <c r="A2128" s="377" t="s">
        <v>2060</v>
      </c>
      <c r="B2128" s="162"/>
      <c r="C2128" s="213" t="s">
        <v>322</v>
      </c>
      <c r="D2128" s="109" t="s">
        <v>13228</v>
      </c>
      <c r="E2128" s="109" t="s">
        <v>13969</v>
      </c>
      <c r="F2128" s="393" t="s">
        <v>15216</v>
      </c>
      <c r="G2128" s="23" t="s">
        <v>6133</v>
      </c>
      <c r="H2128" s="380" t="s">
        <v>13240</v>
      </c>
      <c r="I2128" s="380"/>
      <c r="J2128" s="23"/>
      <c r="K2128" s="380"/>
      <c r="L2128" s="375">
        <f>1000</f>
        <v>1000</v>
      </c>
      <c r="M2128" s="351" t="s">
        <v>45</v>
      </c>
      <c r="N2128" s="267">
        <f t="shared" si="566"/>
        <v>1000</v>
      </c>
      <c r="O2128" s="268">
        <f t="shared" si="567"/>
        <v>250</v>
      </c>
      <c r="P2128" s="239"/>
      <c r="Q2128" s="248">
        <f>2250-500-750-750</f>
        <v>250</v>
      </c>
      <c r="R2128" s="239"/>
      <c r="S2128" s="239"/>
      <c r="T2128" s="239"/>
      <c r="U2128" s="240"/>
      <c r="V2128" s="239"/>
      <c r="W2128" s="240"/>
      <c r="X2128" s="278"/>
      <c r="Y2128" s="239"/>
      <c r="Z2128" s="240"/>
      <c r="AA2128" s="292"/>
      <c r="AB2128" s="238" t="s">
        <v>27963</v>
      </c>
      <c r="AC2128" s="196">
        <f t="shared" si="559"/>
        <v>250</v>
      </c>
      <c r="AD2128" s="196">
        <f t="shared" si="560"/>
        <v>250</v>
      </c>
      <c r="AE2128" s="196">
        <f t="shared" si="561"/>
        <v>0</v>
      </c>
      <c r="AF2128" s="2">
        <f t="shared" si="562"/>
        <v>250</v>
      </c>
      <c r="AG2128" s="2">
        <f t="shared" si="563"/>
        <v>0</v>
      </c>
    </row>
    <row r="2129" spans="1:33">
      <c r="A2129" s="20" t="s">
        <v>2061</v>
      </c>
      <c r="B2129" s="152"/>
      <c r="C2129" s="21" t="s">
        <v>322</v>
      </c>
      <c r="D2129" s="109" t="s">
        <v>13228</v>
      </c>
      <c r="E2129" s="109" t="s">
        <v>25764</v>
      </c>
      <c r="F2129" s="391" t="s">
        <v>15216</v>
      </c>
      <c r="G2129" s="23" t="s">
        <v>13214</v>
      </c>
      <c r="H2129" s="380" t="s">
        <v>13281</v>
      </c>
      <c r="I2129" s="380" t="s">
        <v>15217</v>
      </c>
      <c r="J2129" s="23" t="s">
        <v>13271</v>
      </c>
      <c r="K2129" s="23"/>
      <c r="L2129" s="375" t="s">
        <v>45</v>
      </c>
      <c r="M2129" s="351" t="s">
        <v>45</v>
      </c>
      <c r="N2129" s="267">
        <f t="shared" si="566"/>
        <v>0</v>
      </c>
      <c r="O2129" s="268">
        <f t="shared" si="567"/>
        <v>0</v>
      </c>
      <c r="P2129" s="239"/>
      <c r="Q2129" s="248"/>
      <c r="R2129" s="239"/>
      <c r="S2129" s="239"/>
      <c r="T2129" s="239"/>
      <c r="U2129" s="240"/>
      <c r="V2129" s="240"/>
      <c r="W2129" s="240"/>
      <c r="X2129" s="278"/>
      <c r="Y2129" s="240"/>
      <c r="Z2129" s="237"/>
      <c r="AA2129" s="279"/>
      <c r="AB2129" s="238"/>
      <c r="AC2129" s="196">
        <f t="shared" si="559"/>
        <v>0</v>
      </c>
      <c r="AD2129" s="196">
        <f t="shared" si="560"/>
        <v>0</v>
      </c>
      <c r="AE2129" s="196">
        <f t="shared" si="561"/>
        <v>0</v>
      </c>
      <c r="AF2129" s="2">
        <f t="shared" si="562"/>
        <v>0</v>
      </c>
      <c r="AG2129" s="2">
        <f t="shared" si="563"/>
        <v>0</v>
      </c>
    </row>
    <row r="2130" spans="1:33">
      <c r="A2130" s="20" t="s">
        <v>27066</v>
      </c>
      <c r="B2130" s="162"/>
      <c r="C2130" s="21" t="s">
        <v>322</v>
      </c>
      <c r="D2130" s="109" t="s">
        <v>4064</v>
      </c>
      <c r="E2130" s="109" t="s">
        <v>26076</v>
      </c>
      <c r="F2130" s="391" t="s">
        <v>26073</v>
      </c>
      <c r="G2130" s="23" t="s">
        <v>25485</v>
      </c>
      <c r="H2130" s="380" t="s">
        <v>26074</v>
      </c>
      <c r="I2130" s="380" t="s">
        <v>26075</v>
      </c>
      <c r="J2130" s="23" t="s">
        <v>6774</v>
      </c>
      <c r="K2130" s="23" t="s">
        <v>27218</v>
      </c>
      <c r="L2130" s="375" t="s">
        <v>7787</v>
      </c>
      <c r="M2130" s="351" t="s">
        <v>7787</v>
      </c>
      <c r="N2130" s="267">
        <f t="shared" ref="N2130" si="568">SUM(L2130:M2130)</f>
        <v>0</v>
      </c>
      <c r="O2130" s="268">
        <f t="shared" ref="O2130" si="569">SUM(P2130:Z2130)</f>
        <v>800</v>
      </c>
      <c r="P2130" s="239"/>
      <c r="Q2130" s="248"/>
      <c r="R2130" s="239"/>
      <c r="S2130" s="239"/>
      <c r="T2130" s="239">
        <f>2000-400-100-200-300-100-100</f>
        <v>800</v>
      </c>
      <c r="U2130" s="240"/>
      <c r="V2130" s="240"/>
      <c r="W2130" s="240"/>
      <c r="X2130" s="278"/>
      <c r="Y2130" s="240"/>
      <c r="Z2130" s="237"/>
      <c r="AA2130" s="279"/>
      <c r="AB2130" s="238" t="s">
        <v>27219</v>
      </c>
      <c r="AC2130" s="196">
        <f t="shared" si="559"/>
        <v>800</v>
      </c>
      <c r="AD2130" s="196">
        <f t="shared" si="560"/>
        <v>800</v>
      </c>
      <c r="AE2130" s="196">
        <f t="shared" si="561"/>
        <v>0</v>
      </c>
      <c r="AF2130" s="2">
        <f t="shared" si="562"/>
        <v>800</v>
      </c>
      <c r="AG2130" s="2">
        <f t="shared" si="563"/>
        <v>0</v>
      </c>
    </row>
    <row r="2131" spans="1:33">
      <c r="A2131" s="20" t="s">
        <v>2062</v>
      </c>
      <c r="B2131" s="150"/>
      <c r="C2131" s="21" t="s">
        <v>322</v>
      </c>
      <c r="D2131" s="109" t="s">
        <v>13207</v>
      </c>
      <c r="E2131" s="109"/>
      <c r="F2131" s="391" t="s">
        <v>15216</v>
      </c>
      <c r="G2131" s="23" t="s">
        <v>13231</v>
      </c>
      <c r="H2131" s="23" t="s">
        <v>15218</v>
      </c>
      <c r="I2131" s="23"/>
      <c r="J2131" s="23"/>
      <c r="K2131" s="23"/>
      <c r="L2131" s="375" t="s">
        <v>7787</v>
      </c>
      <c r="M2131" s="351" t="s">
        <v>7787</v>
      </c>
      <c r="N2131" s="267">
        <f t="shared" si="566"/>
        <v>0</v>
      </c>
      <c r="O2131" s="268">
        <f t="shared" si="567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79"/>
      <c r="AB2131" s="238"/>
      <c r="AC2131" s="196">
        <f t="shared" si="559"/>
        <v>0</v>
      </c>
      <c r="AD2131" s="196">
        <f t="shared" si="560"/>
        <v>0</v>
      </c>
      <c r="AE2131" s="196">
        <f t="shared" si="561"/>
        <v>0</v>
      </c>
      <c r="AF2131" s="2">
        <f t="shared" si="562"/>
        <v>0</v>
      </c>
      <c r="AG2131" s="2">
        <f t="shared" si="563"/>
        <v>0</v>
      </c>
    </row>
    <row r="2132" spans="1:33">
      <c r="A2132" s="20" t="s">
        <v>2064</v>
      </c>
      <c r="B2132" s="150"/>
      <c r="C2132" s="21" t="s">
        <v>323</v>
      </c>
      <c r="D2132" s="109" t="s">
        <v>14004</v>
      </c>
      <c r="E2132" s="109" t="s">
        <v>13210</v>
      </c>
      <c r="F2132" s="391" t="s">
        <v>15219</v>
      </c>
      <c r="G2132" s="23"/>
      <c r="H2132" s="23"/>
      <c r="I2132" s="23"/>
      <c r="J2132" s="23"/>
      <c r="K2132" s="23"/>
      <c r="L2132" s="350"/>
      <c r="M2132" s="357" t="s">
        <v>7787</v>
      </c>
      <c r="N2132" s="267">
        <f t="shared" si="566"/>
        <v>0</v>
      </c>
      <c r="O2132" s="268">
        <f t="shared" si="567"/>
        <v>0</v>
      </c>
      <c r="P2132" s="239"/>
      <c r="Q2132" s="239"/>
      <c r="R2132" s="239"/>
      <c r="S2132" s="239"/>
      <c r="T2132" s="239"/>
      <c r="U2132" s="240"/>
      <c r="V2132" s="240"/>
      <c r="W2132" s="240"/>
      <c r="X2132" s="278"/>
      <c r="Y2132" s="237"/>
      <c r="Z2132" s="237"/>
      <c r="AA2132" s="279"/>
      <c r="AB2132" s="238"/>
      <c r="AC2132" s="196">
        <f t="shared" si="559"/>
        <v>0</v>
      </c>
      <c r="AD2132" s="196">
        <f t="shared" si="560"/>
        <v>0</v>
      </c>
      <c r="AE2132" s="196">
        <f t="shared" si="561"/>
        <v>0</v>
      </c>
      <c r="AF2132" s="2">
        <f t="shared" si="562"/>
        <v>0</v>
      </c>
      <c r="AG2132" s="2">
        <f t="shared" si="563"/>
        <v>0</v>
      </c>
    </row>
    <row r="2133" spans="1:33">
      <c r="A2133" s="20" t="s">
        <v>2065</v>
      </c>
      <c r="B2133" s="150"/>
      <c r="C2133" s="21" t="s">
        <v>323</v>
      </c>
      <c r="D2133" s="109" t="s">
        <v>13228</v>
      </c>
      <c r="E2133" s="109"/>
      <c r="F2133" s="391" t="s">
        <v>15220</v>
      </c>
      <c r="G2133" s="23" t="s">
        <v>13999</v>
      </c>
      <c r="H2133" s="23"/>
      <c r="I2133" s="23"/>
      <c r="J2133" s="23"/>
      <c r="K2133" s="23"/>
      <c r="L2133" s="350"/>
      <c r="M2133" s="351"/>
      <c r="N2133" s="267">
        <f t="shared" si="566"/>
        <v>0</v>
      </c>
      <c r="O2133" s="268">
        <f t="shared" si="567"/>
        <v>0</v>
      </c>
      <c r="P2133" s="239"/>
      <c r="Q2133" s="239"/>
      <c r="R2133" s="239"/>
      <c r="S2133" s="239"/>
      <c r="T2133" s="239"/>
      <c r="U2133" s="240"/>
      <c r="V2133" s="240"/>
      <c r="W2133" s="240"/>
      <c r="X2133" s="278"/>
      <c r="Y2133" s="237"/>
      <c r="Z2133" s="237"/>
      <c r="AA2133" s="285"/>
      <c r="AB2133" s="238"/>
      <c r="AC2133" s="196">
        <f t="shared" si="559"/>
        <v>0</v>
      </c>
      <c r="AD2133" s="196">
        <f t="shared" si="560"/>
        <v>0</v>
      </c>
      <c r="AE2133" s="196">
        <f t="shared" si="561"/>
        <v>0</v>
      </c>
      <c r="AF2133" s="2">
        <f t="shared" si="562"/>
        <v>0</v>
      </c>
      <c r="AG2133" s="2">
        <f t="shared" si="563"/>
        <v>0</v>
      </c>
    </row>
    <row r="2134" spans="1:33">
      <c r="A2134" s="20" t="s">
        <v>2067</v>
      </c>
      <c r="B2134" s="150"/>
      <c r="C2134" s="21" t="s">
        <v>323</v>
      </c>
      <c r="D2134" s="109" t="s">
        <v>13207</v>
      </c>
      <c r="E2134" s="109" t="s">
        <v>15221</v>
      </c>
      <c r="F2134" s="391" t="s">
        <v>15220</v>
      </c>
      <c r="G2134" s="23" t="s">
        <v>14311</v>
      </c>
      <c r="H2134" s="23"/>
      <c r="I2134" s="23"/>
      <c r="J2134" s="23"/>
      <c r="K2134" s="23"/>
      <c r="L2134" s="350"/>
      <c r="M2134" s="351"/>
      <c r="N2134" s="267">
        <f t="shared" si="566"/>
        <v>0</v>
      </c>
      <c r="O2134" s="268">
        <f t="shared" si="567"/>
        <v>0</v>
      </c>
      <c r="P2134" s="237"/>
      <c r="Q2134" s="237"/>
      <c r="R2134" s="237"/>
      <c r="S2134" s="237"/>
      <c r="T2134" s="237"/>
      <c r="U2134" s="240"/>
      <c r="V2134" s="240"/>
      <c r="W2134" s="240"/>
      <c r="X2134" s="278"/>
      <c r="Y2134" s="237"/>
      <c r="Z2134" s="237"/>
      <c r="AA2134" s="237"/>
      <c r="AB2134" s="238"/>
      <c r="AC2134" s="196">
        <f t="shared" si="559"/>
        <v>0</v>
      </c>
      <c r="AD2134" s="196">
        <f t="shared" si="560"/>
        <v>0</v>
      </c>
      <c r="AE2134" s="196">
        <f t="shared" si="561"/>
        <v>0</v>
      </c>
      <c r="AF2134" s="2">
        <f t="shared" si="562"/>
        <v>0</v>
      </c>
      <c r="AG2134" s="2">
        <f t="shared" si="563"/>
        <v>0</v>
      </c>
    </row>
    <row r="2135" spans="1:33">
      <c r="A2135" s="20" t="s">
        <v>2066</v>
      </c>
      <c r="B2135" s="162" t="s">
        <v>5848</v>
      </c>
      <c r="C2135" s="21" t="s">
        <v>323</v>
      </c>
      <c r="D2135" s="109" t="s">
        <v>13207</v>
      </c>
      <c r="E2135" s="109" t="s">
        <v>13969</v>
      </c>
      <c r="F2135" s="391" t="s">
        <v>15220</v>
      </c>
      <c r="G2135" s="23" t="s">
        <v>13215</v>
      </c>
      <c r="H2135" s="23" t="s">
        <v>14020</v>
      </c>
      <c r="I2135" s="23" t="s">
        <v>13972</v>
      </c>
      <c r="J2135" s="23" t="s">
        <v>14002</v>
      </c>
      <c r="K2135" s="23"/>
      <c r="L2135" s="375" t="s">
        <v>45</v>
      </c>
      <c r="M2135" s="351" t="s">
        <v>45</v>
      </c>
      <c r="N2135" s="267">
        <f t="shared" si="566"/>
        <v>0</v>
      </c>
      <c r="O2135" s="268">
        <f t="shared" si="567"/>
        <v>0</v>
      </c>
      <c r="P2135" s="239"/>
      <c r="Q2135" s="239"/>
      <c r="R2135" s="239"/>
      <c r="S2135" s="239"/>
      <c r="T2135" s="239"/>
      <c r="U2135" s="240"/>
      <c r="V2135" s="240"/>
      <c r="W2135" s="240"/>
      <c r="X2135" s="278"/>
      <c r="Y2135" s="237"/>
      <c r="Z2135" s="237"/>
      <c r="AA2135" s="279"/>
      <c r="AB2135" s="238"/>
      <c r="AC2135" s="196">
        <f t="shared" si="559"/>
        <v>0</v>
      </c>
      <c r="AD2135" s="196">
        <f t="shared" si="560"/>
        <v>0</v>
      </c>
      <c r="AE2135" s="196">
        <f t="shared" si="561"/>
        <v>0</v>
      </c>
      <c r="AF2135" s="2">
        <f t="shared" si="562"/>
        <v>0</v>
      </c>
      <c r="AG2135" s="2">
        <f t="shared" si="563"/>
        <v>0</v>
      </c>
    </row>
    <row r="2136" spans="1:33">
      <c r="A2136" s="20" t="s">
        <v>11293</v>
      </c>
      <c r="B2136" s="162"/>
      <c r="C2136" s="21" t="s">
        <v>323</v>
      </c>
      <c r="D2136" s="109" t="s">
        <v>14126</v>
      </c>
      <c r="E2136" s="109" t="s">
        <v>13969</v>
      </c>
      <c r="F2136" s="391" t="s">
        <v>15220</v>
      </c>
      <c r="G2136" s="23" t="s">
        <v>14311</v>
      </c>
      <c r="H2136" s="23"/>
      <c r="I2136" s="23"/>
      <c r="J2136" s="23"/>
      <c r="K2136" s="23"/>
      <c r="L2136" s="375" t="s">
        <v>7787</v>
      </c>
      <c r="M2136" s="351" t="s">
        <v>7787</v>
      </c>
      <c r="N2136" s="267">
        <f t="shared" si="566"/>
        <v>0</v>
      </c>
      <c r="O2136" s="268">
        <f t="shared" si="567"/>
        <v>350</v>
      </c>
      <c r="P2136" s="239"/>
      <c r="Q2136" s="241"/>
      <c r="R2136" s="241"/>
      <c r="S2136" s="241"/>
      <c r="T2136" s="241">
        <f>700-250-100</f>
        <v>350</v>
      </c>
      <c r="U2136" s="240"/>
      <c r="V2136" s="240"/>
      <c r="W2136" s="240"/>
      <c r="X2136" s="278"/>
      <c r="Y2136" s="237"/>
      <c r="Z2136" s="237"/>
      <c r="AA2136" s="279"/>
      <c r="AB2136" s="238" t="s">
        <v>24808</v>
      </c>
      <c r="AC2136" s="196">
        <f t="shared" si="559"/>
        <v>350</v>
      </c>
      <c r="AD2136" s="196">
        <f t="shared" si="560"/>
        <v>350</v>
      </c>
      <c r="AE2136" s="196">
        <f t="shared" si="561"/>
        <v>0</v>
      </c>
      <c r="AF2136" s="2">
        <f t="shared" si="562"/>
        <v>350</v>
      </c>
      <c r="AG2136" s="2">
        <f t="shared" si="563"/>
        <v>0</v>
      </c>
    </row>
    <row r="2137" spans="1:33">
      <c r="A2137" s="20" t="s">
        <v>2068</v>
      </c>
      <c r="B2137" s="150"/>
      <c r="C2137" s="21" t="s">
        <v>324</v>
      </c>
      <c r="D2137" s="109" t="s">
        <v>14038</v>
      </c>
      <c r="E2137" s="109"/>
      <c r="F2137" s="391" t="s">
        <v>15222</v>
      </c>
      <c r="G2137" s="23"/>
      <c r="H2137" s="23"/>
      <c r="I2137" s="23"/>
      <c r="J2137" s="23"/>
      <c r="K2137" s="23"/>
      <c r="L2137" s="350"/>
      <c r="M2137" s="351"/>
      <c r="N2137" s="267">
        <f t="shared" si="566"/>
        <v>0</v>
      </c>
      <c r="O2137" s="268">
        <f t="shared" si="567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9"/>
        <v>0</v>
      </c>
      <c r="AD2137" s="196">
        <f t="shared" si="560"/>
        <v>0</v>
      </c>
      <c r="AE2137" s="196">
        <f t="shared" si="561"/>
        <v>0</v>
      </c>
      <c r="AF2137" s="2">
        <f t="shared" si="562"/>
        <v>0</v>
      </c>
      <c r="AG2137" s="2">
        <f t="shared" si="563"/>
        <v>0</v>
      </c>
    </row>
    <row r="2138" spans="1:33">
      <c r="A2138" s="20" t="s">
        <v>2069</v>
      </c>
      <c r="B2138" s="150"/>
      <c r="C2138" s="21" t="s">
        <v>325</v>
      </c>
      <c r="D2138" s="109" t="s">
        <v>14038</v>
      </c>
      <c r="E2138" s="109"/>
      <c r="F2138" s="391" t="s">
        <v>15223</v>
      </c>
      <c r="G2138" s="23" t="s">
        <v>15224</v>
      </c>
      <c r="H2138" s="23"/>
      <c r="I2138" s="23"/>
      <c r="J2138" s="23"/>
      <c r="K2138" s="23"/>
      <c r="L2138" s="350"/>
      <c r="M2138" s="351"/>
      <c r="N2138" s="267">
        <f t="shared" si="566"/>
        <v>0</v>
      </c>
      <c r="O2138" s="268">
        <f t="shared" si="567"/>
        <v>0</v>
      </c>
      <c r="P2138" s="239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9"/>
        <v>0</v>
      </c>
      <c r="AD2138" s="196">
        <f t="shared" si="560"/>
        <v>0</v>
      </c>
      <c r="AE2138" s="196">
        <f t="shared" si="561"/>
        <v>0</v>
      </c>
      <c r="AF2138" s="2">
        <f t="shared" si="562"/>
        <v>0</v>
      </c>
      <c r="AG2138" s="2">
        <f t="shared" si="563"/>
        <v>0</v>
      </c>
    </row>
    <row r="2139" spans="1:33">
      <c r="A2139" s="20" t="s">
        <v>2070</v>
      </c>
      <c r="B2139" s="150"/>
      <c r="C2139" s="21" t="s">
        <v>326</v>
      </c>
      <c r="D2139" s="109" t="s">
        <v>13228</v>
      </c>
      <c r="E2139" s="109"/>
      <c r="F2139" s="391" t="s">
        <v>15225</v>
      </c>
      <c r="G2139" s="23"/>
      <c r="H2139" s="23"/>
      <c r="I2139" s="23"/>
      <c r="J2139" s="23"/>
      <c r="K2139" s="23"/>
      <c r="L2139" s="350"/>
      <c r="M2139" s="351"/>
      <c r="N2139" s="267">
        <f t="shared" si="566"/>
        <v>0</v>
      </c>
      <c r="O2139" s="268">
        <f t="shared" si="567"/>
        <v>0</v>
      </c>
      <c r="P2139" s="239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9"/>
        <v>0</v>
      </c>
      <c r="AD2139" s="196">
        <f t="shared" si="560"/>
        <v>0</v>
      </c>
      <c r="AE2139" s="196">
        <f t="shared" si="561"/>
        <v>0</v>
      </c>
      <c r="AF2139" s="2">
        <f t="shared" si="562"/>
        <v>0</v>
      </c>
      <c r="AG2139" s="2">
        <f t="shared" si="563"/>
        <v>0</v>
      </c>
    </row>
    <row r="2140" spans="1:33">
      <c r="A2140" s="20" t="s">
        <v>2071</v>
      </c>
      <c r="B2140" s="150"/>
      <c r="C2140" s="21" t="s">
        <v>326</v>
      </c>
      <c r="D2140" s="109" t="s">
        <v>13207</v>
      </c>
      <c r="E2140" s="109" t="s">
        <v>14354</v>
      </c>
      <c r="F2140" s="391" t="s">
        <v>15225</v>
      </c>
      <c r="G2140" s="23" t="s">
        <v>15226</v>
      </c>
      <c r="H2140" s="23"/>
      <c r="I2140" s="23"/>
      <c r="J2140" s="23"/>
      <c r="K2140" s="23"/>
      <c r="L2140" s="350"/>
      <c r="M2140" s="351"/>
      <c r="N2140" s="267">
        <f t="shared" si="566"/>
        <v>0</v>
      </c>
      <c r="O2140" s="268">
        <f t="shared" si="567"/>
        <v>0</v>
      </c>
      <c r="P2140" s="248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9"/>
        <v>0</v>
      </c>
      <c r="AD2140" s="196">
        <f t="shared" si="560"/>
        <v>0</v>
      </c>
      <c r="AE2140" s="196">
        <f t="shared" si="561"/>
        <v>0</v>
      </c>
      <c r="AF2140" s="2">
        <f t="shared" si="562"/>
        <v>0</v>
      </c>
      <c r="AG2140" s="2">
        <f t="shared" si="563"/>
        <v>0</v>
      </c>
    </row>
    <row r="2141" spans="1:33">
      <c r="A2141" s="20" t="s">
        <v>2072</v>
      </c>
      <c r="B2141" s="150"/>
      <c r="C2141" s="21" t="s">
        <v>327</v>
      </c>
      <c r="D2141" s="109" t="s">
        <v>14038</v>
      </c>
      <c r="E2141" s="109"/>
      <c r="F2141" s="391" t="s">
        <v>15227</v>
      </c>
      <c r="G2141" s="23" t="s">
        <v>14263</v>
      </c>
      <c r="H2141" s="23"/>
      <c r="I2141" s="23"/>
      <c r="J2141" s="23"/>
      <c r="K2141" s="23"/>
      <c r="L2141" s="350"/>
      <c r="M2141" s="351"/>
      <c r="N2141" s="267">
        <f t="shared" si="566"/>
        <v>0</v>
      </c>
      <c r="O2141" s="268">
        <f t="shared" si="567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9"/>
        <v>0</v>
      </c>
      <c r="AD2141" s="196">
        <f t="shared" si="560"/>
        <v>0</v>
      </c>
      <c r="AE2141" s="196">
        <f t="shared" si="561"/>
        <v>0</v>
      </c>
      <c r="AF2141" s="2">
        <f t="shared" si="562"/>
        <v>0</v>
      </c>
      <c r="AG2141" s="2">
        <f t="shared" si="563"/>
        <v>0</v>
      </c>
    </row>
    <row r="2142" spans="1:33">
      <c r="A2142" s="20" t="s">
        <v>2073</v>
      </c>
      <c r="B2142" s="150"/>
      <c r="C2142" s="21" t="s">
        <v>327</v>
      </c>
      <c r="D2142" s="109" t="s">
        <v>14038</v>
      </c>
      <c r="E2142" s="109"/>
      <c r="F2142" s="391" t="s">
        <v>15227</v>
      </c>
      <c r="G2142" s="23"/>
      <c r="H2142" s="23"/>
      <c r="I2142" s="23"/>
      <c r="J2142" s="23"/>
      <c r="K2142" s="23"/>
      <c r="L2142" s="350"/>
      <c r="M2142" s="351"/>
      <c r="N2142" s="267">
        <f t="shared" si="566"/>
        <v>0</v>
      </c>
      <c r="O2142" s="268">
        <f t="shared" si="567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9"/>
        <v>0</v>
      </c>
      <c r="AD2142" s="196">
        <f t="shared" si="560"/>
        <v>0</v>
      </c>
      <c r="AE2142" s="196">
        <f t="shared" si="561"/>
        <v>0</v>
      </c>
      <c r="AF2142" s="2">
        <f t="shared" si="562"/>
        <v>0</v>
      </c>
      <c r="AG2142" s="2">
        <f t="shared" si="563"/>
        <v>0</v>
      </c>
    </row>
    <row r="2143" spans="1:33">
      <c r="A2143" s="20" t="s">
        <v>2074</v>
      </c>
      <c r="B2143" s="150"/>
      <c r="C2143" s="21" t="s">
        <v>328</v>
      </c>
      <c r="D2143" s="109" t="s">
        <v>13223</v>
      </c>
      <c r="E2143" s="109"/>
      <c r="F2143" s="391" t="s">
        <v>15228</v>
      </c>
      <c r="G2143" s="23"/>
      <c r="H2143" s="23"/>
      <c r="I2143" s="23"/>
      <c r="J2143" s="23"/>
      <c r="K2143" s="23"/>
      <c r="L2143" s="350"/>
      <c r="M2143" s="351"/>
      <c r="N2143" s="267">
        <f t="shared" si="566"/>
        <v>0</v>
      </c>
      <c r="O2143" s="268">
        <f t="shared" si="567"/>
        <v>0</v>
      </c>
      <c r="P2143" s="239"/>
      <c r="Q2143" s="239"/>
      <c r="R2143" s="239"/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/>
      <c r="AC2143" s="196">
        <f t="shared" si="559"/>
        <v>0</v>
      </c>
      <c r="AD2143" s="196">
        <f t="shared" si="560"/>
        <v>0</v>
      </c>
      <c r="AE2143" s="196">
        <f t="shared" si="561"/>
        <v>0</v>
      </c>
      <c r="AF2143" s="2">
        <f t="shared" si="562"/>
        <v>0</v>
      </c>
      <c r="AG2143" s="2">
        <f t="shared" si="563"/>
        <v>0</v>
      </c>
    </row>
    <row r="2144" spans="1:33">
      <c r="A2144" s="20" t="s">
        <v>2079</v>
      </c>
      <c r="B2144" s="150"/>
      <c r="C2144" s="21" t="s">
        <v>329</v>
      </c>
      <c r="D2144" s="109" t="s">
        <v>14004</v>
      </c>
      <c r="E2144" s="109" t="s">
        <v>13210</v>
      </c>
      <c r="F2144" s="391" t="s">
        <v>15229</v>
      </c>
      <c r="G2144" s="23"/>
      <c r="H2144" s="23"/>
      <c r="I2144" s="23"/>
      <c r="J2144" s="23"/>
      <c r="K2144" s="23"/>
      <c r="L2144" s="350"/>
      <c r="M2144" s="351"/>
      <c r="N2144" s="267">
        <f t="shared" si="566"/>
        <v>0</v>
      </c>
      <c r="O2144" s="268">
        <f t="shared" si="567"/>
        <v>0</v>
      </c>
      <c r="P2144" s="239"/>
      <c r="Q2144" s="239"/>
      <c r="R2144" s="239"/>
      <c r="S2144" s="239"/>
      <c r="T2144" s="239"/>
      <c r="U2144" s="240"/>
      <c r="V2144" s="240"/>
      <c r="W2144" s="240"/>
      <c r="X2144" s="278"/>
      <c r="Y2144" s="237"/>
      <c r="Z2144" s="237"/>
      <c r="AA2144" s="279"/>
      <c r="AB2144" s="238"/>
      <c r="AC2144" s="196">
        <f t="shared" si="559"/>
        <v>0</v>
      </c>
      <c r="AD2144" s="196">
        <f t="shared" si="560"/>
        <v>0</v>
      </c>
      <c r="AE2144" s="196">
        <f t="shared" si="561"/>
        <v>0</v>
      </c>
      <c r="AF2144" s="2">
        <f t="shared" si="562"/>
        <v>0</v>
      </c>
      <c r="AG2144" s="2">
        <f t="shared" si="563"/>
        <v>0</v>
      </c>
    </row>
    <row r="2145" spans="1:33">
      <c r="A2145" s="20" t="s">
        <v>2075</v>
      </c>
      <c r="B2145" s="150"/>
      <c r="C2145" s="21" t="s">
        <v>329</v>
      </c>
      <c r="D2145" s="109" t="s">
        <v>13228</v>
      </c>
      <c r="E2145" s="109"/>
      <c r="F2145" s="391" t="s">
        <v>15229</v>
      </c>
      <c r="G2145" s="23" t="s">
        <v>13226</v>
      </c>
      <c r="H2145" s="23" t="s">
        <v>14044</v>
      </c>
      <c r="I2145" s="23" t="s">
        <v>15230</v>
      </c>
      <c r="J2145" s="23" t="s">
        <v>14100</v>
      </c>
      <c r="K2145" s="23" t="s">
        <v>24207</v>
      </c>
      <c r="L2145" s="375" t="s">
        <v>27687</v>
      </c>
      <c r="M2145" s="351"/>
      <c r="N2145" s="267">
        <f t="shared" si="566"/>
        <v>0</v>
      </c>
      <c r="O2145" s="268">
        <f t="shared" si="567"/>
        <v>3000</v>
      </c>
      <c r="P2145" s="239"/>
      <c r="Q2145" s="239"/>
      <c r="R2145" s="239">
        <f>1100+1050-1000-400-200-300+2150-1000-300-500-500+950+700-1300+1300-1000-500+2450-1000+1300</f>
        <v>3000</v>
      </c>
      <c r="S2145" s="239"/>
      <c r="T2145" s="239"/>
      <c r="U2145" s="240"/>
      <c r="V2145" s="240"/>
      <c r="W2145" s="240"/>
      <c r="X2145" s="278"/>
      <c r="Y2145" s="237"/>
      <c r="Z2145" s="237"/>
      <c r="AA2145" s="279"/>
      <c r="AB2145" s="238" t="s">
        <v>27701</v>
      </c>
      <c r="AC2145" s="196">
        <f t="shared" si="559"/>
        <v>3000</v>
      </c>
      <c r="AD2145" s="196">
        <f t="shared" si="560"/>
        <v>3000</v>
      </c>
      <c r="AE2145" s="196">
        <f t="shared" si="561"/>
        <v>0</v>
      </c>
      <c r="AF2145" s="2">
        <f t="shared" si="562"/>
        <v>3000</v>
      </c>
      <c r="AG2145" s="2">
        <f t="shared" si="563"/>
        <v>0</v>
      </c>
    </row>
    <row r="2146" spans="1:33">
      <c r="A2146" s="20" t="s">
        <v>2076</v>
      </c>
      <c r="B2146" s="150"/>
      <c r="C2146" s="21" t="s">
        <v>329</v>
      </c>
      <c r="D2146" s="109" t="s">
        <v>13228</v>
      </c>
      <c r="E2146" s="109"/>
      <c r="F2146" s="391" t="s">
        <v>15231</v>
      </c>
      <c r="G2146" s="23" t="s">
        <v>14056</v>
      </c>
      <c r="H2146" s="23" t="s">
        <v>15230</v>
      </c>
      <c r="I2146" s="23" t="s">
        <v>14100</v>
      </c>
      <c r="J2146" s="23"/>
      <c r="K2146" s="23"/>
      <c r="L2146" s="375" t="s">
        <v>7787</v>
      </c>
      <c r="M2146" s="351" t="s">
        <v>7787</v>
      </c>
      <c r="N2146" s="267">
        <f t="shared" si="566"/>
        <v>0</v>
      </c>
      <c r="O2146" s="268">
        <f t="shared" si="567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39"/>
      <c r="AB2146" s="238"/>
      <c r="AC2146" s="196">
        <f t="shared" si="559"/>
        <v>0</v>
      </c>
      <c r="AD2146" s="196">
        <f t="shared" si="560"/>
        <v>0</v>
      </c>
      <c r="AE2146" s="196">
        <f t="shared" si="561"/>
        <v>0</v>
      </c>
      <c r="AF2146" s="2">
        <f t="shared" si="562"/>
        <v>0</v>
      </c>
      <c r="AG2146" s="2">
        <f t="shared" si="563"/>
        <v>0</v>
      </c>
    </row>
    <row r="2147" spans="1:33">
      <c r="A2147" s="20" t="s">
        <v>2077</v>
      </c>
      <c r="B2147" s="150"/>
      <c r="C2147" s="21" t="s">
        <v>329</v>
      </c>
      <c r="D2147" s="109" t="s">
        <v>13207</v>
      </c>
      <c r="E2147" s="109"/>
      <c r="F2147" s="391" t="s">
        <v>15229</v>
      </c>
      <c r="G2147" s="23" t="s">
        <v>13231</v>
      </c>
      <c r="H2147" s="23"/>
      <c r="I2147" s="23"/>
      <c r="J2147" s="23"/>
      <c r="K2147" s="23"/>
      <c r="L2147" s="375" t="s">
        <v>7787</v>
      </c>
      <c r="M2147" s="351" t="s">
        <v>7787</v>
      </c>
      <c r="N2147" s="267">
        <f t="shared" si="566"/>
        <v>0</v>
      </c>
      <c r="O2147" s="268">
        <f t="shared" si="567"/>
        <v>0</v>
      </c>
      <c r="P2147" s="239"/>
      <c r="Q2147" s="239"/>
      <c r="R2147" s="239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ref="AC2147:AC2210" si="570">SUM(P2147:AA2147)</f>
        <v>0</v>
      </c>
      <c r="AD2147" s="196">
        <f t="shared" ref="AD2147:AD2210" si="571">SUM(P2147:AB2147)</f>
        <v>0</v>
      </c>
      <c r="AE2147" s="196">
        <f t="shared" ref="AE2147:AE2210" si="572">SUM(AC2147-AD2147)</f>
        <v>0</v>
      </c>
      <c r="AF2147" s="2">
        <f t="shared" ref="AF2147:AF2210" si="573">+AC2147</f>
        <v>0</v>
      </c>
      <c r="AG2147" s="2">
        <f t="shared" ref="AG2147:AG2210" si="574">+AC2147-AF2147</f>
        <v>0</v>
      </c>
    </row>
    <row r="2148" spans="1:33">
      <c r="A2148" s="20" t="s">
        <v>2078</v>
      </c>
      <c r="B2148" s="150"/>
      <c r="C2148" s="21" t="s">
        <v>329</v>
      </c>
      <c r="D2148" s="109" t="s">
        <v>13232</v>
      </c>
      <c r="E2148" s="109"/>
      <c r="F2148" s="391" t="s">
        <v>15229</v>
      </c>
      <c r="G2148" s="23"/>
      <c r="H2148" s="23"/>
      <c r="I2148" s="23"/>
      <c r="J2148" s="23"/>
      <c r="K2148" s="23"/>
      <c r="L2148" s="350"/>
      <c r="M2148" s="351"/>
      <c r="N2148" s="267">
        <f t="shared" si="566"/>
        <v>0</v>
      </c>
      <c r="O2148" s="268">
        <f t="shared" si="567"/>
        <v>0</v>
      </c>
      <c r="P2148" s="239"/>
      <c r="Q2148" s="239"/>
      <c r="R2148" s="239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70"/>
        <v>0</v>
      </c>
      <c r="AD2148" s="196">
        <f t="shared" si="571"/>
        <v>0</v>
      </c>
      <c r="AE2148" s="196">
        <f t="shared" si="572"/>
        <v>0</v>
      </c>
      <c r="AF2148" s="2">
        <f t="shared" si="573"/>
        <v>0</v>
      </c>
      <c r="AG2148" s="2">
        <f t="shared" si="574"/>
        <v>0</v>
      </c>
    </row>
    <row r="2149" spans="1:33">
      <c r="A2149" s="20" t="s">
        <v>2080</v>
      </c>
      <c r="B2149" s="150"/>
      <c r="C2149" s="21" t="s">
        <v>808</v>
      </c>
      <c r="D2149" s="109" t="s">
        <v>13228</v>
      </c>
      <c r="E2149" s="109"/>
      <c r="F2149" s="391" t="s">
        <v>15232</v>
      </c>
      <c r="G2149" s="23" t="s">
        <v>14002</v>
      </c>
      <c r="H2149" s="23"/>
      <c r="I2149" s="23"/>
      <c r="J2149" s="23"/>
      <c r="K2149" s="23"/>
      <c r="L2149" s="350"/>
      <c r="M2149" s="351"/>
      <c r="N2149" s="267">
        <f t="shared" si="566"/>
        <v>0</v>
      </c>
      <c r="O2149" s="268">
        <f t="shared" si="567"/>
        <v>0</v>
      </c>
      <c r="P2149" s="239"/>
      <c r="Q2149" s="239"/>
      <c r="R2149" s="248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70"/>
        <v>0</v>
      </c>
      <c r="AD2149" s="196">
        <f t="shared" si="571"/>
        <v>0</v>
      </c>
      <c r="AE2149" s="196">
        <f t="shared" si="572"/>
        <v>0</v>
      </c>
      <c r="AF2149" s="2">
        <f t="shared" si="573"/>
        <v>0</v>
      </c>
      <c r="AG2149" s="2">
        <f t="shared" si="574"/>
        <v>0</v>
      </c>
    </row>
    <row r="2150" spans="1:33">
      <c r="A2150" s="20" t="s">
        <v>2081</v>
      </c>
      <c r="B2150" s="150"/>
      <c r="C2150" s="21" t="s">
        <v>808</v>
      </c>
      <c r="D2150" s="109" t="s">
        <v>13207</v>
      </c>
      <c r="E2150" s="109"/>
      <c r="F2150" s="391" t="s">
        <v>15232</v>
      </c>
      <c r="G2150" s="23"/>
      <c r="H2150" s="23"/>
      <c r="I2150" s="23"/>
      <c r="J2150" s="23"/>
      <c r="K2150" s="23"/>
      <c r="L2150" s="350"/>
      <c r="M2150" s="351"/>
      <c r="N2150" s="267">
        <f t="shared" si="566"/>
        <v>0</v>
      </c>
      <c r="O2150" s="268">
        <f t="shared" si="567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70"/>
        <v>0</v>
      </c>
      <c r="AD2150" s="196">
        <f t="shared" si="571"/>
        <v>0</v>
      </c>
      <c r="AE2150" s="196">
        <f t="shared" si="572"/>
        <v>0</v>
      </c>
      <c r="AF2150" s="2">
        <f t="shared" si="573"/>
        <v>0</v>
      </c>
      <c r="AG2150" s="2">
        <f t="shared" si="574"/>
        <v>0</v>
      </c>
    </row>
    <row r="2151" spans="1:33">
      <c r="A2151" s="20" t="s">
        <v>2083</v>
      </c>
      <c r="B2151" s="150"/>
      <c r="C2151" s="21" t="s">
        <v>330</v>
      </c>
      <c r="D2151" s="109" t="s">
        <v>14038</v>
      </c>
      <c r="E2151" s="109"/>
      <c r="F2151" s="391" t="s">
        <v>15233</v>
      </c>
      <c r="G2151" s="23"/>
      <c r="H2151" s="23"/>
      <c r="I2151" s="23"/>
      <c r="J2151" s="23"/>
      <c r="K2151" s="23"/>
      <c r="L2151" s="350"/>
      <c r="M2151" s="351"/>
      <c r="N2151" s="267">
        <f t="shared" si="566"/>
        <v>0</v>
      </c>
      <c r="O2151" s="268">
        <f t="shared" si="567"/>
        <v>0</v>
      </c>
      <c r="P2151" s="239"/>
      <c r="Q2151" s="239"/>
      <c r="R2151" s="239"/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/>
      <c r="AC2151" s="196">
        <f t="shared" si="570"/>
        <v>0</v>
      </c>
      <c r="AD2151" s="196">
        <f t="shared" si="571"/>
        <v>0</v>
      </c>
      <c r="AE2151" s="196">
        <f t="shared" si="572"/>
        <v>0</v>
      </c>
      <c r="AF2151" s="2">
        <f t="shared" si="573"/>
        <v>0</v>
      </c>
      <c r="AG2151" s="2">
        <f t="shared" si="574"/>
        <v>0</v>
      </c>
    </row>
    <row r="2152" spans="1:33">
      <c r="A2152" s="20" t="s">
        <v>2084</v>
      </c>
      <c r="B2152" s="150"/>
      <c r="C2152" s="21" t="s">
        <v>331</v>
      </c>
      <c r="D2152" s="109" t="s">
        <v>13228</v>
      </c>
      <c r="E2152" s="109"/>
      <c r="F2152" s="391" t="s">
        <v>15234</v>
      </c>
      <c r="G2152" s="23"/>
      <c r="H2152" s="23"/>
      <c r="I2152" s="23"/>
      <c r="J2152" s="23"/>
      <c r="K2152" s="23"/>
      <c r="L2152" s="350"/>
      <c r="M2152" s="351"/>
      <c r="N2152" s="267">
        <f t="shared" si="566"/>
        <v>0</v>
      </c>
      <c r="O2152" s="268">
        <f t="shared" si="567"/>
        <v>0</v>
      </c>
      <c r="P2152" s="239"/>
      <c r="Q2152" s="239"/>
      <c r="R2152" s="239"/>
      <c r="S2152" s="239"/>
      <c r="T2152" s="239"/>
      <c r="U2152" s="240"/>
      <c r="V2152" s="240"/>
      <c r="W2152" s="240"/>
      <c r="X2152" s="278"/>
      <c r="Y2152" s="237"/>
      <c r="Z2152" s="237"/>
      <c r="AA2152" s="279"/>
      <c r="AB2152" s="238"/>
      <c r="AC2152" s="196">
        <f t="shared" si="570"/>
        <v>0</v>
      </c>
      <c r="AD2152" s="196">
        <f t="shared" si="571"/>
        <v>0</v>
      </c>
      <c r="AE2152" s="196">
        <f t="shared" si="572"/>
        <v>0</v>
      </c>
      <c r="AF2152" s="2">
        <f t="shared" si="573"/>
        <v>0</v>
      </c>
      <c r="AG2152" s="2">
        <f t="shared" si="574"/>
        <v>0</v>
      </c>
    </row>
    <row r="2153" spans="1:33">
      <c r="A2153" s="20" t="s">
        <v>2085</v>
      </c>
      <c r="B2153" s="150"/>
      <c r="C2153" s="21" t="s">
        <v>332</v>
      </c>
      <c r="D2153" s="109" t="s">
        <v>13228</v>
      </c>
      <c r="E2153" s="109"/>
      <c r="F2153" s="391" t="s">
        <v>15235</v>
      </c>
      <c r="G2153" s="23" t="s">
        <v>15379</v>
      </c>
      <c r="H2153" s="23"/>
      <c r="I2153" s="23"/>
      <c r="J2153" s="23"/>
      <c r="K2153" s="23"/>
      <c r="L2153" s="375"/>
      <c r="M2153" s="351"/>
      <c r="N2153" s="267">
        <f t="shared" si="566"/>
        <v>0</v>
      </c>
      <c r="O2153" s="268">
        <f t="shared" si="567"/>
        <v>100</v>
      </c>
      <c r="P2153" s="239"/>
      <c r="Q2153" s="239"/>
      <c r="R2153" s="239">
        <f>1100-1000</f>
        <v>100</v>
      </c>
      <c r="S2153" s="239"/>
      <c r="T2153" s="239"/>
      <c r="U2153" s="240"/>
      <c r="V2153" s="240"/>
      <c r="W2153" s="240"/>
      <c r="X2153" s="278"/>
      <c r="Y2153" s="237"/>
      <c r="Z2153" s="237"/>
      <c r="AA2153" s="279"/>
      <c r="AB2153" s="238" t="s">
        <v>21581</v>
      </c>
      <c r="AC2153" s="196">
        <f t="shared" si="570"/>
        <v>100</v>
      </c>
      <c r="AD2153" s="196">
        <f t="shared" si="571"/>
        <v>100</v>
      </c>
      <c r="AE2153" s="196">
        <f t="shared" si="572"/>
        <v>0</v>
      </c>
      <c r="AF2153" s="2">
        <f t="shared" si="573"/>
        <v>100</v>
      </c>
      <c r="AG2153" s="2">
        <f t="shared" si="574"/>
        <v>0</v>
      </c>
    </row>
    <row r="2154" spans="1:33">
      <c r="A2154" s="20" t="s">
        <v>2086</v>
      </c>
      <c r="B2154" s="150"/>
      <c r="C2154" s="21" t="s">
        <v>332</v>
      </c>
      <c r="D2154" s="109" t="s">
        <v>13207</v>
      </c>
      <c r="E2154" s="109"/>
      <c r="F2154" s="391" t="s">
        <v>15235</v>
      </c>
      <c r="G2154" s="23" t="s">
        <v>7858</v>
      </c>
      <c r="H2154" s="23" t="s">
        <v>26988</v>
      </c>
      <c r="I2154" s="23"/>
      <c r="J2154" s="23"/>
      <c r="K2154" s="23"/>
      <c r="L2154" s="350" t="s">
        <v>27815</v>
      </c>
      <c r="M2154" s="351"/>
      <c r="N2154" s="267">
        <f t="shared" si="566"/>
        <v>0</v>
      </c>
      <c r="O2154" s="268">
        <f t="shared" si="567"/>
        <v>1200</v>
      </c>
      <c r="P2154" s="239"/>
      <c r="Q2154" s="239"/>
      <c r="R2154" s="239"/>
      <c r="S2154" s="239"/>
      <c r="T2154" s="239"/>
      <c r="U2154" s="240">
        <f>350-200+1050</f>
        <v>1200</v>
      </c>
      <c r="V2154" s="240"/>
      <c r="W2154" s="240"/>
      <c r="X2154" s="278"/>
      <c r="Y2154" s="237"/>
      <c r="Z2154" s="237"/>
      <c r="AA2154" s="279"/>
      <c r="AB2154" s="238" t="s">
        <v>27813</v>
      </c>
      <c r="AC2154" s="196">
        <f t="shared" si="570"/>
        <v>1200</v>
      </c>
      <c r="AD2154" s="196">
        <f t="shared" si="571"/>
        <v>1200</v>
      </c>
      <c r="AE2154" s="196">
        <f t="shared" si="572"/>
        <v>0</v>
      </c>
      <c r="AF2154" s="2">
        <f t="shared" si="573"/>
        <v>1200</v>
      </c>
      <c r="AG2154" s="2">
        <f t="shared" si="574"/>
        <v>0</v>
      </c>
    </row>
    <row r="2155" spans="1:33">
      <c r="A2155" s="20" t="s">
        <v>2087</v>
      </c>
      <c r="B2155" s="161"/>
      <c r="C2155" s="21" t="s">
        <v>332</v>
      </c>
      <c r="D2155" s="109" t="s">
        <v>13232</v>
      </c>
      <c r="E2155" s="109"/>
      <c r="F2155" s="391" t="s">
        <v>15235</v>
      </c>
      <c r="G2155" s="23"/>
      <c r="H2155" s="23"/>
      <c r="I2155" s="23"/>
      <c r="J2155" s="23"/>
      <c r="K2155" s="23"/>
      <c r="L2155" s="350"/>
      <c r="M2155" s="351"/>
      <c r="N2155" s="267">
        <f t="shared" si="566"/>
        <v>0</v>
      </c>
      <c r="O2155" s="268">
        <f t="shared" si="567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70"/>
        <v>0</v>
      </c>
      <c r="AD2155" s="196">
        <f t="shared" si="571"/>
        <v>0</v>
      </c>
      <c r="AE2155" s="196">
        <f t="shared" si="572"/>
        <v>0</v>
      </c>
      <c r="AF2155" s="2">
        <f t="shared" si="573"/>
        <v>0</v>
      </c>
      <c r="AG2155" s="2">
        <f t="shared" si="574"/>
        <v>0</v>
      </c>
    </row>
    <row r="2156" spans="1:33">
      <c r="A2156" s="20" t="s">
        <v>2088</v>
      </c>
      <c r="B2156" s="150"/>
      <c r="C2156" s="21" t="s">
        <v>333</v>
      </c>
      <c r="D2156" s="109" t="s">
        <v>13228</v>
      </c>
      <c r="E2156" s="109"/>
      <c r="F2156" s="391" t="s">
        <v>15236</v>
      </c>
      <c r="G2156" s="23"/>
      <c r="H2156" s="23"/>
      <c r="I2156" s="23"/>
      <c r="J2156" s="23"/>
      <c r="K2156" s="23"/>
      <c r="L2156" s="350"/>
      <c r="M2156" s="351"/>
      <c r="N2156" s="267">
        <f t="shared" si="566"/>
        <v>0</v>
      </c>
      <c r="O2156" s="268">
        <f t="shared" si="567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70"/>
        <v>0</v>
      </c>
      <c r="AD2156" s="196">
        <f t="shared" si="571"/>
        <v>0</v>
      </c>
      <c r="AE2156" s="196">
        <f t="shared" si="572"/>
        <v>0</v>
      </c>
      <c r="AF2156" s="2">
        <f t="shared" si="573"/>
        <v>0</v>
      </c>
      <c r="AG2156" s="2">
        <f t="shared" si="574"/>
        <v>0</v>
      </c>
    </row>
    <row r="2157" spans="1:33">
      <c r="A2157" s="20" t="s">
        <v>2082</v>
      </c>
      <c r="B2157" s="150"/>
      <c r="C2157" s="21" t="s">
        <v>4056</v>
      </c>
      <c r="D2157" s="109" t="s">
        <v>14154</v>
      </c>
      <c r="E2157" s="109"/>
      <c r="F2157" s="391" t="s">
        <v>15232</v>
      </c>
      <c r="G2157" s="23" t="s">
        <v>14059</v>
      </c>
      <c r="H2157" s="23"/>
      <c r="I2157" s="23"/>
      <c r="J2157" s="23"/>
      <c r="K2157" s="23"/>
      <c r="L2157" s="350"/>
      <c r="M2157" s="351"/>
      <c r="N2157" s="267">
        <f t="shared" si="566"/>
        <v>0</v>
      </c>
      <c r="O2157" s="268">
        <f t="shared" si="567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70"/>
        <v>0</v>
      </c>
      <c r="AD2157" s="196">
        <f t="shared" si="571"/>
        <v>0</v>
      </c>
      <c r="AE2157" s="196">
        <f t="shared" si="572"/>
        <v>0</v>
      </c>
      <c r="AF2157" s="2">
        <f t="shared" si="573"/>
        <v>0</v>
      </c>
      <c r="AG2157" s="2">
        <f t="shared" si="574"/>
        <v>0</v>
      </c>
    </row>
    <row r="2158" spans="1:33">
      <c r="A2158" s="20" t="s">
        <v>2089</v>
      </c>
      <c r="B2158" s="161"/>
      <c r="C2158" s="21" t="s">
        <v>809</v>
      </c>
      <c r="D2158" s="109" t="s">
        <v>14038</v>
      </c>
      <c r="E2158" s="109"/>
      <c r="F2158" s="391" t="s">
        <v>15237</v>
      </c>
      <c r="G2158" s="23"/>
      <c r="H2158" s="23"/>
      <c r="I2158" s="23"/>
      <c r="J2158" s="23"/>
      <c r="K2158" s="23"/>
      <c r="L2158" s="350"/>
      <c r="M2158" s="351"/>
      <c r="N2158" s="267">
        <f t="shared" si="566"/>
        <v>0</v>
      </c>
      <c r="O2158" s="268">
        <f t="shared" si="567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70"/>
        <v>0</v>
      </c>
      <c r="AD2158" s="196">
        <f t="shared" si="571"/>
        <v>0</v>
      </c>
      <c r="AE2158" s="196">
        <f t="shared" si="572"/>
        <v>0</v>
      </c>
      <c r="AF2158" s="2">
        <f t="shared" si="573"/>
        <v>0</v>
      </c>
      <c r="AG2158" s="2">
        <f t="shared" si="574"/>
        <v>0</v>
      </c>
    </row>
    <row r="2159" spans="1:33">
      <c r="A2159" s="20" t="s">
        <v>2090</v>
      </c>
      <c r="B2159" s="150"/>
      <c r="C2159" s="21" t="s">
        <v>809</v>
      </c>
      <c r="D2159" s="109" t="s">
        <v>13228</v>
      </c>
      <c r="E2159" s="109"/>
      <c r="F2159" s="391" t="s">
        <v>15238</v>
      </c>
      <c r="G2159" s="23"/>
      <c r="H2159" s="23"/>
      <c r="I2159" s="23"/>
      <c r="J2159" s="23"/>
      <c r="K2159" s="23"/>
      <c r="L2159" s="350"/>
      <c r="M2159" s="351"/>
      <c r="N2159" s="267">
        <f t="shared" si="566"/>
        <v>0</v>
      </c>
      <c r="O2159" s="268">
        <f t="shared" si="567"/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7"/>
      <c r="Z2159" s="237"/>
      <c r="AA2159" s="279"/>
      <c r="AB2159" s="238"/>
      <c r="AC2159" s="196">
        <f t="shared" si="570"/>
        <v>0</v>
      </c>
      <c r="AD2159" s="196">
        <f t="shared" si="571"/>
        <v>0</v>
      </c>
      <c r="AE2159" s="196">
        <f t="shared" si="572"/>
        <v>0</v>
      </c>
      <c r="AF2159" s="2">
        <f t="shared" si="573"/>
        <v>0</v>
      </c>
      <c r="AG2159" s="2">
        <f t="shared" si="574"/>
        <v>0</v>
      </c>
    </row>
    <row r="2160" spans="1:33">
      <c r="A2160" s="20" t="s">
        <v>2091</v>
      </c>
      <c r="B2160" s="150"/>
      <c r="C2160" s="21" t="s">
        <v>334</v>
      </c>
      <c r="D2160" s="109" t="s">
        <v>13207</v>
      </c>
      <c r="E2160" s="109"/>
      <c r="F2160" s="391" t="s">
        <v>15239</v>
      </c>
      <c r="G2160" s="23" t="s">
        <v>13970</v>
      </c>
      <c r="H2160" s="23"/>
      <c r="I2160" s="23"/>
      <c r="J2160" s="23"/>
      <c r="K2160" s="23"/>
      <c r="L2160" s="350"/>
      <c r="M2160" s="351"/>
      <c r="N2160" s="267">
        <f t="shared" si="566"/>
        <v>0</v>
      </c>
      <c r="O2160" s="268">
        <f t="shared" si="567"/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7"/>
      <c r="Z2160" s="237"/>
      <c r="AA2160" s="279"/>
      <c r="AB2160" s="238"/>
      <c r="AC2160" s="196">
        <f t="shared" si="570"/>
        <v>0</v>
      </c>
      <c r="AD2160" s="196">
        <f t="shared" si="571"/>
        <v>0</v>
      </c>
      <c r="AE2160" s="196">
        <f t="shared" si="572"/>
        <v>0</v>
      </c>
      <c r="AF2160" s="2">
        <f t="shared" si="573"/>
        <v>0</v>
      </c>
      <c r="AG2160" s="2">
        <f t="shared" si="574"/>
        <v>0</v>
      </c>
    </row>
    <row r="2161" spans="1:33">
      <c r="A2161" s="20" t="s">
        <v>2092</v>
      </c>
      <c r="B2161" s="150"/>
      <c r="C2161" s="21" t="s">
        <v>335</v>
      </c>
      <c r="D2161" s="109" t="s">
        <v>13228</v>
      </c>
      <c r="E2161" s="109"/>
      <c r="F2161" s="391" t="s">
        <v>15240</v>
      </c>
      <c r="G2161" s="23" t="s">
        <v>21311</v>
      </c>
      <c r="H2161" s="23" t="s">
        <v>15784</v>
      </c>
      <c r="I2161" s="23"/>
      <c r="J2161" s="23"/>
      <c r="K2161" s="23"/>
      <c r="L2161" s="375" t="s">
        <v>7787</v>
      </c>
      <c r="M2161" s="351" t="s">
        <v>7787</v>
      </c>
      <c r="N2161" s="267">
        <f t="shared" ref="N2161:N2224" si="575">SUM(L2161:M2161)</f>
        <v>0</v>
      </c>
      <c r="O2161" s="268">
        <f t="shared" ref="O2161:O2224" si="576">SUM(P2161:Z2161)</f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9"/>
      <c r="Z2161" s="237"/>
      <c r="AA2161" s="279"/>
      <c r="AB2161" s="238"/>
      <c r="AC2161" s="196">
        <f t="shared" si="570"/>
        <v>0</v>
      </c>
      <c r="AD2161" s="196">
        <f t="shared" si="571"/>
        <v>0</v>
      </c>
      <c r="AE2161" s="196">
        <f t="shared" si="572"/>
        <v>0</v>
      </c>
      <c r="AF2161" s="2">
        <f t="shared" si="573"/>
        <v>0</v>
      </c>
      <c r="AG2161" s="2">
        <f t="shared" si="574"/>
        <v>0</v>
      </c>
    </row>
    <row r="2162" spans="1:33">
      <c r="A2162" s="20" t="s">
        <v>2093</v>
      </c>
      <c r="B2162" s="150"/>
      <c r="C2162" s="21" t="s">
        <v>336</v>
      </c>
      <c r="D2162" s="109" t="s">
        <v>14038</v>
      </c>
      <c r="E2162" s="109"/>
      <c r="F2162" s="391" t="s">
        <v>15241</v>
      </c>
      <c r="G2162" s="23"/>
      <c r="H2162" s="23"/>
      <c r="I2162" s="23"/>
      <c r="J2162" s="23"/>
      <c r="K2162" s="23"/>
      <c r="L2162" s="350"/>
      <c r="M2162" s="351"/>
      <c r="N2162" s="267">
        <f t="shared" si="575"/>
        <v>0</v>
      </c>
      <c r="O2162" s="268">
        <f t="shared" si="576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70"/>
        <v>0</v>
      </c>
      <c r="AD2162" s="196">
        <f t="shared" si="571"/>
        <v>0</v>
      </c>
      <c r="AE2162" s="196">
        <f t="shared" si="572"/>
        <v>0</v>
      </c>
      <c r="AF2162" s="2">
        <f t="shared" si="573"/>
        <v>0</v>
      </c>
      <c r="AG2162" s="2">
        <f t="shared" si="574"/>
        <v>0</v>
      </c>
    </row>
    <row r="2163" spans="1:33">
      <c r="A2163" s="20" t="s">
        <v>2095</v>
      </c>
      <c r="B2163" s="150"/>
      <c r="C2163" s="21" t="s">
        <v>337</v>
      </c>
      <c r="D2163" s="109" t="s">
        <v>14327</v>
      </c>
      <c r="E2163" s="109" t="s">
        <v>14043</v>
      </c>
      <c r="F2163" s="391" t="s">
        <v>15242</v>
      </c>
      <c r="G2163" s="23"/>
      <c r="H2163" s="23"/>
      <c r="I2163" s="23"/>
      <c r="J2163" s="23"/>
      <c r="K2163" s="23"/>
      <c r="L2163" s="350"/>
      <c r="M2163" s="351"/>
      <c r="N2163" s="267">
        <f t="shared" si="575"/>
        <v>0</v>
      </c>
      <c r="O2163" s="268">
        <f t="shared" si="576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70"/>
        <v>0</v>
      </c>
      <c r="AD2163" s="196">
        <f t="shared" si="571"/>
        <v>0</v>
      </c>
      <c r="AE2163" s="196">
        <f t="shared" si="572"/>
        <v>0</v>
      </c>
      <c r="AF2163" s="2">
        <f t="shared" si="573"/>
        <v>0</v>
      </c>
      <c r="AG2163" s="2">
        <f t="shared" si="574"/>
        <v>0</v>
      </c>
    </row>
    <row r="2164" spans="1:33">
      <c r="A2164" s="20" t="s">
        <v>2094</v>
      </c>
      <c r="B2164" s="150"/>
      <c r="C2164" s="21" t="s">
        <v>337</v>
      </c>
      <c r="D2164" s="109" t="s">
        <v>13207</v>
      </c>
      <c r="E2164" s="109"/>
      <c r="F2164" s="391" t="s">
        <v>15243</v>
      </c>
      <c r="G2164" s="23"/>
      <c r="H2164" s="23"/>
      <c r="I2164" s="23"/>
      <c r="J2164" s="23"/>
      <c r="K2164" s="23"/>
      <c r="L2164" s="350"/>
      <c r="M2164" s="351"/>
      <c r="N2164" s="267">
        <f t="shared" si="575"/>
        <v>0</v>
      </c>
      <c r="O2164" s="268">
        <f t="shared" si="576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70"/>
        <v>0</v>
      </c>
      <c r="AD2164" s="196">
        <f t="shared" si="571"/>
        <v>0</v>
      </c>
      <c r="AE2164" s="196">
        <f t="shared" si="572"/>
        <v>0</v>
      </c>
      <c r="AF2164" s="2">
        <f t="shared" si="573"/>
        <v>0</v>
      </c>
      <c r="AG2164" s="2">
        <f t="shared" si="574"/>
        <v>0</v>
      </c>
    </row>
    <row r="2165" spans="1:33">
      <c r="A2165" s="20" t="s">
        <v>2096</v>
      </c>
      <c r="B2165" s="150"/>
      <c r="C2165" s="21" t="s">
        <v>338</v>
      </c>
      <c r="D2165" s="109" t="s">
        <v>14038</v>
      </c>
      <c r="E2165" s="109"/>
      <c r="F2165" s="391" t="s">
        <v>15244</v>
      </c>
      <c r="G2165" s="23"/>
      <c r="H2165" s="23"/>
      <c r="I2165" s="23"/>
      <c r="J2165" s="23"/>
      <c r="K2165" s="23"/>
      <c r="L2165" s="350"/>
      <c r="M2165" s="351"/>
      <c r="N2165" s="267">
        <f t="shared" si="575"/>
        <v>0</v>
      </c>
      <c r="O2165" s="268">
        <f t="shared" si="576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70"/>
        <v>0</v>
      </c>
      <c r="AD2165" s="196">
        <f t="shared" si="571"/>
        <v>0</v>
      </c>
      <c r="AE2165" s="196">
        <f t="shared" si="572"/>
        <v>0</v>
      </c>
      <c r="AF2165" s="2">
        <f t="shared" si="573"/>
        <v>0</v>
      </c>
      <c r="AG2165" s="2">
        <f t="shared" si="574"/>
        <v>0</v>
      </c>
    </row>
    <row r="2166" spans="1:33">
      <c r="A2166" s="20" t="s">
        <v>2097</v>
      </c>
      <c r="B2166" s="150"/>
      <c r="C2166" s="21" t="s">
        <v>339</v>
      </c>
      <c r="D2166" s="109" t="s">
        <v>13207</v>
      </c>
      <c r="E2166" s="109"/>
      <c r="F2166" s="391" t="s">
        <v>15245</v>
      </c>
      <c r="G2166" s="23"/>
      <c r="H2166" s="23"/>
      <c r="I2166" s="23"/>
      <c r="J2166" s="23"/>
      <c r="K2166" s="23"/>
      <c r="L2166" s="375" t="s">
        <v>7787</v>
      </c>
      <c r="M2166" s="351"/>
      <c r="N2166" s="267">
        <f t="shared" si="575"/>
        <v>0</v>
      </c>
      <c r="O2166" s="268">
        <f t="shared" si="576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70"/>
        <v>0</v>
      </c>
      <c r="AD2166" s="196">
        <f t="shared" si="571"/>
        <v>0</v>
      </c>
      <c r="AE2166" s="196">
        <f t="shared" si="572"/>
        <v>0</v>
      </c>
      <c r="AF2166" s="2">
        <f t="shared" si="573"/>
        <v>0</v>
      </c>
      <c r="AG2166" s="2">
        <f t="shared" si="574"/>
        <v>0</v>
      </c>
    </row>
    <row r="2167" spans="1:33">
      <c r="A2167" s="20" t="s">
        <v>2098</v>
      </c>
      <c r="B2167" s="161"/>
      <c r="C2167" s="21" t="s">
        <v>810</v>
      </c>
      <c r="D2167" s="109" t="s">
        <v>14038</v>
      </c>
      <c r="E2167" s="109"/>
      <c r="F2167" s="391" t="s">
        <v>15246</v>
      </c>
      <c r="G2167" s="23"/>
      <c r="H2167" s="23"/>
      <c r="I2167" s="23"/>
      <c r="J2167" s="23"/>
      <c r="K2167" s="23"/>
      <c r="L2167" s="350"/>
      <c r="M2167" s="351"/>
      <c r="N2167" s="267">
        <f t="shared" si="575"/>
        <v>0</v>
      </c>
      <c r="O2167" s="268">
        <f t="shared" si="576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70"/>
        <v>0</v>
      </c>
      <c r="AD2167" s="196">
        <f t="shared" si="571"/>
        <v>0</v>
      </c>
      <c r="AE2167" s="196">
        <f t="shared" si="572"/>
        <v>0</v>
      </c>
      <c r="AF2167" s="2">
        <f t="shared" si="573"/>
        <v>0</v>
      </c>
      <c r="AG2167" s="2">
        <f t="shared" si="574"/>
        <v>0</v>
      </c>
    </row>
    <row r="2168" spans="1:33">
      <c r="A2168" s="20" t="s">
        <v>2099</v>
      </c>
      <c r="B2168" s="161"/>
      <c r="C2168" s="21" t="s">
        <v>340</v>
      </c>
      <c r="D2168" s="109" t="s">
        <v>13228</v>
      </c>
      <c r="E2168" s="109"/>
      <c r="F2168" s="391" t="s">
        <v>15247</v>
      </c>
      <c r="G2168" s="23"/>
      <c r="H2168" s="23"/>
      <c r="I2168" s="23"/>
      <c r="J2168" s="23"/>
      <c r="K2168" s="23"/>
      <c r="L2168" s="350"/>
      <c r="M2168" s="351"/>
      <c r="N2168" s="267">
        <f t="shared" si="575"/>
        <v>0</v>
      </c>
      <c r="O2168" s="268">
        <f t="shared" si="576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7"/>
      <c r="Z2168" s="237"/>
      <c r="AA2168" s="279"/>
      <c r="AB2168" s="238"/>
      <c r="AC2168" s="196">
        <f t="shared" si="570"/>
        <v>0</v>
      </c>
      <c r="AD2168" s="196">
        <f t="shared" si="571"/>
        <v>0</v>
      </c>
      <c r="AE2168" s="196">
        <f t="shared" si="572"/>
        <v>0</v>
      </c>
      <c r="AF2168" s="2">
        <f t="shared" si="573"/>
        <v>0</v>
      </c>
      <c r="AG2168" s="2">
        <f t="shared" si="574"/>
        <v>0</v>
      </c>
    </row>
    <row r="2169" spans="1:33">
      <c r="A2169" s="20" t="s">
        <v>2100</v>
      </c>
      <c r="B2169" s="150"/>
      <c r="C2169" s="21" t="s">
        <v>340</v>
      </c>
      <c r="D2169" s="109" t="s">
        <v>13232</v>
      </c>
      <c r="E2169" s="109" t="s">
        <v>3128</v>
      </c>
      <c r="F2169" s="391" t="s">
        <v>15247</v>
      </c>
      <c r="G2169" s="23"/>
      <c r="H2169" s="23"/>
      <c r="I2169" s="23"/>
      <c r="J2169" s="23"/>
      <c r="K2169" s="23"/>
      <c r="L2169" s="375" t="s">
        <v>7787</v>
      </c>
      <c r="M2169" s="351"/>
      <c r="N2169" s="267">
        <f t="shared" si="575"/>
        <v>0</v>
      </c>
      <c r="O2169" s="268">
        <f t="shared" si="576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7"/>
      <c r="Z2169" s="237"/>
      <c r="AA2169" s="279"/>
      <c r="AB2169" s="238"/>
      <c r="AC2169" s="196">
        <f t="shared" si="570"/>
        <v>0</v>
      </c>
      <c r="AD2169" s="196">
        <f t="shared" si="571"/>
        <v>0</v>
      </c>
      <c r="AE2169" s="196">
        <f t="shared" si="572"/>
        <v>0</v>
      </c>
      <c r="AF2169" s="2">
        <f t="shared" si="573"/>
        <v>0</v>
      </c>
      <c r="AG2169" s="2">
        <f t="shared" si="574"/>
        <v>0</v>
      </c>
    </row>
    <row r="2170" spans="1:33">
      <c r="A2170" s="20" t="s">
        <v>2007</v>
      </c>
      <c r="B2170" s="156" t="s">
        <v>15248</v>
      </c>
      <c r="C2170" s="190" t="s">
        <v>15249</v>
      </c>
      <c r="D2170" s="109" t="s">
        <v>15250</v>
      </c>
      <c r="E2170" s="109"/>
      <c r="F2170" s="391" t="s">
        <v>15176</v>
      </c>
      <c r="G2170" s="23" t="s">
        <v>13215</v>
      </c>
      <c r="H2170" s="23" t="s">
        <v>14056</v>
      </c>
      <c r="I2170" s="23" t="s">
        <v>15251</v>
      </c>
      <c r="J2170" s="23"/>
      <c r="K2170" s="23"/>
      <c r="L2170" s="356" t="s">
        <v>7787</v>
      </c>
      <c r="M2170" s="351" t="s">
        <v>7787</v>
      </c>
      <c r="N2170" s="267">
        <f t="shared" si="575"/>
        <v>0</v>
      </c>
      <c r="O2170" s="268">
        <f t="shared" si="576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9"/>
      <c r="Z2170" s="237"/>
      <c r="AA2170" s="279"/>
      <c r="AB2170" s="238"/>
      <c r="AC2170" s="196">
        <f t="shared" si="570"/>
        <v>0</v>
      </c>
      <c r="AD2170" s="196">
        <f t="shared" si="571"/>
        <v>0</v>
      </c>
      <c r="AE2170" s="196">
        <f t="shared" si="572"/>
        <v>0</v>
      </c>
      <c r="AF2170" s="2">
        <f t="shared" si="573"/>
        <v>0</v>
      </c>
      <c r="AG2170" s="2">
        <f t="shared" si="574"/>
        <v>0</v>
      </c>
    </row>
    <row r="2171" spans="1:33">
      <c r="A2171" s="20" t="s">
        <v>2101</v>
      </c>
      <c r="B2171" s="150"/>
      <c r="C2171" s="21" t="s">
        <v>341</v>
      </c>
      <c r="D2171" s="109" t="s">
        <v>14038</v>
      </c>
      <c r="E2171" s="109"/>
      <c r="F2171" s="391" t="s">
        <v>15252</v>
      </c>
      <c r="G2171" s="23"/>
      <c r="H2171" s="23"/>
      <c r="I2171" s="23"/>
      <c r="J2171" s="23"/>
      <c r="K2171" s="23"/>
      <c r="L2171" s="350"/>
      <c r="M2171" s="351"/>
      <c r="N2171" s="267">
        <f t="shared" si="575"/>
        <v>0</v>
      </c>
      <c r="O2171" s="268">
        <f t="shared" si="576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70"/>
        <v>0</v>
      </c>
      <c r="AD2171" s="196">
        <f t="shared" si="571"/>
        <v>0</v>
      </c>
      <c r="AE2171" s="196">
        <f t="shared" si="572"/>
        <v>0</v>
      </c>
      <c r="AF2171" s="2">
        <f t="shared" si="573"/>
        <v>0</v>
      </c>
      <c r="AG2171" s="2">
        <f t="shared" si="574"/>
        <v>0</v>
      </c>
    </row>
    <row r="2172" spans="1:33">
      <c r="A2172" s="20" t="s">
        <v>2103</v>
      </c>
      <c r="B2172" s="150"/>
      <c r="C2172" s="21" t="s">
        <v>342</v>
      </c>
      <c r="D2172" s="109" t="s">
        <v>14004</v>
      </c>
      <c r="E2172" s="109" t="s">
        <v>13994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5"/>
        <v>0</v>
      </c>
      <c r="O2172" s="268">
        <f t="shared" si="576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70"/>
        <v>0</v>
      </c>
      <c r="AD2172" s="196">
        <f t="shared" si="571"/>
        <v>0</v>
      </c>
      <c r="AE2172" s="196">
        <f t="shared" si="572"/>
        <v>0</v>
      </c>
      <c r="AF2172" s="2">
        <f t="shared" si="573"/>
        <v>0</v>
      </c>
      <c r="AG2172" s="2">
        <f t="shared" si="574"/>
        <v>0</v>
      </c>
    </row>
    <row r="2173" spans="1:33">
      <c r="A2173" s="20" t="s">
        <v>2102</v>
      </c>
      <c r="B2173" s="161"/>
      <c r="C2173" s="21" t="s">
        <v>342</v>
      </c>
      <c r="D2173" s="109" t="s">
        <v>14004</v>
      </c>
      <c r="E2173" s="109" t="s">
        <v>13210</v>
      </c>
      <c r="F2173" s="391" t="s">
        <v>15253</v>
      </c>
      <c r="G2173" s="23"/>
      <c r="H2173" s="23"/>
      <c r="I2173" s="23"/>
      <c r="J2173" s="23"/>
      <c r="K2173" s="23"/>
      <c r="L2173" s="350"/>
      <c r="M2173" s="351"/>
      <c r="N2173" s="267">
        <f t="shared" si="575"/>
        <v>0</v>
      </c>
      <c r="O2173" s="268">
        <f t="shared" si="576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70"/>
        <v>0</v>
      </c>
      <c r="AD2173" s="196">
        <f t="shared" si="571"/>
        <v>0</v>
      </c>
      <c r="AE2173" s="196">
        <f t="shared" si="572"/>
        <v>0</v>
      </c>
      <c r="AF2173" s="2">
        <f t="shared" si="573"/>
        <v>0</v>
      </c>
      <c r="AG2173" s="2">
        <f t="shared" si="574"/>
        <v>0</v>
      </c>
    </row>
    <row r="2174" spans="1:33">
      <c r="A2174" s="20" t="s">
        <v>2104</v>
      </c>
      <c r="B2174" s="150"/>
      <c r="C2174" s="21" t="s">
        <v>342</v>
      </c>
      <c r="D2174" s="109" t="s">
        <v>15254</v>
      </c>
      <c r="E2174" s="109" t="s">
        <v>14064</v>
      </c>
      <c r="F2174" s="391" t="s">
        <v>15253</v>
      </c>
      <c r="G2174" s="23"/>
      <c r="H2174" s="23"/>
      <c r="I2174" s="23"/>
      <c r="J2174" s="23"/>
      <c r="K2174" s="23"/>
      <c r="L2174" s="350"/>
      <c r="M2174" s="351"/>
      <c r="N2174" s="267">
        <f t="shared" si="575"/>
        <v>0</v>
      </c>
      <c r="O2174" s="268">
        <f t="shared" si="576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70"/>
        <v>0</v>
      </c>
      <c r="AD2174" s="196">
        <f t="shared" si="571"/>
        <v>0</v>
      </c>
      <c r="AE2174" s="196">
        <f t="shared" si="572"/>
        <v>0</v>
      </c>
      <c r="AF2174" s="2">
        <f t="shared" si="573"/>
        <v>0</v>
      </c>
      <c r="AG2174" s="2">
        <f t="shared" si="574"/>
        <v>0</v>
      </c>
    </row>
    <row r="2175" spans="1:33">
      <c r="A2175" s="20" t="s">
        <v>2105</v>
      </c>
      <c r="B2175" s="150"/>
      <c r="C2175" s="21" t="s">
        <v>342</v>
      </c>
      <c r="D2175" s="109" t="s">
        <v>14177</v>
      </c>
      <c r="E2175" s="109" t="s">
        <v>13971</v>
      </c>
      <c r="F2175" s="391" t="s">
        <v>15253</v>
      </c>
      <c r="G2175" s="23" t="s">
        <v>14218</v>
      </c>
      <c r="H2175" s="23" t="s">
        <v>13218</v>
      </c>
      <c r="I2175" s="23"/>
      <c r="J2175" s="23"/>
      <c r="K2175" s="23"/>
      <c r="L2175" s="375" t="s">
        <v>7787</v>
      </c>
      <c r="M2175" s="351" t="s">
        <v>7787</v>
      </c>
      <c r="N2175" s="267">
        <f t="shared" si="575"/>
        <v>0</v>
      </c>
      <c r="O2175" s="268">
        <f t="shared" si="576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70"/>
        <v>0</v>
      </c>
      <c r="AD2175" s="196">
        <f t="shared" si="571"/>
        <v>0</v>
      </c>
      <c r="AE2175" s="196">
        <f t="shared" si="572"/>
        <v>0</v>
      </c>
      <c r="AF2175" s="2">
        <f t="shared" si="573"/>
        <v>0</v>
      </c>
      <c r="AG2175" s="2">
        <f t="shared" si="574"/>
        <v>0</v>
      </c>
    </row>
    <row r="2176" spans="1:33">
      <c r="A2176" s="20" t="s">
        <v>2106</v>
      </c>
      <c r="B2176" s="150"/>
      <c r="C2176" s="21" t="s">
        <v>343</v>
      </c>
      <c r="D2176" s="109" t="s">
        <v>14038</v>
      </c>
      <c r="E2176" s="109"/>
      <c r="F2176" s="391" t="s">
        <v>15255</v>
      </c>
      <c r="G2176" s="23"/>
      <c r="H2176" s="23"/>
      <c r="I2176" s="23"/>
      <c r="J2176" s="23"/>
      <c r="K2176" s="23"/>
      <c r="L2176" s="350"/>
      <c r="M2176" s="351"/>
      <c r="N2176" s="267">
        <f t="shared" si="575"/>
        <v>0</v>
      </c>
      <c r="O2176" s="268">
        <f t="shared" si="576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70"/>
        <v>0</v>
      </c>
      <c r="AD2176" s="196">
        <f t="shared" si="571"/>
        <v>0</v>
      </c>
      <c r="AE2176" s="196">
        <f t="shared" si="572"/>
        <v>0</v>
      </c>
      <c r="AF2176" s="2">
        <f t="shared" si="573"/>
        <v>0</v>
      </c>
      <c r="AG2176" s="2">
        <f t="shared" si="574"/>
        <v>0</v>
      </c>
    </row>
    <row r="2177" spans="1:33">
      <c r="A2177" s="20" t="s">
        <v>2111</v>
      </c>
      <c r="B2177" s="150"/>
      <c r="C2177" s="21" t="s">
        <v>344</v>
      </c>
      <c r="D2177" s="109" t="s">
        <v>14004</v>
      </c>
      <c r="E2177" s="109" t="s">
        <v>13203</v>
      </c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5"/>
        <v>0</v>
      </c>
      <c r="O2177" s="268">
        <f t="shared" si="576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70"/>
        <v>0</v>
      </c>
      <c r="AD2177" s="196">
        <f t="shared" si="571"/>
        <v>0</v>
      </c>
      <c r="AE2177" s="196">
        <f t="shared" si="572"/>
        <v>0</v>
      </c>
      <c r="AF2177" s="2">
        <f t="shared" si="573"/>
        <v>0</v>
      </c>
      <c r="AG2177" s="2">
        <f t="shared" si="574"/>
        <v>0</v>
      </c>
    </row>
    <row r="2178" spans="1:33">
      <c r="A2178" s="20" t="s">
        <v>2110</v>
      </c>
      <c r="B2178" s="150"/>
      <c r="C2178" s="21" t="s">
        <v>344</v>
      </c>
      <c r="D2178" s="109" t="s">
        <v>14004</v>
      </c>
      <c r="E2178" s="109" t="s">
        <v>13210</v>
      </c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5"/>
        <v>0</v>
      </c>
      <c r="O2178" s="268">
        <f t="shared" si="576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70"/>
        <v>0</v>
      </c>
      <c r="AD2178" s="196">
        <f t="shared" si="571"/>
        <v>0</v>
      </c>
      <c r="AE2178" s="196">
        <f t="shared" si="572"/>
        <v>0</v>
      </c>
      <c r="AF2178" s="2">
        <f t="shared" si="573"/>
        <v>0</v>
      </c>
      <c r="AG2178" s="2">
        <f t="shared" si="574"/>
        <v>0</v>
      </c>
    </row>
    <row r="2179" spans="1:33">
      <c r="A2179" s="20" t="s">
        <v>2107</v>
      </c>
      <c r="B2179" s="150"/>
      <c r="C2179" s="21" t="s">
        <v>15257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5"/>
        <v>0</v>
      </c>
      <c r="O2179" s="268">
        <f t="shared" si="576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70"/>
        <v>0</v>
      </c>
      <c r="AD2179" s="196">
        <f t="shared" si="571"/>
        <v>0</v>
      </c>
      <c r="AE2179" s="196">
        <f t="shared" si="572"/>
        <v>0</v>
      </c>
      <c r="AF2179" s="2">
        <f t="shared" si="573"/>
        <v>0</v>
      </c>
      <c r="AG2179" s="2">
        <f t="shared" si="574"/>
        <v>0</v>
      </c>
    </row>
    <row r="2180" spans="1:33">
      <c r="A2180" s="20" t="s">
        <v>2108</v>
      </c>
      <c r="B2180" s="150"/>
      <c r="C2180" s="21" t="s">
        <v>15258</v>
      </c>
      <c r="D2180" s="109" t="s">
        <v>14038</v>
      </c>
      <c r="E2180" s="109"/>
      <c r="F2180" s="391" t="s">
        <v>15256</v>
      </c>
      <c r="G2180" s="23"/>
      <c r="H2180" s="23"/>
      <c r="I2180" s="23"/>
      <c r="J2180" s="23"/>
      <c r="K2180" s="23"/>
      <c r="L2180" s="350"/>
      <c r="M2180" s="351"/>
      <c r="N2180" s="267">
        <f t="shared" si="575"/>
        <v>0</v>
      </c>
      <c r="O2180" s="268">
        <f t="shared" si="576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70"/>
        <v>0</v>
      </c>
      <c r="AD2180" s="196">
        <f t="shared" si="571"/>
        <v>0</v>
      </c>
      <c r="AE2180" s="196">
        <f t="shared" si="572"/>
        <v>0</v>
      </c>
      <c r="AF2180" s="2">
        <f t="shared" si="573"/>
        <v>0</v>
      </c>
      <c r="AG2180" s="2">
        <f t="shared" si="574"/>
        <v>0</v>
      </c>
    </row>
    <row r="2181" spans="1:33">
      <c r="A2181" s="20" t="s">
        <v>2109</v>
      </c>
      <c r="B2181" s="150"/>
      <c r="C2181" s="21" t="s">
        <v>15258</v>
      </c>
      <c r="D2181" s="109" t="s">
        <v>14038</v>
      </c>
      <c r="E2181" s="109"/>
      <c r="F2181" s="391" t="s">
        <v>15256</v>
      </c>
      <c r="G2181" s="23"/>
      <c r="H2181" s="23"/>
      <c r="I2181" s="23"/>
      <c r="J2181" s="23"/>
      <c r="K2181" s="23"/>
      <c r="L2181" s="350"/>
      <c r="M2181" s="351"/>
      <c r="N2181" s="267">
        <f t="shared" si="575"/>
        <v>0</v>
      </c>
      <c r="O2181" s="268">
        <f t="shared" si="576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70"/>
        <v>0</v>
      </c>
      <c r="AD2181" s="196">
        <f t="shared" si="571"/>
        <v>0</v>
      </c>
      <c r="AE2181" s="196">
        <f t="shared" si="572"/>
        <v>0</v>
      </c>
      <c r="AF2181" s="2">
        <f t="shared" si="573"/>
        <v>0</v>
      </c>
      <c r="AG2181" s="2">
        <f t="shared" si="574"/>
        <v>0</v>
      </c>
    </row>
    <row r="2182" spans="1:33">
      <c r="A2182" s="20" t="s">
        <v>2112</v>
      </c>
      <c r="B2182" s="150"/>
      <c r="C2182" s="21" t="s">
        <v>345</v>
      </c>
      <c r="D2182" s="109" t="s">
        <v>13207</v>
      </c>
      <c r="E2182" s="109"/>
      <c r="F2182" s="391" t="s">
        <v>15259</v>
      </c>
      <c r="G2182" s="23"/>
      <c r="H2182" s="23"/>
      <c r="I2182" s="23"/>
      <c r="J2182" s="23"/>
      <c r="K2182" s="23"/>
      <c r="L2182" s="350"/>
      <c r="M2182" s="351"/>
      <c r="N2182" s="267">
        <f t="shared" si="575"/>
        <v>0</v>
      </c>
      <c r="O2182" s="268">
        <f t="shared" si="576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70"/>
        <v>0</v>
      </c>
      <c r="AD2182" s="196">
        <f t="shared" si="571"/>
        <v>0</v>
      </c>
      <c r="AE2182" s="196">
        <f t="shared" si="572"/>
        <v>0</v>
      </c>
      <c r="AF2182" s="2">
        <f t="shared" si="573"/>
        <v>0</v>
      </c>
      <c r="AG2182" s="2">
        <f t="shared" si="574"/>
        <v>0</v>
      </c>
    </row>
    <row r="2183" spans="1:33">
      <c r="A2183" s="20" t="s">
        <v>2113</v>
      </c>
      <c r="B2183" s="150"/>
      <c r="C2183" s="21" t="s">
        <v>811</v>
      </c>
      <c r="D2183" s="109" t="s">
        <v>14038</v>
      </c>
      <c r="E2183" s="109"/>
      <c r="F2183" s="391" t="s">
        <v>15260</v>
      </c>
      <c r="G2183" s="23"/>
      <c r="H2183" s="23"/>
      <c r="I2183" s="23"/>
      <c r="J2183" s="23"/>
      <c r="K2183" s="23"/>
      <c r="L2183" s="350"/>
      <c r="M2183" s="351"/>
      <c r="N2183" s="267">
        <f t="shared" si="575"/>
        <v>0</v>
      </c>
      <c r="O2183" s="268">
        <f t="shared" si="576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70"/>
        <v>0</v>
      </c>
      <c r="AD2183" s="196">
        <f t="shared" si="571"/>
        <v>0</v>
      </c>
      <c r="AE2183" s="196">
        <f t="shared" si="572"/>
        <v>0</v>
      </c>
      <c r="AF2183" s="2">
        <f t="shared" si="573"/>
        <v>0</v>
      </c>
      <c r="AG2183" s="2">
        <f t="shared" si="574"/>
        <v>0</v>
      </c>
    </row>
    <row r="2184" spans="1:33">
      <c r="A2184" s="20" t="s">
        <v>2114</v>
      </c>
      <c r="B2184" s="150"/>
      <c r="C2184" s="21" t="s">
        <v>346</v>
      </c>
      <c r="D2184" s="109" t="s">
        <v>14004</v>
      </c>
      <c r="E2184" s="109" t="s">
        <v>13210</v>
      </c>
      <c r="F2184" s="391" t="s">
        <v>15261</v>
      </c>
      <c r="G2184" s="23"/>
      <c r="H2184" s="23"/>
      <c r="I2184" s="23"/>
      <c r="J2184" s="23"/>
      <c r="K2184" s="23"/>
      <c r="L2184" s="350"/>
      <c r="M2184" s="351"/>
      <c r="N2184" s="267">
        <f t="shared" si="575"/>
        <v>0</v>
      </c>
      <c r="O2184" s="268">
        <f t="shared" si="576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70"/>
        <v>0</v>
      </c>
      <c r="AD2184" s="196">
        <f t="shared" si="571"/>
        <v>0</v>
      </c>
      <c r="AE2184" s="196">
        <f t="shared" si="572"/>
        <v>0</v>
      </c>
      <c r="AF2184" s="2">
        <f t="shared" si="573"/>
        <v>0</v>
      </c>
      <c r="AG2184" s="2">
        <f t="shared" si="574"/>
        <v>0</v>
      </c>
    </row>
    <row r="2185" spans="1:33">
      <c r="A2185" s="20" t="s">
        <v>2115</v>
      </c>
      <c r="B2185" s="150"/>
      <c r="C2185" s="21" t="s">
        <v>346</v>
      </c>
      <c r="D2185" s="109" t="s">
        <v>14004</v>
      </c>
      <c r="E2185" s="109" t="s">
        <v>14064</v>
      </c>
      <c r="F2185" s="391" t="s">
        <v>15261</v>
      </c>
      <c r="G2185" s="23"/>
      <c r="H2185" s="23"/>
      <c r="I2185" s="23"/>
      <c r="J2185" s="23"/>
      <c r="K2185" s="23"/>
      <c r="L2185" s="350"/>
      <c r="M2185" s="351"/>
      <c r="N2185" s="267">
        <f t="shared" si="575"/>
        <v>0</v>
      </c>
      <c r="O2185" s="268">
        <f t="shared" si="576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70"/>
        <v>0</v>
      </c>
      <c r="AD2185" s="196">
        <f t="shared" si="571"/>
        <v>0</v>
      </c>
      <c r="AE2185" s="196">
        <f t="shared" si="572"/>
        <v>0</v>
      </c>
      <c r="AF2185" s="2">
        <f t="shared" si="573"/>
        <v>0</v>
      </c>
      <c r="AG2185" s="2">
        <f t="shared" si="574"/>
        <v>0</v>
      </c>
    </row>
    <row r="2186" spans="1:33">
      <c r="A2186" s="20" t="s">
        <v>2116</v>
      </c>
      <c r="B2186" s="150"/>
      <c r="C2186" s="21" t="s">
        <v>346</v>
      </c>
      <c r="D2186" s="109" t="s">
        <v>14177</v>
      </c>
      <c r="E2186" s="109"/>
      <c r="F2186" s="391" t="s">
        <v>15262</v>
      </c>
      <c r="G2186" s="23" t="s">
        <v>14218</v>
      </c>
      <c r="H2186" s="23"/>
      <c r="I2186" s="23"/>
      <c r="J2186" s="23"/>
      <c r="K2186" s="23"/>
      <c r="L2186" s="375" t="s">
        <v>7787</v>
      </c>
      <c r="M2186" s="351"/>
      <c r="N2186" s="267">
        <f t="shared" si="575"/>
        <v>0</v>
      </c>
      <c r="O2186" s="268">
        <f t="shared" si="576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79"/>
      <c r="AB2186" s="238"/>
      <c r="AC2186" s="196">
        <f t="shared" si="570"/>
        <v>0</v>
      </c>
      <c r="AD2186" s="196">
        <f t="shared" si="571"/>
        <v>0</v>
      </c>
      <c r="AE2186" s="196">
        <f t="shared" si="572"/>
        <v>0</v>
      </c>
      <c r="AF2186" s="2">
        <f t="shared" si="573"/>
        <v>0</v>
      </c>
      <c r="AG2186" s="2">
        <f t="shared" si="574"/>
        <v>0</v>
      </c>
    </row>
    <row r="2187" spans="1:33">
      <c r="A2187" s="20" t="s">
        <v>2117</v>
      </c>
      <c r="B2187" s="150"/>
      <c r="C2187" s="21" t="s">
        <v>346</v>
      </c>
      <c r="D2187" s="109" t="s">
        <v>14179</v>
      </c>
      <c r="E2187" s="109"/>
      <c r="F2187" s="391" t="s">
        <v>15262</v>
      </c>
      <c r="G2187" s="23" t="s">
        <v>14218</v>
      </c>
      <c r="H2187" s="23"/>
      <c r="I2187" s="23"/>
      <c r="J2187" s="23"/>
      <c r="K2187" s="23"/>
      <c r="L2187" s="350"/>
      <c r="M2187" s="351"/>
      <c r="N2187" s="267">
        <f t="shared" si="575"/>
        <v>0</v>
      </c>
      <c r="O2187" s="268">
        <f t="shared" si="576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7"/>
      <c r="Z2187" s="237"/>
      <c r="AA2187" s="279"/>
      <c r="AB2187" s="238"/>
      <c r="AC2187" s="196">
        <f t="shared" si="570"/>
        <v>0</v>
      </c>
      <c r="AD2187" s="196">
        <f t="shared" si="571"/>
        <v>0</v>
      </c>
      <c r="AE2187" s="196">
        <f t="shared" si="572"/>
        <v>0</v>
      </c>
      <c r="AF2187" s="2">
        <f t="shared" si="573"/>
        <v>0</v>
      </c>
      <c r="AG2187" s="2">
        <f t="shared" si="574"/>
        <v>0</v>
      </c>
    </row>
    <row r="2188" spans="1:33">
      <c r="A2188" s="20" t="s">
        <v>2118</v>
      </c>
      <c r="B2188" s="150"/>
      <c r="C2188" s="21" t="s">
        <v>347</v>
      </c>
      <c r="D2188" s="109" t="s">
        <v>13228</v>
      </c>
      <c r="E2188" s="109"/>
      <c r="F2188" s="391" t="s">
        <v>15263</v>
      </c>
      <c r="G2188" s="23" t="s">
        <v>14117</v>
      </c>
      <c r="H2188" s="23" t="s">
        <v>15264</v>
      </c>
      <c r="I2188" s="23"/>
      <c r="J2188" s="23"/>
      <c r="K2188" s="23"/>
      <c r="L2188" s="350"/>
      <c r="M2188" s="351" t="s">
        <v>7787</v>
      </c>
      <c r="N2188" s="267">
        <f t="shared" si="575"/>
        <v>0</v>
      </c>
      <c r="O2188" s="268">
        <f t="shared" si="576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7"/>
      <c r="Z2188" s="237"/>
      <c r="AA2188" s="285"/>
      <c r="AB2188" s="238"/>
      <c r="AC2188" s="196">
        <f t="shared" si="570"/>
        <v>0</v>
      </c>
      <c r="AD2188" s="196">
        <f t="shared" si="571"/>
        <v>0</v>
      </c>
      <c r="AE2188" s="196">
        <f t="shared" si="572"/>
        <v>0</v>
      </c>
      <c r="AF2188" s="2">
        <f t="shared" si="573"/>
        <v>0</v>
      </c>
      <c r="AG2188" s="2">
        <f t="shared" si="574"/>
        <v>0</v>
      </c>
    </row>
    <row r="2189" spans="1:33">
      <c r="A2189" s="20" t="s">
        <v>2119</v>
      </c>
      <c r="B2189" s="152" t="s">
        <v>6381</v>
      </c>
      <c r="C2189" s="21" t="s">
        <v>348</v>
      </c>
      <c r="D2189" s="109" t="s">
        <v>13228</v>
      </c>
      <c r="E2189" s="109"/>
      <c r="F2189" s="391" t="s">
        <v>15265</v>
      </c>
      <c r="G2189" s="23"/>
      <c r="H2189" s="23"/>
      <c r="I2189" s="23"/>
      <c r="J2189" s="23"/>
      <c r="K2189" s="23"/>
      <c r="L2189" s="350"/>
      <c r="M2189" s="351"/>
      <c r="N2189" s="267">
        <f t="shared" si="575"/>
        <v>0</v>
      </c>
      <c r="O2189" s="268">
        <f t="shared" si="576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9"/>
      <c r="Z2189" s="237"/>
      <c r="AA2189" s="279"/>
      <c r="AB2189" s="238"/>
      <c r="AC2189" s="196">
        <f t="shared" si="570"/>
        <v>0</v>
      </c>
      <c r="AD2189" s="196">
        <f t="shared" si="571"/>
        <v>0</v>
      </c>
      <c r="AE2189" s="196">
        <f t="shared" si="572"/>
        <v>0</v>
      </c>
      <c r="AF2189" s="2">
        <f t="shared" si="573"/>
        <v>0</v>
      </c>
      <c r="AG2189" s="2">
        <f t="shared" si="574"/>
        <v>0</v>
      </c>
    </row>
    <row r="2190" spans="1:33">
      <c r="A2190" s="20" t="s">
        <v>2120</v>
      </c>
      <c r="B2190" s="150"/>
      <c r="C2190" s="21" t="s">
        <v>349</v>
      </c>
      <c r="D2190" s="109" t="s">
        <v>13228</v>
      </c>
      <c r="E2190" s="109"/>
      <c r="F2190" s="391" t="s">
        <v>15266</v>
      </c>
      <c r="G2190" s="23" t="s">
        <v>13349</v>
      </c>
      <c r="H2190" s="23"/>
      <c r="I2190" s="23"/>
      <c r="J2190" s="23"/>
      <c r="K2190" s="23"/>
      <c r="L2190" s="350"/>
      <c r="M2190" s="351" t="s">
        <v>7787</v>
      </c>
      <c r="N2190" s="267">
        <f t="shared" si="575"/>
        <v>0</v>
      </c>
      <c r="O2190" s="268">
        <f t="shared" si="576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7"/>
      <c r="Z2190" s="237"/>
      <c r="AA2190" s="279"/>
      <c r="AB2190" s="238"/>
      <c r="AC2190" s="196">
        <f t="shared" si="570"/>
        <v>0</v>
      </c>
      <c r="AD2190" s="196">
        <f t="shared" si="571"/>
        <v>0</v>
      </c>
      <c r="AE2190" s="196">
        <f t="shared" si="572"/>
        <v>0</v>
      </c>
      <c r="AF2190" s="2">
        <f t="shared" si="573"/>
        <v>0</v>
      </c>
      <c r="AG2190" s="2">
        <f t="shared" si="574"/>
        <v>0</v>
      </c>
    </row>
    <row r="2191" spans="1:33">
      <c r="A2191" s="20" t="s">
        <v>2121</v>
      </c>
      <c r="B2191" s="162" t="s">
        <v>5849</v>
      </c>
      <c r="C2191" s="21" t="s">
        <v>350</v>
      </c>
      <c r="D2191" s="109" t="s">
        <v>13212</v>
      </c>
      <c r="E2191" s="109"/>
      <c r="F2191" s="391" t="s">
        <v>15267</v>
      </c>
      <c r="G2191" s="23" t="s">
        <v>14144</v>
      </c>
      <c r="H2191" s="23" t="s">
        <v>14059</v>
      </c>
      <c r="I2191" s="23"/>
      <c r="J2191" s="23"/>
      <c r="K2191" s="23"/>
      <c r="L2191" s="375" t="s">
        <v>7787</v>
      </c>
      <c r="M2191" s="351"/>
      <c r="N2191" s="267">
        <f t="shared" si="575"/>
        <v>0</v>
      </c>
      <c r="O2191" s="268">
        <f t="shared" si="576"/>
        <v>0</v>
      </c>
      <c r="P2191" s="239"/>
      <c r="Q2191" s="239"/>
      <c r="R2191" s="239"/>
      <c r="S2191" s="239"/>
      <c r="T2191" s="239"/>
      <c r="U2191" s="240"/>
      <c r="V2191" s="240"/>
      <c r="W2191" s="240"/>
      <c r="X2191" s="278"/>
      <c r="Y2191" s="239"/>
      <c r="Z2191" s="237"/>
      <c r="AA2191" s="239"/>
      <c r="AB2191" s="238"/>
      <c r="AC2191" s="196">
        <f t="shared" si="570"/>
        <v>0</v>
      </c>
      <c r="AD2191" s="196">
        <f t="shared" si="571"/>
        <v>0</v>
      </c>
      <c r="AE2191" s="196">
        <f t="shared" si="572"/>
        <v>0</v>
      </c>
      <c r="AF2191" s="2">
        <f t="shared" si="573"/>
        <v>0</v>
      </c>
      <c r="AG2191" s="2">
        <f t="shared" si="574"/>
        <v>0</v>
      </c>
    </row>
    <row r="2192" spans="1:33">
      <c r="A2192" s="20" t="s">
        <v>2125</v>
      </c>
      <c r="B2192" s="162" t="s">
        <v>5952</v>
      </c>
      <c r="C2192" s="21" t="s">
        <v>350</v>
      </c>
      <c r="D2192" s="109" t="s">
        <v>13216</v>
      </c>
      <c r="E2192" s="109"/>
      <c r="F2192" s="391" t="s">
        <v>15268</v>
      </c>
      <c r="G2192" s="23" t="s">
        <v>14144</v>
      </c>
      <c r="H2192" s="23" t="s">
        <v>14002</v>
      </c>
      <c r="I2192" s="23" t="s">
        <v>15269</v>
      </c>
      <c r="J2192" s="23" t="s">
        <v>13970</v>
      </c>
      <c r="K2192" s="23" t="s">
        <v>15784</v>
      </c>
      <c r="L2192" s="375"/>
      <c r="M2192" s="351" t="s">
        <v>7787</v>
      </c>
      <c r="N2192" s="267">
        <f t="shared" si="575"/>
        <v>0</v>
      </c>
      <c r="O2192" s="268">
        <f t="shared" si="576"/>
        <v>0</v>
      </c>
      <c r="P2192" s="239"/>
      <c r="Q2192" s="239"/>
      <c r="R2192" s="239"/>
      <c r="S2192" s="239"/>
      <c r="T2192" s="239"/>
      <c r="U2192" s="240"/>
      <c r="V2192" s="240"/>
      <c r="W2192" s="240"/>
      <c r="X2192" s="278"/>
      <c r="Y2192" s="239"/>
      <c r="Z2192" s="237"/>
      <c r="AA2192" s="279"/>
      <c r="AB2192" s="238"/>
      <c r="AC2192" s="196">
        <f t="shared" si="570"/>
        <v>0</v>
      </c>
      <c r="AD2192" s="196">
        <f t="shared" si="571"/>
        <v>0</v>
      </c>
      <c r="AE2192" s="196">
        <f t="shared" si="572"/>
        <v>0</v>
      </c>
      <c r="AF2192" s="2">
        <f t="shared" si="573"/>
        <v>0</v>
      </c>
      <c r="AG2192" s="2">
        <f t="shared" si="574"/>
        <v>0</v>
      </c>
    </row>
    <row r="2193" spans="1:33">
      <c r="A2193" s="20" t="s">
        <v>22362</v>
      </c>
      <c r="B2193" s="162"/>
      <c r="C2193" s="21" t="s">
        <v>350</v>
      </c>
      <c r="D2193" s="109" t="s">
        <v>3095</v>
      </c>
      <c r="E2193" s="109" t="s">
        <v>22402</v>
      </c>
      <c r="F2193" s="391" t="s">
        <v>4717</v>
      </c>
      <c r="G2193" s="23" t="s">
        <v>6133</v>
      </c>
      <c r="H2193" s="23" t="s">
        <v>22985</v>
      </c>
      <c r="I2193" s="23" t="s">
        <v>25866</v>
      </c>
      <c r="J2193" s="23" t="s">
        <v>25933</v>
      </c>
      <c r="K2193" s="23"/>
      <c r="L2193" s="375" t="s">
        <v>27904</v>
      </c>
      <c r="M2193" s="351" t="s">
        <v>45</v>
      </c>
      <c r="N2193" s="267">
        <f t="shared" si="575"/>
        <v>0</v>
      </c>
      <c r="O2193" s="268">
        <f t="shared" si="576"/>
        <v>850</v>
      </c>
      <c r="P2193" s="239"/>
      <c r="Q2193" s="239">
        <f>1300+1100-500-200-500-100-250</f>
        <v>850</v>
      </c>
      <c r="R2193" s="241"/>
      <c r="S2193" s="239"/>
      <c r="T2193" s="239"/>
      <c r="U2193" s="240"/>
      <c r="V2193" s="244"/>
      <c r="W2193" s="240"/>
      <c r="X2193" s="278"/>
      <c r="Y2193" s="239"/>
      <c r="Z2193" s="237"/>
      <c r="AA2193" s="297"/>
      <c r="AB2193" s="238" t="s">
        <v>27875</v>
      </c>
      <c r="AC2193" s="196">
        <f t="shared" si="570"/>
        <v>850</v>
      </c>
      <c r="AD2193" s="196">
        <f t="shared" si="571"/>
        <v>850</v>
      </c>
      <c r="AE2193" s="196">
        <f t="shared" si="572"/>
        <v>0</v>
      </c>
      <c r="AF2193" s="2">
        <f t="shared" si="573"/>
        <v>850</v>
      </c>
      <c r="AG2193" s="2">
        <f t="shared" si="574"/>
        <v>0</v>
      </c>
    </row>
    <row r="2194" spans="1:33">
      <c r="A2194" s="20" t="s">
        <v>2122</v>
      </c>
      <c r="B2194" s="150"/>
      <c r="C2194" s="21" t="s">
        <v>350</v>
      </c>
      <c r="D2194" s="109" t="s">
        <v>13207</v>
      </c>
      <c r="E2194" s="109"/>
      <c r="F2194" s="391" t="s">
        <v>15268</v>
      </c>
      <c r="G2194" s="23" t="s">
        <v>14197</v>
      </c>
      <c r="H2194" s="23" t="s">
        <v>14248</v>
      </c>
      <c r="I2194" s="23" t="s">
        <v>14014</v>
      </c>
      <c r="J2194" s="23" t="s">
        <v>15226</v>
      </c>
      <c r="K2194" s="23" t="s">
        <v>14051</v>
      </c>
      <c r="L2194" s="375" t="s">
        <v>7787</v>
      </c>
      <c r="M2194" s="351" t="s">
        <v>7787</v>
      </c>
      <c r="N2194" s="267">
        <f t="shared" si="575"/>
        <v>0</v>
      </c>
      <c r="O2194" s="268">
        <f t="shared" si="576"/>
        <v>0</v>
      </c>
      <c r="P2194" s="239"/>
      <c r="Q2194" s="239"/>
      <c r="R2194" s="239"/>
      <c r="S2194" s="239"/>
      <c r="T2194" s="239"/>
      <c r="U2194" s="240"/>
      <c r="V2194" s="239"/>
      <c r="W2194" s="240"/>
      <c r="X2194" s="278"/>
      <c r="Y2194" s="239"/>
      <c r="Z2194" s="237"/>
      <c r="AA2194" s="239"/>
      <c r="AB2194" s="238"/>
      <c r="AC2194" s="196">
        <f t="shared" si="570"/>
        <v>0</v>
      </c>
      <c r="AD2194" s="196">
        <f t="shared" si="571"/>
        <v>0</v>
      </c>
      <c r="AE2194" s="196">
        <f t="shared" si="572"/>
        <v>0</v>
      </c>
      <c r="AF2194" s="2">
        <f t="shared" si="573"/>
        <v>0</v>
      </c>
      <c r="AG2194" s="2">
        <f t="shared" si="574"/>
        <v>0</v>
      </c>
    </row>
    <row r="2195" spans="1:33">
      <c r="A2195" s="20" t="s">
        <v>2124</v>
      </c>
      <c r="B2195" s="150"/>
      <c r="C2195" s="21" t="s">
        <v>350</v>
      </c>
      <c r="D2195" s="109" t="s">
        <v>14177</v>
      </c>
      <c r="E2195" s="109" t="s">
        <v>22458</v>
      </c>
      <c r="F2195" s="391" t="s">
        <v>15270</v>
      </c>
      <c r="G2195" s="23" t="s">
        <v>6133</v>
      </c>
      <c r="H2195" s="23"/>
      <c r="I2195" s="23"/>
      <c r="J2195" s="23"/>
      <c r="K2195" s="23"/>
      <c r="L2195" s="375" t="s">
        <v>7787</v>
      </c>
      <c r="M2195" s="351"/>
      <c r="N2195" s="267">
        <f t="shared" si="575"/>
        <v>0</v>
      </c>
      <c r="O2195" s="268">
        <f t="shared" si="576"/>
        <v>0</v>
      </c>
      <c r="P2195" s="239"/>
      <c r="Q2195" s="241"/>
      <c r="R2195" s="239"/>
      <c r="S2195" s="239"/>
      <c r="T2195" s="239"/>
      <c r="U2195" s="240"/>
      <c r="V2195" s="240"/>
      <c r="W2195" s="240"/>
      <c r="X2195" s="278"/>
      <c r="Y2195" s="239"/>
      <c r="Z2195" s="237"/>
      <c r="AA2195" s="279"/>
      <c r="AB2195" s="238"/>
      <c r="AC2195" s="196">
        <f t="shared" si="570"/>
        <v>0</v>
      </c>
      <c r="AD2195" s="196">
        <f t="shared" si="571"/>
        <v>0</v>
      </c>
      <c r="AE2195" s="196">
        <f t="shared" si="572"/>
        <v>0</v>
      </c>
      <c r="AF2195" s="2">
        <f t="shared" si="573"/>
        <v>0</v>
      </c>
      <c r="AG2195" s="2">
        <f t="shared" si="574"/>
        <v>0</v>
      </c>
    </row>
    <row r="2196" spans="1:33">
      <c r="A2196" s="20" t="s">
        <v>2123</v>
      </c>
      <c r="B2196" s="150"/>
      <c r="C2196" s="21" t="s">
        <v>350</v>
      </c>
      <c r="D2196" s="109" t="s">
        <v>14177</v>
      </c>
      <c r="E2196" s="109" t="s">
        <v>3128</v>
      </c>
      <c r="F2196" s="391" t="s">
        <v>15270</v>
      </c>
      <c r="G2196" s="23" t="s">
        <v>14218</v>
      </c>
      <c r="H2196" s="23" t="s">
        <v>15271</v>
      </c>
      <c r="I2196" s="23" t="s">
        <v>13469</v>
      </c>
      <c r="J2196" s="23"/>
      <c r="K2196" s="23"/>
      <c r="L2196" s="375"/>
      <c r="M2196" s="351" t="s">
        <v>7787</v>
      </c>
      <c r="N2196" s="267">
        <f t="shared" si="575"/>
        <v>0</v>
      </c>
      <c r="O2196" s="268">
        <f t="shared" si="576"/>
        <v>0</v>
      </c>
      <c r="P2196" s="237"/>
      <c r="Q2196" s="237"/>
      <c r="R2196" s="241"/>
      <c r="S2196" s="241"/>
      <c r="T2196" s="237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70"/>
        <v>0</v>
      </c>
      <c r="AD2196" s="196">
        <f t="shared" si="571"/>
        <v>0</v>
      </c>
      <c r="AE2196" s="196">
        <f t="shared" si="572"/>
        <v>0</v>
      </c>
      <c r="AF2196" s="2">
        <f t="shared" si="573"/>
        <v>0</v>
      </c>
      <c r="AG2196" s="2">
        <f t="shared" si="574"/>
        <v>0</v>
      </c>
    </row>
    <row r="2197" spans="1:33">
      <c r="A2197" s="20" t="s">
        <v>7109</v>
      </c>
      <c r="B2197" s="172" t="s">
        <v>15272</v>
      </c>
      <c r="C2197" s="21" t="s">
        <v>350</v>
      </c>
      <c r="D2197" s="109" t="s">
        <v>14179</v>
      </c>
      <c r="E2197" s="109"/>
      <c r="F2197" s="391" t="s">
        <v>15270</v>
      </c>
      <c r="G2197" s="23" t="s">
        <v>14218</v>
      </c>
      <c r="H2197" s="23"/>
      <c r="I2197" s="23"/>
      <c r="J2197" s="23"/>
      <c r="K2197" s="23"/>
      <c r="L2197" s="375" t="s">
        <v>7787</v>
      </c>
      <c r="M2197" s="351" t="s">
        <v>7787</v>
      </c>
      <c r="N2197" s="267">
        <f t="shared" si="575"/>
        <v>0</v>
      </c>
      <c r="O2197" s="268">
        <f t="shared" si="576"/>
        <v>0</v>
      </c>
      <c r="P2197" s="243"/>
      <c r="Q2197" s="243"/>
      <c r="R2197" s="243"/>
      <c r="S2197" s="243"/>
      <c r="T2197" s="243"/>
      <c r="U2197" s="240"/>
      <c r="V2197" s="240"/>
      <c r="W2197" s="240"/>
      <c r="X2197" s="278"/>
      <c r="Y2197" s="237"/>
      <c r="Z2197" s="237"/>
      <c r="AA2197" s="279"/>
      <c r="AB2197" s="238"/>
      <c r="AC2197" s="196">
        <f t="shared" si="570"/>
        <v>0</v>
      </c>
      <c r="AD2197" s="196">
        <f t="shared" si="571"/>
        <v>0</v>
      </c>
      <c r="AE2197" s="196">
        <f t="shared" si="572"/>
        <v>0</v>
      </c>
      <c r="AF2197" s="2">
        <f t="shared" si="573"/>
        <v>0</v>
      </c>
      <c r="AG2197" s="2">
        <f t="shared" si="574"/>
        <v>0</v>
      </c>
    </row>
    <row r="2198" spans="1:33">
      <c r="A2198" s="20" t="s">
        <v>2129</v>
      </c>
      <c r="B2198" s="150"/>
      <c r="C2198" s="21" t="s">
        <v>812</v>
      </c>
      <c r="D2198" s="109" t="s">
        <v>14038</v>
      </c>
      <c r="E2198" s="109"/>
      <c r="F2198" s="391" t="s">
        <v>15273</v>
      </c>
      <c r="G2198" s="23"/>
      <c r="H2198" s="23"/>
      <c r="I2198" s="23"/>
      <c r="J2198" s="23"/>
      <c r="K2198" s="23"/>
      <c r="L2198" s="350"/>
      <c r="M2198" s="351"/>
      <c r="N2198" s="267">
        <f t="shared" si="575"/>
        <v>0</v>
      </c>
      <c r="O2198" s="268">
        <f t="shared" si="576"/>
        <v>0</v>
      </c>
      <c r="P2198" s="239"/>
      <c r="Q2198" s="239"/>
      <c r="R2198" s="239"/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/>
      <c r="AC2198" s="196">
        <f t="shared" si="570"/>
        <v>0</v>
      </c>
      <c r="AD2198" s="196">
        <f t="shared" si="571"/>
        <v>0</v>
      </c>
      <c r="AE2198" s="196">
        <f t="shared" si="572"/>
        <v>0</v>
      </c>
      <c r="AF2198" s="2">
        <f t="shared" si="573"/>
        <v>0</v>
      </c>
      <c r="AG2198" s="2">
        <f t="shared" si="574"/>
        <v>0</v>
      </c>
    </row>
    <row r="2199" spans="1:33">
      <c r="A2199" s="20" t="s">
        <v>2128</v>
      </c>
      <c r="B2199" s="162" t="s">
        <v>15274</v>
      </c>
      <c r="C2199" s="21" t="s">
        <v>351</v>
      </c>
      <c r="D2199" s="109" t="s">
        <v>14126</v>
      </c>
      <c r="E2199" s="109"/>
      <c r="F2199" s="391" t="s">
        <v>15275</v>
      </c>
      <c r="G2199" s="23" t="s">
        <v>14002</v>
      </c>
      <c r="H2199" s="23" t="s">
        <v>14015</v>
      </c>
      <c r="I2199" s="23" t="s">
        <v>24277</v>
      </c>
      <c r="J2199" s="23" t="s">
        <v>24757</v>
      </c>
      <c r="K2199" s="23"/>
      <c r="L2199" s="375" t="s">
        <v>27607</v>
      </c>
      <c r="M2199" s="351" t="s">
        <v>45</v>
      </c>
      <c r="N2199" s="267">
        <f t="shared" si="575"/>
        <v>0</v>
      </c>
      <c r="O2199" s="268">
        <f t="shared" si="576"/>
        <v>750</v>
      </c>
      <c r="P2199" s="239"/>
      <c r="Q2199" s="240"/>
      <c r="R2199" s="240">
        <f>3700-2500-450</f>
        <v>750</v>
      </c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 t="s">
        <v>27606</v>
      </c>
      <c r="AC2199" s="196">
        <f t="shared" si="570"/>
        <v>750</v>
      </c>
      <c r="AD2199" s="196">
        <f t="shared" si="571"/>
        <v>750</v>
      </c>
      <c r="AE2199" s="196">
        <f t="shared" si="572"/>
        <v>0</v>
      </c>
      <c r="AF2199" s="2">
        <f t="shared" si="573"/>
        <v>750</v>
      </c>
      <c r="AG2199" s="2">
        <f t="shared" si="574"/>
        <v>0</v>
      </c>
    </row>
    <row r="2200" spans="1:33">
      <c r="A2200" s="20" t="s">
        <v>2126</v>
      </c>
      <c r="B2200" s="150"/>
      <c r="C2200" s="21" t="s">
        <v>351</v>
      </c>
      <c r="D2200" s="109" t="s">
        <v>13228</v>
      </c>
      <c r="E2200" s="109"/>
      <c r="F2200" s="391" t="s">
        <v>15276</v>
      </c>
      <c r="G2200" s="23"/>
      <c r="H2200" s="23"/>
      <c r="I2200" s="23"/>
      <c r="J2200" s="23"/>
      <c r="K2200" s="23"/>
      <c r="L2200" s="350"/>
      <c r="M2200" s="351"/>
      <c r="N2200" s="267">
        <f t="shared" si="575"/>
        <v>0</v>
      </c>
      <c r="O2200" s="268">
        <f t="shared" si="576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37"/>
      <c r="Z2200" s="237"/>
      <c r="AA2200" s="279"/>
      <c r="AB2200" s="238"/>
      <c r="AC2200" s="196">
        <f t="shared" si="570"/>
        <v>0</v>
      </c>
      <c r="AD2200" s="196">
        <f t="shared" si="571"/>
        <v>0</v>
      </c>
      <c r="AE2200" s="196">
        <f t="shared" si="572"/>
        <v>0</v>
      </c>
      <c r="AF2200" s="2">
        <f t="shared" si="573"/>
        <v>0</v>
      </c>
      <c r="AG2200" s="2">
        <f t="shared" si="574"/>
        <v>0</v>
      </c>
    </row>
    <row r="2201" spans="1:33">
      <c r="A2201" s="20" t="s">
        <v>2127</v>
      </c>
      <c r="B2201" s="150"/>
      <c r="C2201" s="21" t="s">
        <v>351</v>
      </c>
      <c r="D2201" s="109" t="s">
        <v>13207</v>
      </c>
      <c r="E2201" s="109"/>
      <c r="F2201" s="391" t="s">
        <v>15276</v>
      </c>
      <c r="G2201" s="23" t="s">
        <v>14180</v>
      </c>
      <c r="H2201" s="23"/>
      <c r="I2201" s="23"/>
      <c r="J2201" s="23"/>
      <c r="K2201" s="23"/>
      <c r="L2201" s="350"/>
      <c r="M2201" s="351"/>
      <c r="N2201" s="267">
        <f t="shared" si="575"/>
        <v>0</v>
      </c>
      <c r="O2201" s="268">
        <f t="shared" si="576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37"/>
      <c r="Z2201" s="237"/>
      <c r="AA2201" s="279"/>
      <c r="AB2201" s="238"/>
      <c r="AC2201" s="196">
        <f t="shared" si="570"/>
        <v>0</v>
      </c>
      <c r="AD2201" s="196">
        <f t="shared" si="571"/>
        <v>0</v>
      </c>
      <c r="AE2201" s="196">
        <f t="shared" si="572"/>
        <v>0</v>
      </c>
      <c r="AF2201" s="2">
        <f t="shared" si="573"/>
        <v>0</v>
      </c>
      <c r="AG2201" s="2">
        <f t="shared" si="574"/>
        <v>0</v>
      </c>
    </row>
    <row r="2202" spans="1:33">
      <c r="A2202" s="20" t="s">
        <v>2130</v>
      </c>
      <c r="B2202" s="156" t="s">
        <v>15277</v>
      </c>
      <c r="C2202" s="21" t="s">
        <v>352</v>
      </c>
      <c r="D2202" s="109" t="s">
        <v>14038</v>
      </c>
      <c r="E2202" s="109"/>
      <c r="F2202" s="391" t="s">
        <v>15278</v>
      </c>
      <c r="G2202" s="23" t="s">
        <v>14263</v>
      </c>
      <c r="H2202" s="23"/>
      <c r="I2202" s="23"/>
      <c r="J2202" s="23"/>
      <c r="K2202" s="23"/>
      <c r="L2202" s="356" t="s">
        <v>7787</v>
      </c>
      <c r="M2202" s="351" t="s">
        <v>7787</v>
      </c>
      <c r="N2202" s="267">
        <f t="shared" si="575"/>
        <v>0</v>
      </c>
      <c r="O2202" s="268">
        <f t="shared" si="576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40"/>
      <c r="Z2202" s="237"/>
      <c r="AA2202" s="279"/>
      <c r="AB2202" s="238"/>
      <c r="AC2202" s="196">
        <f t="shared" si="570"/>
        <v>0</v>
      </c>
      <c r="AD2202" s="196">
        <f t="shared" si="571"/>
        <v>0</v>
      </c>
      <c r="AE2202" s="196">
        <f t="shared" si="572"/>
        <v>0</v>
      </c>
      <c r="AF2202" s="2">
        <f t="shared" si="573"/>
        <v>0</v>
      </c>
      <c r="AG2202" s="2">
        <f t="shared" si="574"/>
        <v>0</v>
      </c>
    </row>
    <row r="2203" spans="1:33">
      <c r="A2203" s="20" t="s">
        <v>2131</v>
      </c>
      <c r="B2203" s="150"/>
      <c r="C2203" s="21" t="s">
        <v>353</v>
      </c>
      <c r="D2203" s="109" t="s">
        <v>14038</v>
      </c>
      <c r="E2203" s="109"/>
      <c r="F2203" s="391" t="s">
        <v>15279</v>
      </c>
      <c r="G2203" s="23"/>
      <c r="H2203" s="23"/>
      <c r="I2203" s="23"/>
      <c r="J2203" s="23"/>
      <c r="K2203" s="23"/>
      <c r="L2203" s="350"/>
      <c r="M2203" s="351"/>
      <c r="N2203" s="267">
        <f t="shared" si="575"/>
        <v>0</v>
      </c>
      <c r="O2203" s="268">
        <f t="shared" si="576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70"/>
        <v>0</v>
      </c>
      <c r="AD2203" s="196">
        <f t="shared" si="571"/>
        <v>0</v>
      </c>
      <c r="AE2203" s="196">
        <f t="shared" si="572"/>
        <v>0</v>
      </c>
      <c r="AF2203" s="2">
        <f t="shared" si="573"/>
        <v>0</v>
      </c>
      <c r="AG2203" s="2">
        <f t="shared" si="574"/>
        <v>0</v>
      </c>
    </row>
    <row r="2204" spans="1:33">
      <c r="A2204" s="20" t="s">
        <v>2132</v>
      </c>
      <c r="B2204" s="150"/>
      <c r="C2204" s="21" t="s">
        <v>354</v>
      </c>
      <c r="D2204" s="109" t="s">
        <v>13228</v>
      </c>
      <c r="E2204" s="109"/>
      <c r="F2204" s="391" t="s">
        <v>15280</v>
      </c>
      <c r="G2204" s="23"/>
      <c r="H2204" s="23"/>
      <c r="I2204" s="23"/>
      <c r="J2204" s="23"/>
      <c r="K2204" s="23"/>
      <c r="L2204" s="350"/>
      <c r="M2204" s="351"/>
      <c r="N2204" s="267">
        <f t="shared" si="575"/>
        <v>0</v>
      </c>
      <c r="O2204" s="268">
        <f t="shared" si="576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70"/>
        <v>0</v>
      </c>
      <c r="AD2204" s="196">
        <f t="shared" si="571"/>
        <v>0</v>
      </c>
      <c r="AE2204" s="196">
        <f t="shared" si="572"/>
        <v>0</v>
      </c>
      <c r="AF2204" s="2">
        <f t="shared" si="573"/>
        <v>0</v>
      </c>
      <c r="AG2204" s="2">
        <f t="shared" si="574"/>
        <v>0</v>
      </c>
    </row>
    <row r="2205" spans="1:33">
      <c r="A2205" s="20" t="s">
        <v>2133</v>
      </c>
      <c r="B2205" s="150"/>
      <c r="C2205" s="21" t="s">
        <v>355</v>
      </c>
      <c r="D2205" s="109" t="s">
        <v>13228</v>
      </c>
      <c r="E2205" s="109"/>
      <c r="F2205" s="391" t="s">
        <v>17183</v>
      </c>
      <c r="G2205" s="23" t="s">
        <v>17182</v>
      </c>
      <c r="H2205" s="23" t="s">
        <v>13339</v>
      </c>
      <c r="I2205" s="23"/>
      <c r="J2205" s="23"/>
      <c r="K2205" s="23"/>
      <c r="L2205" s="375" t="s">
        <v>7787</v>
      </c>
      <c r="M2205" s="351" t="s">
        <v>7787</v>
      </c>
      <c r="N2205" s="267">
        <f t="shared" si="575"/>
        <v>0</v>
      </c>
      <c r="O2205" s="268">
        <f t="shared" si="576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70"/>
        <v>0</v>
      </c>
      <c r="AD2205" s="196">
        <f t="shared" si="571"/>
        <v>0</v>
      </c>
      <c r="AE2205" s="196">
        <f t="shared" si="572"/>
        <v>0</v>
      </c>
      <c r="AF2205" s="2">
        <f t="shared" si="573"/>
        <v>0</v>
      </c>
      <c r="AG2205" s="2">
        <f t="shared" si="574"/>
        <v>0</v>
      </c>
    </row>
    <row r="2206" spans="1:33">
      <c r="A2206" s="20" t="s">
        <v>2134</v>
      </c>
      <c r="B2206" s="150"/>
      <c r="C2206" s="21" t="s">
        <v>356</v>
      </c>
      <c r="D2206" s="109" t="s">
        <v>14038</v>
      </c>
      <c r="E2206" s="109"/>
      <c r="F2206" s="391" t="s">
        <v>15281</v>
      </c>
      <c r="G2206" s="23" t="s">
        <v>14263</v>
      </c>
      <c r="H2206" s="23"/>
      <c r="I2206" s="23"/>
      <c r="J2206" s="23"/>
      <c r="K2206" s="23"/>
      <c r="L2206" s="350"/>
      <c r="M2206" s="351"/>
      <c r="N2206" s="267">
        <f t="shared" si="575"/>
        <v>0</v>
      </c>
      <c r="O2206" s="268">
        <f t="shared" si="576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70"/>
        <v>0</v>
      </c>
      <c r="AD2206" s="196">
        <f t="shared" si="571"/>
        <v>0</v>
      </c>
      <c r="AE2206" s="196">
        <f t="shared" si="572"/>
        <v>0</v>
      </c>
      <c r="AF2206" s="2">
        <f t="shared" si="573"/>
        <v>0</v>
      </c>
      <c r="AG2206" s="2">
        <f t="shared" si="574"/>
        <v>0</v>
      </c>
    </row>
    <row r="2207" spans="1:33">
      <c r="A2207" s="20" t="s">
        <v>2135</v>
      </c>
      <c r="B2207" s="150"/>
      <c r="C2207" s="21" t="s">
        <v>356</v>
      </c>
      <c r="D2207" s="109" t="s">
        <v>14425</v>
      </c>
      <c r="E2207" s="109"/>
      <c r="F2207" s="391" t="s">
        <v>15281</v>
      </c>
      <c r="G2207" s="23" t="s">
        <v>13976</v>
      </c>
      <c r="H2207" s="23" t="s">
        <v>14099</v>
      </c>
      <c r="I2207" s="23" t="s">
        <v>15282</v>
      </c>
      <c r="J2207" s="23"/>
      <c r="K2207" s="23"/>
      <c r="L2207" s="375" t="s">
        <v>7787</v>
      </c>
      <c r="M2207" s="351" t="s">
        <v>7787</v>
      </c>
      <c r="N2207" s="267">
        <f t="shared" si="575"/>
        <v>0</v>
      </c>
      <c r="O2207" s="268">
        <f t="shared" si="576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70"/>
        <v>0</v>
      </c>
      <c r="AD2207" s="196">
        <f t="shared" si="571"/>
        <v>0</v>
      </c>
      <c r="AE2207" s="196">
        <f t="shared" si="572"/>
        <v>0</v>
      </c>
      <c r="AF2207" s="2">
        <f t="shared" si="573"/>
        <v>0</v>
      </c>
      <c r="AG2207" s="2">
        <f t="shared" si="574"/>
        <v>0</v>
      </c>
    </row>
    <row r="2208" spans="1:33">
      <c r="A2208" s="20" t="s">
        <v>2136</v>
      </c>
      <c r="B2208" s="150"/>
      <c r="C2208" s="21" t="s">
        <v>357</v>
      </c>
      <c r="D2208" s="109" t="s">
        <v>14004</v>
      </c>
      <c r="E2208" s="109" t="s">
        <v>13210</v>
      </c>
      <c r="F2208" s="391" t="s">
        <v>15283</v>
      </c>
      <c r="G2208" s="23"/>
      <c r="H2208" s="23"/>
      <c r="I2208" s="23"/>
      <c r="J2208" s="23"/>
      <c r="K2208" s="23"/>
      <c r="L2208" s="350"/>
      <c r="M2208" s="351"/>
      <c r="N2208" s="267">
        <f t="shared" si="575"/>
        <v>0</v>
      </c>
      <c r="O2208" s="268">
        <f t="shared" si="576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79"/>
      <c r="AB2208" s="238"/>
      <c r="AC2208" s="196">
        <f t="shared" si="570"/>
        <v>0</v>
      </c>
      <c r="AD2208" s="196">
        <f t="shared" si="571"/>
        <v>0</v>
      </c>
      <c r="AE2208" s="196">
        <f t="shared" si="572"/>
        <v>0</v>
      </c>
      <c r="AF2208" s="2">
        <f t="shared" si="573"/>
        <v>0</v>
      </c>
      <c r="AG2208" s="2">
        <f t="shared" si="574"/>
        <v>0</v>
      </c>
    </row>
    <row r="2209" spans="1:33">
      <c r="A2209" s="20" t="s">
        <v>2137</v>
      </c>
      <c r="B2209" s="150"/>
      <c r="C2209" s="21" t="s">
        <v>357</v>
      </c>
      <c r="D2209" s="109" t="s">
        <v>13228</v>
      </c>
      <c r="E2209" s="109"/>
      <c r="F2209" s="391" t="s">
        <v>15283</v>
      </c>
      <c r="G2209" s="412" t="s">
        <v>18816</v>
      </c>
      <c r="H2209" s="23"/>
      <c r="I2209" s="23"/>
      <c r="J2209" s="23"/>
      <c r="K2209" s="23"/>
      <c r="L2209" s="375"/>
      <c r="M2209" s="351"/>
      <c r="N2209" s="267">
        <f t="shared" si="575"/>
        <v>0</v>
      </c>
      <c r="O2209" s="268">
        <f t="shared" si="576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79"/>
      <c r="AB2209" s="238"/>
      <c r="AC2209" s="196">
        <f t="shared" si="570"/>
        <v>0</v>
      </c>
      <c r="AD2209" s="196">
        <f t="shared" si="571"/>
        <v>0</v>
      </c>
      <c r="AE2209" s="196">
        <f t="shared" si="572"/>
        <v>0</v>
      </c>
      <c r="AF2209" s="2">
        <f t="shared" si="573"/>
        <v>0</v>
      </c>
      <c r="AG2209" s="2">
        <f t="shared" si="574"/>
        <v>0</v>
      </c>
    </row>
    <row r="2210" spans="1:33">
      <c r="A2210" s="20" t="s">
        <v>2138</v>
      </c>
      <c r="B2210" s="150"/>
      <c r="C2210" s="21" t="s">
        <v>357</v>
      </c>
      <c r="D2210" s="109" t="s">
        <v>13207</v>
      </c>
      <c r="E2210" s="109"/>
      <c r="F2210" s="391" t="s">
        <v>15283</v>
      </c>
      <c r="G2210" s="23"/>
      <c r="H2210" s="23"/>
      <c r="I2210" s="23"/>
      <c r="J2210" s="23"/>
      <c r="K2210" s="23"/>
      <c r="L2210" s="350"/>
      <c r="M2210" s="351"/>
      <c r="N2210" s="267">
        <f t="shared" si="575"/>
        <v>0</v>
      </c>
      <c r="O2210" s="268">
        <f t="shared" si="576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85"/>
      <c r="AB2210" s="238"/>
      <c r="AC2210" s="196">
        <f t="shared" si="570"/>
        <v>0</v>
      </c>
      <c r="AD2210" s="196">
        <f t="shared" si="571"/>
        <v>0</v>
      </c>
      <c r="AE2210" s="196">
        <f t="shared" si="572"/>
        <v>0</v>
      </c>
      <c r="AF2210" s="2">
        <f t="shared" si="573"/>
        <v>0</v>
      </c>
      <c r="AG2210" s="2">
        <f t="shared" si="574"/>
        <v>0</v>
      </c>
    </row>
    <row r="2211" spans="1:33">
      <c r="A2211" s="20" t="s">
        <v>2141</v>
      </c>
      <c r="B2211" s="150"/>
      <c r="C2211" s="21" t="s">
        <v>358</v>
      </c>
      <c r="D2211" s="109" t="s">
        <v>14004</v>
      </c>
      <c r="E2211" s="109" t="s">
        <v>13210</v>
      </c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5"/>
        <v>0</v>
      </c>
      <c r="O2211" s="268">
        <f t="shared" si="576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ref="AC2211:AC2274" si="577">SUM(P2211:AA2211)</f>
        <v>0</v>
      </c>
      <c r="AD2211" s="196">
        <f t="shared" ref="AD2211:AD2274" si="578">SUM(P2211:AB2211)</f>
        <v>0</v>
      </c>
      <c r="AE2211" s="196">
        <f t="shared" ref="AE2211:AE2274" si="579">SUM(AC2211-AD2211)</f>
        <v>0</v>
      </c>
      <c r="AF2211" s="2">
        <f t="shared" ref="AF2211:AF2274" si="580">+AC2211</f>
        <v>0</v>
      </c>
      <c r="AG2211" s="2">
        <f t="shared" ref="AG2211:AG2274" si="581">+AC2211-AF2211</f>
        <v>0</v>
      </c>
    </row>
    <row r="2212" spans="1:33">
      <c r="A2212" s="20" t="s">
        <v>2139</v>
      </c>
      <c r="B2212" s="150"/>
      <c r="C2212" s="21" t="s">
        <v>358</v>
      </c>
      <c r="D2212" s="109" t="s">
        <v>13228</v>
      </c>
      <c r="E2212" s="109"/>
      <c r="F2212" s="391" t="s">
        <v>15284</v>
      </c>
      <c r="G2212" s="23"/>
      <c r="H2212" s="23"/>
      <c r="I2212" s="23"/>
      <c r="J2212" s="23"/>
      <c r="K2212" s="23"/>
      <c r="L2212" s="350"/>
      <c r="M2212" s="351"/>
      <c r="N2212" s="267">
        <f t="shared" si="575"/>
        <v>0</v>
      </c>
      <c r="O2212" s="268">
        <f t="shared" si="576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7"/>
        <v>0</v>
      </c>
      <c r="AD2212" s="196">
        <f t="shared" si="578"/>
        <v>0</v>
      </c>
      <c r="AE2212" s="196">
        <f t="shared" si="579"/>
        <v>0</v>
      </c>
      <c r="AF2212" s="2">
        <f t="shared" si="580"/>
        <v>0</v>
      </c>
      <c r="AG2212" s="2">
        <f t="shared" si="581"/>
        <v>0</v>
      </c>
    </row>
    <row r="2213" spans="1:33">
      <c r="A2213" s="20" t="s">
        <v>2140</v>
      </c>
      <c r="B2213" s="150"/>
      <c r="C2213" s="21" t="s">
        <v>358</v>
      </c>
      <c r="D2213" s="109" t="s">
        <v>13207</v>
      </c>
      <c r="E2213" s="109"/>
      <c r="F2213" s="391" t="s">
        <v>15284</v>
      </c>
      <c r="G2213" s="23"/>
      <c r="H2213" s="23"/>
      <c r="I2213" s="23"/>
      <c r="J2213" s="23"/>
      <c r="K2213" s="23"/>
      <c r="L2213" s="350"/>
      <c r="M2213" s="351"/>
      <c r="N2213" s="267">
        <f t="shared" si="575"/>
        <v>0</v>
      </c>
      <c r="O2213" s="268">
        <f t="shared" si="576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7"/>
        <v>0</v>
      </c>
      <c r="AD2213" s="196">
        <f t="shared" si="578"/>
        <v>0</v>
      </c>
      <c r="AE2213" s="196">
        <f t="shared" si="579"/>
        <v>0</v>
      </c>
      <c r="AF2213" s="2">
        <f t="shared" si="580"/>
        <v>0</v>
      </c>
      <c r="AG2213" s="2">
        <f t="shared" si="581"/>
        <v>0</v>
      </c>
    </row>
    <row r="2214" spans="1:33">
      <c r="A2214" s="20" t="s">
        <v>2142</v>
      </c>
      <c r="B2214" s="150"/>
      <c r="C2214" s="21" t="s">
        <v>359</v>
      </c>
      <c r="D2214" s="109" t="s">
        <v>13239</v>
      </c>
      <c r="E2214" s="109"/>
      <c r="F2214" s="391" t="s">
        <v>15285</v>
      </c>
      <c r="G2214" s="23"/>
      <c r="H2214" s="23"/>
      <c r="I2214" s="23"/>
      <c r="J2214" s="23"/>
      <c r="K2214" s="23"/>
      <c r="L2214" s="350"/>
      <c r="M2214" s="351"/>
      <c r="N2214" s="267">
        <f t="shared" si="575"/>
        <v>0</v>
      </c>
      <c r="O2214" s="268">
        <f t="shared" si="576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7"/>
        <v>0</v>
      </c>
      <c r="AD2214" s="196">
        <f t="shared" si="578"/>
        <v>0</v>
      </c>
      <c r="AE2214" s="196">
        <f t="shared" si="579"/>
        <v>0</v>
      </c>
      <c r="AF2214" s="2">
        <f t="shared" si="580"/>
        <v>0</v>
      </c>
      <c r="AG2214" s="2">
        <f t="shared" si="581"/>
        <v>0</v>
      </c>
    </row>
    <row r="2215" spans="1:33">
      <c r="A2215" s="20" t="s">
        <v>2143</v>
      </c>
      <c r="B2215" s="150"/>
      <c r="C2215" s="21" t="s">
        <v>360</v>
      </c>
      <c r="D2215" s="109" t="s">
        <v>14425</v>
      </c>
      <c r="E2215" s="109"/>
      <c r="F2215" s="391" t="s">
        <v>15286</v>
      </c>
      <c r="G2215" s="23"/>
      <c r="H2215" s="23"/>
      <c r="I2215" s="23"/>
      <c r="J2215" s="23"/>
      <c r="K2215" s="23"/>
      <c r="L2215" s="350"/>
      <c r="M2215" s="351"/>
      <c r="N2215" s="267">
        <f t="shared" si="575"/>
        <v>0</v>
      </c>
      <c r="O2215" s="268">
        <f t="shared" si="576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7"/>
        <v>0</v>
      </c>
      <c r="AD2215" s="196">
        <f t="shared" si="578"/>
        <v>0</v>
      </c>
      <c r="AE2215" s="196">
        <f t="shared" si="579"/>
        <v>0</v>
      </c>
      <c r="AF2215" s="2">
        <f t="shared" si="580"/>
        <v>0</v>
      </c>
      <c r="AG2215" s="2">
        <f t="shared" si="581"/>
        <v>0</v>
      </c>
    </row>
    <row r="2216" spans="1:33">
      <c r="A2216" s="20" t="s">
        <v>2144</v>
      </c>
      <c r="B2216" s="150"/>
      <c r="C2216" s="21" t="s">
        <v>361</v>
      </c>
      <c r="D2216" s="109" t="s">
        <v>13207</v>
      </c>
      <c r="E2216" s="109"/>
      <c r="F2216" s="391" t="s">
        <v>15287</v>
      </c>
      <c r="G2216" s="23"/>
      <c r="H2216" s="23"/>
      <c r="I2216" s="23"/>
      <c r="J2216" s="23"/>
      <c r="K2216" s="23"/>
      <c r="L2216" s="350"/>
      <c r="M2216" s="351"/>
      <c r="N2216" s="267">
        <f t="shared" si="575"/>
        <v>0</v>
      </c>
      <c r="O2216" s="268">
        <f t="shared" si="576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7"/>
      <c r="Z2216" s="237"/>
      <c r="AA2216" s="279"/>
      <c r="AB2216" s="238"/>
      <c r="AC2216" s="196">
        <f t="shared" si="577"/>
        <v>0</v>
      </c>
      <c r="AD2216" s="196">
        <f t="shared" si="578"/>
        <v>0</v>
      </c>
      <c r="AE2216" s="196">
        <f t="shared" si="579"/>
        <v>0</v>
      </c>
      <c r="AF2216" s="2">
        <f t="shared" si="580"/>
        <v>0</v>
      </c>
      <c r="AG2216" s="2">
        <f t="shared" si="581"/>
        <v>0</v>
      </c>
    </row>
    <row r="2217" spans="1:33">
      <c r="A2217" s="20" t="s">
        <v>2145</v>
      </c>
      <c r="B2217" s="150"/>
      <c r="C2217" s="21" t="s">
        <v>362</v>
      </c>
      <c r="D2217" s="109" t="s">
        <v>13207</v>
      </c>
      <c r="E2217" s="109"/>
      <c r="F2217" s="391" t="s">
        <v>15288</v>
      </c>
      <c r="G2217" s="23"/>
      <c r="H2217" s="23"/>
      <c r="I2217" s="23"/>
      <c r="J2217" s="23"/>
      <c r="K2217" s="23"/>
      <c r="L2217" s="350"/>
      <c r="M2217" s="351"/>
      <c r="N2217" s="267">
        <f t="shared" si="575"/>
        <v>0</v>
      </c>
      <c r="O2217" s="268">
        <f t="shared" si="576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7"/>
      <c r="Z2217" s="237"/>
      <c r="AA2217" s="279"/>
      <c r="AB2217" s="238"/>
      <c r="AC2217" s="196">
        <f t="shared" si="577"/>
        <v>0</v>
      </c>
      <c r="AD2217" s="196">
        <f t="shared" si="578"/>
        <v>0</v>
      </c>
      <c r="AE2217" s="196">
        <f t="shared" si="579"/>
        <v>0</v>
      </c>
      <c r="AF2217" s="2">
        <f t="shared" si="580"/>
        <v>0</v>
      </c>
      <c r="AG2217" s="2">
        <f t="shared" si="581"/>
        <v>0</v>
      </c>
    </row>
    <row r="2218" spans="1:33">
      <c r="A2218" s="20" t="s">
        <v>2146</v>
      </c>
      <c r="B2218" s="150"/>
      <c r="C2218" s="21" t="s">
        <v>813</v>
      </c>
      <c r="D2218" s="109" t="s">
        <v>14038</v>
      </c>
      <c r="E2218" s="109"/>
      <c r="F2218" s="391" t="s">
        <v>15289</v>
      </c>
      <c r="G2218" s="23"/>
      <c r="H2218" s="23"/>
      <c r="I2218" s="23"/>
      <c r="J2218" s="23"/>
      <c r="K2218" s="23"/>
      <c r="L2218" s="350"/>
      <c r="M2218" s="351"/>
      <c r="N2218" s="267">
        <f t="shared" si="575"/>
        <v>0</v>
      </c>
      <c r="O2218" s="268">
        <f t="shared" si="576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9"/>
      <c r="Z2218" s="237"/>
      <c r="AA2218" s="279"/>
      <c r="AB2218" s="238"/>
      <c r="AC2218" s="196">
        <f t="shared" si="577"/>
        <v>0</v>
      </c>
      <c r="AD2218" s="196">
        <f t="shared" si="578"/>
        <v>0</v>
      </c>
      <c r="AE2218" s="196">
        <f t="shared" si="579"/>
        <v>0</v>
      </c>
      <c r="AF2218" s="2">
        <f t="shared" si="580"/>
        <v>0</v>
      </c>
      <c r="AG2218" s="2">
        <f t="shared" si="581"/>
        <v>0</v>
      </c>
    </row>
    <row r="2219" spans="1:33">
      <c r="A2219" s="20" t="s">
        <v>2152</v>
      </c>
      <c r="B2219" s="150"/>
      <c r="C2219" s="21" t="s">
        <v>363</v>
      </c>
      <c r="D2219" s="109" t="s">
        <v>13991</v>
      </c>
      <c r="E2219" s="109" t="s">
        <v>14077</v>
      </c>
      <c r="F2219" s="391" t="s">
        <v>15290</v>
      </c>
      <c r="G2219" s="23" t="s">
        <v>14059</v>
      </c>
      <c r="H2219" s="23"/>
      <c r="I2219" s="23"/>
      <c r="J2219" s="23"/>
      <c r="K2219" s="23"/>
      <c r="L2219" s="350"/>
      <c r="M2219" s="351"/>
      <c r="N2219" s="267">
        <f t="shared" si="575"/>
        <v>0</v>
      </c>
      <c r="O2219" s="268">
        <f t="shared" si="576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79"/>
      <c r="AB2219" s="238"/>
      <c r="AC2219" s="196">
        <f t="shared" si="577"/>
        <v>0</v>
      </c>
      <c r="AD2219" s="196">
        <f t="shared" si="578"/>
        <v>0</v>
      </c>
      <c r="AE2219" s="196">
        <f t="shared" si="579"/>
        <v>0</v>
      </c>
      <c r="AF2219" s="2">
        <f t="shared" si="580"/>
        <v>0</v>
      </c>
      <c r="AG2219" s="2">
        <f t="shared" si="581"/>
        <v>0</v>
      </c>
    </row>
    <row r="2220" spans="1:33">
      <c r="A2220" s="20" t="s">
        <v>2151</v>
      </c>
      <c r="B2220" s="152"/>
      <c r="C2220" s="21" t="s">
        <v>363</v>
      </c>
      <c r="D2220" s="109" t="s">
        <v>13991</v>
      </c>
      <c r="E2220" s="109" t="s">
        <v>14075</v>
      </c>
      <c r="F2220" s="391" t="s">
        <v>15290</v>
      </c>
      <c r="G2220" s="23" t="s">
        <v>14059</v>
      </c>
      <c r="H2220" s="23"/>
      <c r="I2220" s="23"/>
      <c r="J2220" s="23"/>
      <c r="K2220" s="23"/>
      <c r="L2220" s="375" t="s">
        <v>7787</v>
      </c>
      <c r="M2220" s="351"/>
      <c r="N2220" s="267">
        <f t="shared" si="575"/>
        <v>0</v>
      </c>
      <c r="O2220" s="268">
        <f t="shared" si="576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79"/>
      <c r="AB2220" s="238"/>
      <c r="AC2220" s="196">
        <f t="shared" si="577"/>
        <v>0</v>
      </c>
      <c r="AD2220" s="196">
        <f t="shared" si="578"/>
        <v>0</v>
      </c>
      <c r="AE2220" s="196">
        <f t="shared" si="579"/>
        <v>0</v>
      </c>
      <c r="AF2220" s="2">
        <f t="shared" si="580"/>
        <v>0</v>
      </c>
      <c r="AG2220" s="2">
        <f t="shared" si="581"/>
        <v>0</v>
      </c>
    </row>
    <row r="2221" spans="1:33">
      <c r="A2221" s="20" t="s">
        <v>2153</v>
      </c>
      <c r="B2221" s="150"/>
      <c r="C2221" s="21" t="s">
        <v>363</v>
      </c>
      <c r="D2221" s="109" t="s">
        <v>14041</v>
      </c>
      <c r="E2221" s="109" t="s">
        <v>13203</v>
      </c>
      <c r="F2221" s="391" t="s">
        <v>15290</v>
      </c>
      <c r="G2221" s="23"/>
      <c r="H2221" s="23"/>
      <c r="I2221" s="23"/>
      <c r="J2221" s="23"/>
      <c r="K2221" s="23"/>
      <c r="L2221" s="350"/>
      <c r="M2221" s="351"/>
      <c r="N2221" s="267">
        <f t="shared" si="575"/>
        <v>0</v>
      </c>
      <c r="O2221" s="268">
        <f t="shared" si="576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7"/>
        <v>0</v>
      </c>
      <c r="AD2221" s="196">
        <f t="shared" si="578"/>
        <v>0</v>
      </c>
      <c r="AE2221" s="196">
        <f t="shared" si="579"/>
        <v>0</v>
      </c>
      <c r="AF2221" s="2">
        <f t="shared" si="580"/>
        <v>0</v>
      </c>
      <c r="AG2221" s="2">
        <f t="shared" si="581"/>
        <v>0</v>
      </c>
    </row>
    <row r="2222" spans="1:33">
      <c r="A2222" s="20" t="s">
        <v>2154</v>
      </c>
      <c r="B2222" s="150"/>
      <c r="C2222" s="21" t="s">
        <v>363</v>
      </c>
      <c r="D2222" s="109" t="s">
        <v>14041</v>
      </c>
      <c r="E2222" s="109" t="s">
        <v>13994</v>
      </c>
      <c r="F2222" s="391" t="s">
        <v>15290</v>
      </c>
      <c r="G2222" s="23" t="s">
        <v>7855</v>
      </c>
      <c r="H2222" s="23"/>
      <c r="I2222" s="23"/>
      <c r="J2222" s="23"/>
      <c r="K2222" s="23"/>
      <c r="L2222" s="350"/>
      <c r="M2222" s="351"/>
      <c r="N2222" s="267">
        <f t="shared" si="575"/>
        <v>0</v>
      </c>
      <c r="O2222" s="268">
        <f t="shared" si="576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7"/>
        <v>0</v>
      </c>
      <c r="AD2222" s="196">
        <f t="shared" si="578"/>
        <v>0</v>
      </c>
      <c r="AE2222" s="196">
        <f t="shared" si="579"/>
        <v>0</v>
      </c>
      <c r="AF2222" s="2">
        <f t="shared" si="580"/>
        <v>0</v>
      </c>
      <c r="AG2222" s="2">
        <f t="shared" si="581"/>
        <v>0</v>
      </c>
    </row>
    <row r="2223" spans="1:33">
      <c r="A2223" s="20" t="s">
        <v>18332</v>
      </c>
      <c r="B2223" s="150"/>
      <c r="C2223" s="21" t="s">
        <v>363</v>
      </c>
      <c r="D2223" s="109" t="s">
        <v>18366</v>
      </c>
      <c r="E2223" s="109" t="s">
        <v>18367</v>
      </c>
      <c r="F2223" s="391" t="s">
        <v>4734</v>
      </c>
      <c r="G2223" s="23" t="s">
        <v>13899</v>
      </c>
      <c r="H2223" s="23"/>
      <c r="I2223" s="23"/>
      <c r="J2223" s="23"/>
      <c r="K2223" s="23"/>
      <c r="L2223" s="350" t="s">
        <v>7787</v>
      </c>
      <c r="M2223" s="351">
        <v>0</v>
      </c>
      <c r="N2223" s="267">
        <f t="shared" si="575"/>
        <v>0</v>
      </c>
      <c r="O2223" s="268">
        <f t="shared" si="576"/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85"/>
      <c r="AB2223" s="238"/>
      <c r="AC2223" s="196">
        <f t="shared" si="577"/>
        <v>0</v>
      </c>
      <c r="AD2223" s="196">
        <f t="shared" si="578"/>
        <v>0</v>
      </c>
      <c r="AE2223" s="196">
        <f t="shared" si="579"/>
        <v>0</v>
      </c>
      <c r="AF2223" s="2">
        <f t="shared" si="580"/>
        <v>0</v>
      </c>
      <c r="AG2223" s="2">
        <f t="shared" si="581"/>
        <v>0</v>
      </c>
    </row>
    <row r="2224" spans="1:33">
      <c r="A2224" s="20" t="s">
        <v>18402</v>
      </c>
      <c r="B2224" s="150"/>
      <c r="C2224" s="21" t="s">
        <v>363</v>
      </c>
      <c r="D2224" s="109" t="s">
        <v>18366</v>
      </c>
      <c r="E2224" s="109" t="s">
        <v>18371</v>
      </c>
      <c r="F2224" s="391" t="s">
        <v>4734</v>
      </c>
      <c r="G2224" s="23" t="s">
        <v>13899</v>
      </c>
      <c r="H2224" s="23"/>
      <c r="I2224" s="23"/>
      <c r="J2224" s="23"/>
      <c r="K2224" s="23"/>
      <c r="L2224" s="375" t="s">
        <v>7787</v>
      </c>
      <c r="M2224" s="351">
        <v>0</v>
      </c>
      <c r="N2224" s="267">
        <f t="shared" si="575"/>
        <v>0</v>
      </c>
      <c r="O2224" s="268">
        <f t="shared" si="576"/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85"/>
      <c r="AB2224" s="238"/>
      <c r="AC2224" s="196">
        <f t="shared" si="577"/>
        <v>0</v>
      </c>
      <c r="AD2224" s="196">
        <f t="shared" si="578"/>
        <v>0</v>
      </c>
      <c r="AE2224" s="196">
        <f t="shared" si="579"/>
        <v>0</v>
      </c>
      <c r="AF2224" s="2">
        <f t="shared" si="580"/>
        <v>0</v>
      </c>
      <c r="AG2224" s="2">
        <f t="shared" si="581"/>
        <v>0</v>
      </c>
    </row>
    <row r="2225" spans="1:33">
      <c r="A2225" s="20" t="s">
        <v>2148</v>
      </c>
      <c r="B2225" s="150"/>
      <c r="C2225" s="21" t="s">
        <v>363</v>
      </c>
      <c r="D2225" s="109" t="s">
        <v>14004</v>
      </c>
      <c r="E2225" s="109" t="s">
        <v>15291</v>
      </c>
      <c r="F2225" s="391" t="s">
        <v>15290</v>
      </c>
      <c r="G2225" s="23" t="s">
        <v>7855</v>
      </c>
      <c r="H2225" s="23"/>
      <c r="I2225" s="23"/>
      <c r="J2225" s="23"/>
      <c r="K2225" s="23"/>
      <c r="L2225" s="350"/>
      <c r="M2225" s="351"/>
      <c r="N2225" s="267">
        <f t="shared" ref="N2225:N2288" si="582">SUM(L2225:M2225)</f>
        <v>0</v>
      </c>
      <c r="O2225" s="268">
        <f t="shared" ref="O2225:O2288" si="583">SUM(P2225:Z2225)</f>
        <v>0</v>
      </c>
      <c r="P2225" s="239"/>
      <c r="Q2225" s="239"/>
      <c r="R2225" s="239"/>
      <c r="S2225" s="239"/>
      <c r="T2225" s="239"/>
      <c r="U2225" s="240"/>
      <c r="V2225" s="240"/>
      <c r="W2225" s="240"/>
      <c r="X2225" s="278"/>
      <c r="Y2225" s="237"/>
      <c r="Z2225" s="237"/>
      <c r="AA2225" s="279"/>
      <c r="AB2225" s="238"/>
      <c r="AC2225" s="196">
        <f t="shared" si="577"/>
        <v>0</v>
      </c>
      <c r="AD2225" s="196">
        <f t="shared" si="578"/>
        <v>0</v>
      </c>
      <c r="AE2225" s="196">
        <f t="shared" si="579"/>
        <v>0</v>
      </c>
      <c r="AF2225" s="2">
        <f t="shared" si="580"/>
        <v>0</v>
      </c>
      <c r="AG2225" s="2">
        <f t="shared" si="581"/>
        <v>0</v>
      </c>
    </row>
    <row r="2226" spans="1:33">
      <c r="A2226" s="20" t="s">
        <v>2147</v>
      </c>
      <c r="B2226" s="150"/>
      <c r="C2226" s="21" t="s">
        <v>363</v>
      </c>
      <c r="D2226" s="109" t="s">
        <v>14004</v>
      </c>
      <c r="E2226" s="109" t="s">
        <v>13210</v>
      </c>
      <c r="F2226" s="391" t="s">
        <v>15290</v>
      </c>
      <c r="G2226" s="23" t="s">
        <v>14044</v>
      </c>
      <c r="H2226" s="23"/>
      <c r="I2226" s="23"/>
      <c r="J2226" s="23"/>
      <c r="K2226" s="23"/>
      <c r="L2226" s="375" t="s">
        <v>7787</v>
      </c>
      <c r="M2226" s="351"/>
      <c r="N2226" s="267">
        <f t="shared" si="582"/>
        <v>0</v>
      </c>
      <c r="O2226" s="268">
        <f t="shared" si="583"/>
        <v>0</v>
      </c>
      <c r="P2226" s="239"/>
      <c r="Q2226" s="239"/>
      <c r="R2226" s="239"/>
      <c r="S2226" s="239"/>
      <c r="T2226" s="239"/>
      <c r="U2226" s="240"/>
      <c r="V2226" s="240"/>
      <c r="W2226" s="240"/>
      <c r="X2226" s="278"/>
      <c r="Y2226" s="237"/>
      <c r="Z2226" s="237"/>
      <c r="AA2226" s="279"/>
      <c r="AB2226" s="238"/>
      <c r="AC2226" s="196">
        <f t="shared" si="577"/>
        <v>0</v>
      </c>
      <c r="AD2226" s="196">
        <f t="shared" si="578"/>
        <v>0</v>
      </c>
      <c r="AE2226" s="196">
        <f t="shared" si="579"/>
        <v>0</v>
      </c>
      <c r="AF2226" s="2">
        <f t="shared" si="580"/>
        <v>0</v>
      </c>
      <c r="AG2226" s="2">
        <f t="shared" si="581"/>
        <v>0</v>
      </c>
    </row>
    <row r="2227" spans="1:33">
      <c r="A2227" s="20" t="s">
        <v>2149</v>
      </c>
      <c r="B2227" s="150"/>
      <c r="C2227" s="21" t="s">
        <v>363</v>
      </c>
      <c r="D2227" s="109" t="s">
        <v>13228</v>
      </c>
      <c r="E2227" s="109"/>
      <c r="F2227" s="391" t="s">
        <v>15290</v>
      </c>
      <c r="G2227" s="23" t="s">
        <v>14002</v>
      </c>
      <c r="H2227" s="23" t="s">
        <v>15292</v>
      </c>
      <c r="I2227" s="23" t="s">
        <v>13218</v>
      </c>
      <c r="J2227" s="23"/>
      <c r="K2227" s="23"/>
      <c r="L2227" s="375" t="s">
        <v>7787</v>
      </c>
      <c r="M2227" s="351"/>
      <c r="N2227" s="267">
        <f t="shared" si="582"/>
        <v>0</v>
      </c>
      <c r="O2227" s="268">
        <f t="shared" si="583"/>
        <v>0</v>
      </c>
      <c r="P2227" s="239"/>
      <c r="Q2227" s="239"/>
      <c r="R2227" s="239"/>
      <c r="S2227" s="239"/>
      <c r="T2227" s="239"/>
      <c r="U2227" s="240"/>
      <c r="V2227" s="239"/>
      <c r="W2227" s="240"/>
      <c r="X2227" s="278"/>
      <c r="Y2227" s="237"/>
      <c r="Z2227" s="237"/>
      <c r="AA2227" s="239"/>
      <c r="AB2227" s="238"/>
      <c r="AC2227" s="196">
        <f t="shared" si="577"/>
        <v>0</v>
      </c>
      <c r="AD2227" s="196">
        <f t="shared" si="578"/>
        <v>0</v>
      </c>
      <c r="AE2227" s="196">
        <f t="shared" si="579"/>
        <v>0</v>
      </c>
      <c r="AF2227" s="2">
        <f t="shared" si="580"/>
        <v>0</v>
      </c>
      <c r="AG2227" s="2">
        <f t="shared" si="581"/>
        <v>0</v>
      </c>
    </row>
    <row r="2228" spans="1:33">
      <c r="A2228" s="20" t="s">
        <v>8835</v>
      </c>
      <c r="B2228" s="150"/>
      <c r="C2228" s="21" t="s">
        <v>363</v>
      </c>
      <c r="D2228" s="109" t="s">
        <v>13228</v>
      </c>
      <c r="E2228" s="109" t="s">
        <v>15293</v>
      </c>
      <c r="F2228" s="391" t="s">
        <v>15290</v>
      </c>
      <c r="G2228" s="23" t="s">
        <v>14013</v>
      </c>
      <c r="H2228" s="23"/>
      <c r="I2228" s="23"/>
      <c r="J2228" s="23"/>
      <c r="K2228" s="23"/>
      <c r="L2228" s="375" t="s">
        <v>7787</v>
      </c>
      <c r="M2228" s="351" t="s">
        <v>7787</v>
      </c>
      <c r="N2228" s="267">
        <f t="shared" si="582"/>
        <v>0</v>
      </c>
      <c r="O2228" s="268">
        <f t="shared" si="583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9"/>
      <c r="Z2228" s="237"/>
      <c r="AA2228" s="279"/>
      <c r="AB2228" s="238"/>
      <c r="AC2228" s="196">
        <f t="shared" si="577"/>
        <v>0</v>
      </c>
      <c r="AD2228" s="196">
        <f t="shared" si="578"/>
        <v>0</v>
      </c>
      <c r="AE2228" s="196">
        <f t="shared" si="579"/>
        <v>0</v>
      </c>
      <c r="AF2228" s="2">
        <f t="shared" si="580"/>
        <v>0</v>
      </c>
      <c r="AG2228" s="2">
        <f t="shared" si="581"/>
        <v>0</v>
      </c>
    </row>
    <row r="2229" spans="1:33">
      <c r="A2229" s="20" t="s">
        <v>2150</v>
      </c>
      <c r="B2229" s="150"/>
      <c r="C2229" s="21" t="s">
        <v>363</v>
      </c>
      <c r="D2229" s="109" t="s">
        <v>13207</v>
      </c>
      <c r="E2229" s="109" t="s">
        <v>15293</v>
      </c>
      <c r="F2229" s="391" t="s">
        <v>15290</v>
      </c>
      <c r="G2229" s="23" t="s">
        <v>14059</v>
      </c>
      <c r="H2229" s="23"/>
      <c r="I2229" s="23"/>
      <c r="J2229" s="23"/>
      <c r="K2229" s="23"/>
      <c r="L2229" s="375" t="s">
        <v>7787</v>
      </c>
      <c r="M2229" s="351" t="s">
        <v>7787</v>
      </c>
      <c r="N2229" s="267">
        <f t="shared" si="582"/>
        <v>0</v>
      </c>
      <c r="O2229" s="268">
        <f t="shared" si="583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7"/>
      <c r="Z2229" s="237"/>
      <c r="AA2229" s="279"/>
      <c r="AB2229" s="238"/>
      <c r="AC2229" s="196">
        <f t="shared" si="577"/>
        <v>0</v>
      </c>
      <c r="AD2229" s="196">
        <f t="shared" si="578"/>
        <v>0</v>
      </c>
      <c r="AE2229" s="196">
        <f t="shared" si="579"/>
        <v>0</v>
      </c>
      <c r="AF2229" s="2">
        <f t="shared" si="580"/>
        <v>0</v>
      </c>
      <c r="AG2229" s="2">
        <f t="shared" si="581"/>
        <v>0</v>
      </c>
    </row>
    <row r="2230" spans="1:33">
      <c r="A2230" s="20" t="s">
        <v>7777</v>
      </c>
      <c r="B2230" s="150"/>
      <c r="C2230" s="21" t="s">
        <v>363</v>
      </c>
      <c r="D2230" s="388" t="s">
        <v>14434</v>
      </c>
      <c r="E2230" s="388" t="s">
        <v>15294</v>
      </c>
      <c r="F2230" s="391" t="s">
        <v>15290</v>
      </c>
      <c r="G2230" s="23" t="s">
        <v>14367</v>
      </c>
      <c r="H2230" s="23"/>
      <c r="I2230" s="23"/>
      <c r="J2230" s="23"/>
      <c r="K2230" s="23"/>
      <c r="L2230" s="375"/>
      <c r="M2230" s="351" t="s">
        <v>7787</v>
      </c>
      <c r="N2230" s="267">
        <f t="shared" si="582"/>
        <v>0</v>
      </c>
      <c r="O2230" s="268">
        <f t="shared" si="583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7"/>
      <c r="Z2230" s="237"/>
      <c r="AA2230" s="279"/>
      <c r="AB2230" s="238"/>
      <c r="AC2230" s="196">
        <f t="shared" si="577"/>
        <v>0</v>
      </c>
      <c r="AD2230" s="196">
        <f t="shared" si="578"/>
        <v>0</v>
      </c>
      <c r="AE2230" s="196">
        <f t="shared" si="579"/>
        <v>0</v>
      </c>
      <c r="AF2230" s="2">
        <f t="shared" si="580"/>
        <v>0</v>
      </c>
      <c r="AG2230" s="2">
        <f t="shared" si="581"/>
        <v>0</v>
      </c>
    </row>
    <row r="2231" spans="1:33">
      <c r="A2231" s="20" t="s">
        <v>2155</v>
      </c>
      <c r="B2231" s="150"/>
      <c r="C2231" s="21" t="s">
        <v>364</v>
      </c>
      <c r="D2231" s="109" t="s">
        <v>13228</v>
      </c>
      <c r="E2231" s="109"/>
      <c r="F2231" s="391" t="s">
        <v>15295</v>
      </c>
      <c r="G2231" s="23" t="s">
        <v>14013</v>
      </c>
      <c r="H2231" s="23" t="s">
        <v>13996</v>
      </c>
      <c r="I2231" s="23" t="s">
        <v>13989</v>
      </c>
      <c r="J2231" s="23"/>
      <c r="K2231" s="23"/>
      <c r="L2231" s="375" t="s">
        <v>7787</v>
      </c>
      <c r="M2231" s="351" t="s">
        <v>7787</v>
      </c>
      <c r="N2231" s="267">
        <f t="shared" si="582"/>
        <v>0</v>
      </c>
      <c r="O2231" s="268">
        <f t="shared" si="583"/>
        <v>0</v>
      </c>
      <c r="P2231" s="239"/>
      <c r="Q2231" s="239"/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/>
      <c r="AC2231" s="196">
        <f t="shared" si="577"/>
        <v>0</v>
      </c>
      <c r="AD2231" s="196">
        <f t="shared" si="578"/>
        <v>0</v>
      </c>
      <c r="AE2231" s="196">
        <f t="shared" si="579"/>
        <v>0</v>
      </c>
      <c r="AF2231" s="2">
        <f t="shared" si="580"/>
        <v>0</v>
      </c>
      <c r="AG2231" s="2">
        <f t="shared" si="581"/>
        <v>0</v>
      </c>
    </row>
    <row r="2232" spans="1:33">
      <c r="A2232" s="20" t="s">
        <v>2157</v>
      </c>
      <c r="B2232" s="162" t="s">
        <v>5850</v>
      </c>
      <c r="C2232" s="21" t="s">
        <v>366</v>
      </c>
      <c r="D2232" s="109" t="s">
        <v>13228</v>
      </c>
      <c r="E2232" s="109"/>
      <c r="F2232" s="391" t="s">
        <v>15296</v>
      </c>
      <c r="G2232" s="23" t="s">
        <v>14144</v>
      </c>
      <c r="H2232" s="23" t="s">
        <v>13989</v>
      </c>
      <c r="I2232" s="23" t="s">
        <v>18699</v>
      </c>
      <c r="J2232" s="23"/>
      <c r="K2232" s="23"/>
      <c r="L2232" s="375"/>
      <c r="M2232" s="351" t="s">
        <v>7787</v>
      </c>
      <c r="N2232" s="267">
        <f t="shared" si="582"/>
        <v>0</v>
      </c>
      <c r="O2232" s="268">
        <f t="shared" si="583"/>
        <v>0</v>
      </c>
      <c r="P2232" s="239"/>
      <c r="Q2232" s="239"/>
      <c r="R2232" s="239"/>
      <c r="S2232" s="239"/>
      <c r="T2232" s="239"/>
      <c r="U2232" s="240"/>
      <c r="V2232" s="240"/>
      <c r="W2232" s="240"/>
      <c r="X2232" s="278"/>
      <c r="Y2232" s="239"/>
      <c r="Z2232" s="237"/>
      <c r="AA2232" s="279"/>
      <c r="AB2232" s="238"/>
      <c r="AC2232" s="196">
        <f t="shared" si="577"/>
        <v>0</v>
      </c>
      <c r="AD2232" s="196">
        <f t="shared" si="578"/>
        <v>0</v>
      </c>
      <c r="AE2232" s="196">
        <f t="shared" si="579"/>
        <v>0</v>
      </c>
      <c r="AF2232" s="2">
        <f t="shared" si="580"/>
        <v>0</v>
      </c>
      <c r="AG2232" s="2">
        <f t="shared" si="581"/>
        <v>0</v>
      </c>
    </row>
    <row r="2233" spans="1:33">
      <c r="A2233" s="20" t="s">
        <v>22891</v>
      </c>
      <c r="B2233" s="162"/>
      <c r="C2233" s="21" t="s">
        <v>366</v>
      </c>
      <c r="D2233" s="109" t="s">
        <v>4064</v>
      </c>
      <c r="E2233" s="109" t="s">
        <v>22402</v>
      </c>
      <c r="F2233" s="391" t="s">
        <v>22941</v>
      </c>
      <c r="G2233" s="23" t="s">
        <v>10645</v>
      </c>
      <c r="H2233" s="23" t="s">
        <v>22942</v>
      </c>
      <c r="I2233" s="23" t="s">
        <v>22943</v>
      </c>
      <c r="J2233" s="23"/>
      <c r="K2233" s="23"/>
      <c r="L2233" s="375" t="s">
        <v>27571</v>
      </c>
      <c r="M2233" s="351" t="s">
        <v>45</v>
      </c>
      <c r="N2233" s="267">
        <f t="shared" si="582"/>
        <v>0</v>
      </c>
      <c r="O2233" s="268">
        <f t="shared" si="583"/>
        <v>200</v>
      </c>
      <c r="P2233" s="239"/>
      <c r="Q2233" s="239">
        <f>600-100-300</f>
        <v>200</v>
      </c>
      <c r="R2233" s="239"/>
      <c r="S2233" s="239"/>
      <c r="T2233" s="239"/>
      <c r="U2233" s="240"/>
      <c r="V2233" s="240"/>
      <c r="W2233" s="240"/>
      <c r="X2233" s="278"/>
      <c r="Y2233" s="239"/>
      <c r="Z2233" s="237"/>
      <c r="AA2233" s="279"/>
      <c r="AB2233" s="238" t="s">
        <v>27564</v>
      </c>
      <c r="AC2233" s="196">
        <f t="shared" si="577"/>
        <v>200</v>
      </c>
      <c r="AD2233" s="196">
        <f t="shared" si="578"/>
        <v>200</v>
      </c>
      <c r="AE2233" s="196">
        <f t="shared" si="579"/>
        <v>0</v>
      </c>
      <c r="AF2233" s="2">
        <f t="shared" si="580"/>
        <v>200</v>
      </c>
      <c r="AG2233" s="2">
        <f t="shared" si="581"/>
        <v>0</v>
      </c>
    </row>
    <row r="2234" spans="1:33">
      <c r="A2234" s="20" t="s">
        <v>10395</v>
      </c>
      <c r="B2234" s="162"/>
      <c r="C2234" s="21" t="s">
        <v>366</v>
      </c>
      <c r="D2234" s="109" t="s">
        <v>15297</v>
      </c>
      <c r="E2234" s="109" t="s">
        <v>15298</v>
      </c>
      <c r="F2234" s="391" t="s">
        <v>15296</v>
      </c>
      <c r="G2234" s="23" t="s">
        <v>15299</v>
      </c>
      <c r="H2234" s="23"/>
      <c r="I2234" s="23"/>
      <c r="J2234" s="23"/>
      <c r="K2234" s="23"/>
      <c r="L2234" s="375" t="s">
        <v>7787</v>
      </c>
      <c r="M2234" s="351" t="s">
        <v>7787</v>
      </c>
      <c r="N2234" s="267">
        <f t="shared" si="582"/>
        <v>0</v>
      </c>
      <c r="O2234" s="268">
        <f t="shared" si="583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7"/>
        <v>0</v>
      </c>
      <c r="AD2234" s="196">
        <f t="shared" si="578"/>
        <v>0</v>
      </c>
      <c r="AE2234" s="196">
        <f t="shared" si="579"/>
        <v>0</v>
      </c>
      <c r="AF2234" s="2">
        <f t="shared" si="580"/>
        <v>0</v>
      </c>
      <c r="AG2234" s="2">
        <f t="shared" si="581"/>
        <v>0</v>
      </c>
    </row>
    <row r="2235" spans="1:33">
      <c r="A2235" s="20" t="s">
        <v>2156</v>
      </c>
      <c r="B2235" s="150"/>
      <c r="C2235" s="21" t="s">
        <v>365</v>
      </c>
      <c r="D2235" s="109" t="s">
        <v>13228</v>
      </c>
      <c r="E2235" s="109"/>
      <c r="F2235" s="391" t="s">
        <v>15300</v>
      </c>
      <c r="G2235" s="23" t="s">
        <v>14013</v>
      </c>
      <c r="H2235" s="23"/>
      <c r="I2235" s="23"/>
      <c r="J2235" s="23"/>
      <c r="K2235" s="23"/>
      <c r="L2235" s="350"/>
      <c r="M2235" s="351"/>
      <c r="N2235" s="267">
        <f t="shared" si="582"/>
        <v>0</v>
      </c>
      <c r="O2235" s="268">
        <f t="shared" si="583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7"/>
        <v>0</v>
      </c>
      <c r="AD2235" s="196">
        <f t="shared" si="578"/>
        <v>0</v>
      </c>
      <c r="AE2235" s="196">
        <f t="shared" si="579"/>
        <v>0</v>
      </c>
      <c r="AF2235" s="2">
        <f t="shared" si="580"/>
        <v>0</v>
      </c>
      <c r="AG2235" s="2">
        <f t="shared" si="581"/>
        <v>0</v>
      </c>
    </row>
    <row r="2236" spans="1:33">
      <c r="A2236" s="20" t="s">
        <v>2158</v>
      </c>
      <c r="B2236" s="161"/>
      <c r="C2236" s="21" t="s">
        <v>367</v>
      </c>
      <c r="D2236" s="109" t="s">
        <v>13207</v>
      </c>
      <c r="E2236" s="109"/>
      <c r="F2236" s="391" t="s">
        <v>15301</v>
      </c>
      <c r="G2236" s="23" t="s">
        <v>14059</v>
      </c>
      <c r="H2236" s="23"/>
      <c r="I2236" s="23"/>
      <c r="J2236" s="23"/>
      <c r="K2236" s="23"/>
      <c r="L2236" s="375" t="s">
        <v>7787</v>
      </c>
      <c r="M2236" s="351" t="s">
        <v>7787</v>
      </c>
      <c r="N2236" s="267">
        <f t="shared" si="582"/>
        <v>0</v>
      </c>
      <c r="O2236" s="268">
        <f t="shared" si="583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7"/>
        <v>0</v>
      </c>
      <c r="AD2236" s="196">
        <f t="shared" si="578"/>
        <v>0</v>
      </c>
      <c r="AE2236" s="196">
        <f t="shared" si="579"/>
        <v>0</v>
      </c>
      <c r="AF2236" s="2">
        <f t="shared" si="580"/>
        <v>0</v>
      </c>
      <c r="AG2236" s="2">
        <f t="shared" si="581"/>
        <v>0</v>
      </c>
    </row>
    <row r="2237" spans="1:33">
      <c r="A2237" s="20" t="s">
        <v>2159</v>
      </c>
      <c r="B2237" s="150"/>
      <c r="C2237" s="21" t="s">
        <v>368</v>
      </c>
      <c r="D2237" s="109" t="s">
        <v>13228</v>
      </c>
      <c r="E2237" s="109"/>
      <c r="F2237" s="391" t="s">
        <v>15302</v>
      </c>
      <c r="G2237" s="23"/>
      <c r="H2237" s="23"/>
      <c r="I2237" s="23"/>
      <c r="J2237" s="23"/>
      <c r="K2237" s="23"/>
      <c r="L2237" s="350"/>
      <c r="M2237" s="351"/>
      <c r="N2237" s="267">
        <f t="shared" si="582"/>
        <v>0</v>
      </c>
      <c r="O2237" s="268">
        <f t="shared" si="583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7"/>
        <v>0</v>
      </c>
      <c r="AD2237" s="196">
        <f t="shared" si="578"/>
        <v>0</v>
      </c>
      <c r="AE2237" s="196">
        <f t="shared" si="579"/>
        <v>0</v>
      </c>
      <c r="AF2237" s="2">
        <f t="shared" si="580"/>
        <v>0</v>
      </c>
      <c r="AG2237" s="2">
        <f t="shared" si="581"/>
        <v>0</v>
      </c>
    </row>
    <row r="2238" spans="1:33">
      <c r="A2238" s="20" t="s">
        <v>2160</v>
      </c>
      <c r="B2238" s="150"/>
      <c r="C2238" s="21" t="s">
        <v>368</v>
      </c>
      <c r="D2238" s="109" t="s">
        <v>14177</v>
      </c>
      <c r="E2238" s="109"/>
      <c r="F2238" s="391" t="s">
        <v>15302</v>
      </c>
      <c r="G2238" s="23" t="s">
        <v>13377</v>
      </c>
      <c r="H2238" s="23"/>
      <c r="I2238" s="23"/>
      <c r="J2238" s="23"/>
      <c r="K2238" s="23"/>
      <c r="L2238" s="375" t="s">
        <v>7787</v>
      </c>
      <c r="M2238" s="351"/>
      <c r="N2238" s="267">
        <f t="shared" si="582"/>
        <v>0</v>
      </c>
      <c r="O2238" s="268">
        <f t="shared" si="583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7"/>
        <v>0</v>
      </c>
      <c r="AD2238" s="196">
        <f t="shared" si="578"/>
        <v>0</v>
      </c>
      <c r="AE2238" s="196">
        <f t="shared" si="579"/>
        <v>0</v>
      </c>
      <c r="AF2238" s="2">
        <f t="shared" si="580"/>
        <v>0</v>
      </c>
      <c r="AG2238" s="2">
        <f t="shared" si="581"/>
        <v>0</v>
      </c>
    </row>
    <row r="2239" spans="1:33">
      <c r="A2239" s="20" t="s">
        <v>2161</v>
      </c>
      <c r="B2239" s="150"/>
      <c r="C2239" s="21" t="s">
        <v>368</v>
      </c>
      <c r="D2239" s="109" t="s">
        <v>14179</v>
      </c>
      <c r="E2239" s="109"/>
      <c r="F2239" s="391" t="s">
        <v>15302</v>
      </c>
      <c r="G2239" s="23"/>
      <c r="H2239" s="23"/>
      <c r="I2239" s="23"/>
      <c r="J2239" s="23"/>
      <c r="K2239" s="23"/>
      <c r="L2239" s="350"/>
      <c r="M2239" s="351"/>
      <c r="N2239" s="267">
        <f t="shared" si="582"/>
        <v>0</v>
      </c>
      <c r="O2239" s="268">
        <f t="shared" si="583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7"/>
        <v>0</v>
      </c>
      <c r="AD2239" s="196">
        <f t="shared" si="578"/>
        <v>0</v>
      </c>
      <c r="AE2239" s="196">
        <f t="shared" si="579"/>
        <v>0</v>
      </c>
      <c r="AF2239" s="2">
        <f t="shared" si="580"/>
        <v>0</v>
      </c>
      <c r="AG2239" s="2">
        <f t="shared" si="581"/>
        <v>0</v>
      </c>
    </row>
    <row r="2240" spans="1:33">
      <c r="A2240" s="20" t="s">
        <v>2162</v>
      </c>
      <c r="B2240" s="161"/>
      <c r="C2240" s="21" t="s">
        <v>369</v>
      </c>
      <c r="D2240" s="109" t="s">
        <v>14038</v>
      </c>
      <c r="E2240" s="109"/>
      <c r="F2240" s="391" t="s">
        <v>15303</v>
      </c>
      <c r="G2240" s="23"/>
      <c r="H2240" s="23"/>
      <c r="I2240" s="23"/>
      <c r="J2240" s="23"/>
      <c r="K2240" s="23"/>
      <c r="L2240" s="350"/>
      <c r="M2240" s="351"/>
      <c r="N2240" s="267">
        <f t="shared" si="582"/>
        <v>0</v>
      </c>
      <c r="O2240" s="268">
        <f t="shared" si="583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7"/>
        <v>0</v>
      </c>
      <c r="AD2240" s="196">
        <f t="shared" si="578"/>
        <v>0</v>
      </c>
      <c r="AE2240" s="196">
        <f t="shared" si="579"/>
        <v>0</v>
      </c>
      <c r="AF2240" s="2">
        <f t="shared" si="580"/>
        <v>0</v>
      </c>
      <c r="AG2240" s="2">
        <f t="shared" si="581"/>
        <v>0</v>
      </c>
    </row>
    <row r="2241" spans="1:33">
      <c r="A2241" s="20" t="s">
        <v>2163</v>
      </c>
      <c r="B2241" s="150"/>
      <c r="C2241" s="21" t="s">
        <v>370</v>
      </c>
      <c r="D2241" s="109" t="s">
        <v>13228</v>
      </c>
      <c r="E2241" s="109"/>
      <c r="F2241" s="391" t="s">
        <v>15304</v>
      </c>
      <c r="G2241" s="23"/>
      <c r="H2241" s="23"/>
      <c r="I2241" s="23"/>
      <c r="J2241" s="23"/>
      <c r="K2241" s="23"/>
      <c r="L2241" s="350"/>
      <c r="M2241" s="351"/>
      <c r="N2241" s="267">
        <f t="shared" si="582"/>
        <v>0</v>
      </c>
      <c r="O2241" s="268">
        <f t="shared" si="583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7"/>
        <v>0</v>
      </c>
      <c r="AD2241" s="196">
        <f t="shared" si="578"/>
        <v>0</v>
      </c>
      <c r="AE2241" s="196">
        <f t="shared" si="579"/>
        <v>0</v>
      </c>
      <c r="AF2241" s="2">
        <f t="shared" si="580"/>
        <v>0</v>
      </c>
      <c r="AG2241" s="2">
        <f t="shared" si="581"/>
        <v>0</v>
      </c>
    </row>
    <row r="2242" spans="1:33">
      <c r="A2242" s="20" t="s">
        <v>2715</v>
      </c>
      <c r="B2242" s="150"/>
      <c r="C2242" s="21" t="s">
        <v>814</v>
      </c>
      <c r="D2242" s="109" t="s">
        <v>13224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82"/>
        <v>0</v>
      </c>
      <c r="O2242" s="268">
        <f t="shared" si="583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7"/>
        <v>0</v>
      </c>
      <c r="AD2242" s="196">
        <f t="shared" si="578"/>
        <v>0</v>
      </c>
      <c r="AE2242" s="196">
        <f t="shared" si="579"/>
        <v>0</v>
      </c>
      <c r="AF2242" s="2">
        <f t="shared" si="580"/>
        <v>0</v>
      </c>
      <c r="AG2242" s="2">
        <f t="shared" si="581"/>
        <v>0</v>
      </c>
    </row>
    <row r="2243" spans="1:33">
      <c r="A2243" s="20" t="s">
        <v>2713</v>
      </c>
      <c r="B2243" s="161"/>
      <c r="C2243" s="21" t="s">
        <v>814</v>
      </c>
      <c r="D2243" s="109" t="s">
        <v>14061</v>
      </c>
      <c r="E2243" s="109"/>
      <c r="F2243" s="391" t="s">
        <v>15305</v>
      </c>
      <c r="G2243" s="23"/>
      <c r="H2243" s="23"/>
      <c r="I2243" s="23"/>
      <c r="J2243" s="23"/>
      <c r="K2243" s="23"/>
      <c r="L2243" s="350"/>
      <c r="M2243" s="351"/>
      <c r="N2243" s="267">
        <f t="shared" si="582"/>
        <v>0</v>
      </c>
      <c r="O2243" s="268">
        <f t="shared" si="583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7"/>
        <v>0</v>
      </c>
      <c r="AD2243" s="196">
        <f t="shared" si="578"/>
        <v>0</v>
      </c>
      <c r="AE2243" s="196">
        <f t="shared" si="579"/>
        <v>0</v>
      </c>
      <c r="AF2243" s="2">
        <f t="shared" si="580"/>
        <v>0</v>
      </c>
      <c r="AG2243" s="2">
        <f t="shared" si="581"/>
        <v>0</v>
      </c>
    </row>
    <row r="2244" spans="1:33">
      <c r="A2244" s="20" t="s">
        <v>2714</v>
      </c>
      <c r="B2244" s="150"/>
      <c r="C2244" s="21" t="s">
        <v>814</v>
      </c>
      <c r="D2244" s="109" t="s">
        <v>14061</v>
      </c>
      <c r="E2244" s="109"/>
      <c r="F2244" s="391" t="s">
        <v>15305</v>
      </c>
      <c r="G2244" s="23"/>
      <c r="H2244" s="23"/>
      <c r="I2244" s="23"/>
      <c r="J2244" s="23"/>
      <c r="K2244" s="23"/>
      <c r="L2244" s="350"/>
      <c r="M2244" s="351"/>
      <c r="N2244" s="267">
        <f t="shared" si="582"/>
        <v>0</v>
      </c>
      <c r="O2244" s="268">
        <f t="shared" si="583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7"/>
        <v>0</v>
      </c>
      <c r="AD2244" s="196">
        <f t="shared" si="578"/>
        <v>0</v>
      </c>
      <c r="AE2244" s="196">
        <f t="shared" si="579"/>
        <v>0</v>
      </c>
      <c r="AF2244" s="2">
        <f t="shared" si="580"/>
        <v>0</v>
      </c>
      <c r="AG2244" s="2">
        <f t="shared" si="581"/>
        <v>0</v>
      </c>
    </row>
    <row r="2245" spans="1:33">
      <c r="A2245" s="20" t="s">
        <v>2716</v>
      </c>
      <c r="B2245" s="161"/>
      <c r="C2245" s="21" t="s">
        <v>647</v>
      </c>
      <c r="D2245" s="109" t="s">
        <v>14038</v>
      </c>
      <c r="E2245" s="109"/>
      <c r="F2245" s="391" t="s">
        <v>15306</v>
      </c>
      <c r="G2245" s="23"/>
      <c r="H2245" s="23"/>
      <c r="I2245" s="23"/>
      <c r="J2245" s="23"/>
      <c r="K2245" s="23"/>
      <c r="L2245" s="350"/>
      <c r="M2245" s="351"/>
      <c r="N2245" s="267">
        <f t="shared" si="582"/>
        <v>0</v>
      </c>
      <c r="O2245" s="268">
        <f t="shared" si="583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7"/>
        <v>0</v>
      </c>
      <c r="AD2245" s="196">
        <f t="shared" si="578"/>
        <v>0</v>
      </c>
      <c r="AE2245" s="196">
        <f t="shared" si="579"/>
        <v>0</v>
      </c>
      <c r="AF2245" s="2">
        <f t="shared" si="580"/>
        <v>0</v>
      </c>
      <c r="AG2245" s="2">
        <f t="shared" si="581"/>
        <v>0</v>
      </c>
    </row>
    <row r="2246" spans="1:33">
      <c r="A2246" s="20" t="s">
        <v>2717</v>
      </c>
      <c r="B2246" s="150"/>
      <c r="C2246" s="21" t="s">
        <v>647</v>
      </c>
      <c r="D2246" s="109" t="s">
        <v>14038</v>
      </c>
      <c r="E2246" s="109"/>
      <c r="F2246" s="391" t="s">
        <v>15307</v>
      </c>
      <c r="G2246" s="23"/>
      <c r="H2246" s="23"/>
      <c r="I2246" s="23"/>
      <c r="J2246" s="23"/>
      <c r="K2246" s="23"/>
      <c r="L2246" s="350"/>
      <c r="M2246" s="351"/>
      <c r="N2246" s="267">
        <f t="shared" si="582"/>
        <v>0</v>
      </c>
      <c r="O2246" s="268">
        <f t="shared" si="583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7"/>
        <v>0</v>
      </c>
      <c r="AD2246" s="196">
        <f t="shared" si="578"/>
        <v>0</v>
      </c>
      <c r="AE2246" s="196">
        <f t="shared" si="579"/>
        <v>0</v>
      </c>
      <c r="AF2246" s="2">
        <f t="shared" si="580"/>
        <v>0</v>
      </c>
      <c r="AG2246" s="2">
        <f t="shared" si="581"/>
        <v>0</v>
      </c>
    </row>
    <row r="2247" spans="1:33">
      <c r="A2247" s="20" t="s">
        <v>2718</v>
      </c>
      <c r="B2247" s="150"/>
      <c r="C2247" s="21" t="s">
        <v>648</v>
      </c>
      <c r="D2247" s="109" t="s">
        <v>13228</v>
      </c>
      <c r="E2247" s="109"/>
      <c r="F2247" s="391" t="s">
        <v>15308</v>
      </c>
      <c r="G2247" s="23"/>
      <c r="H2247" s="23"/>
      <c r="I2247" s="23"/>
      <c r="J2247" s="23"/>
      <c r="K2247" s="23"/>
      <c r="L2247" s="350"/>
      <c r="M2247" s="351"/>
      <c r="N2247" s="267">
        <f t="shared" si="582"/>
        <v>0</v>
      </c>
      <c r="O2247" s="268">
        <f t="shared" si="583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7"/>
        <v>0</v>
      </c>
      <c r="AD2247" s="196">
        <f t="shared" si="578"/>
        <v>0</v>
      </c>
      <c r="AE2247" s="196">
        <f t="shared" si="579"/>
        <v>0</v>
      </c>
      <c r="AF2247" s="2">
        <f t="shared" si="580"/>
        <v>0</v>
      </c>
      <c r="AG2247" s="2">
        <f t="shared" si="581"/>
        <v>0</v>
      </c>
    </row>
    <row r="2248" spans="1:33">
      <c r="A2248" s="20" t="s">
        <v>7441</v>
      </c>
      <c r="B2248" s="150" t="s">
        <v>15309</v>
      </c>
      <c r="C2248" s="21" t="s">
        <v>648</v>
      </c>
      <c r="D2248" s="109" t="s">
        <v>13232</v>
      </c>
      <c r="E2248" s="109"/>
      <c r="F2248" s="391" t="s">
        <v>15308</v>
      </c>
      <c r="G2248" s="23" t="s">
        <v>7491</v>
      </c>
      <c r="H2248" s="23"/>
      <c r="I2248" s="23"/>
      <c r="J2248" s="23"/>
      <c r="K2248" s="23"/>
      <c r="L2248" s="375" t="s">
        <v>7787</v>
      </c>
      <c r="M2248" s="351" t="s">
        <v>7787</v>
      </c>
      <c r="N2248" s="267">
        <f t="shared" si="582"/>
        <v>0</v>
      </c>
      <c r="O2248" s="268">
        <f t="shared" si="583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7"/>
        <v>0</v>
      </c>
      <c r="AD2248" s="196">
        <f t="shared" si="578"/>
        <v>0</v>
      </c>
      <c r="AE2248" s="196">
        <f t="shared" si="579"/>
        <v>0</v>
      </c>
      <c r="AF2248" s="2">
        <f t="shared" si="580"/>
        <v>0</v>
      </c>
      <c r="AG2248" s="2">
        <f t="shared" si="581"/>
        <v>0</v>
      </c>
    </row>
    <row r="2249" spans="1:33">
      <c r="A2249" s="20" t="s">
        <v>2719</v>
      </c>
      <c r="B2249" s="150"/>
      <c r="C2249" s="21" t="s">
        <v>649</v>
      </c>
      <c r="D2249" s="109" t="s">
        <v>13228</v>
      </c>
      <c r="E2249" s="109"/>
      <c r="F2249" s="391" t="s">
        <v>15310</v>
      </c>
      <c r="G2249" s="23"/>
      <c r="H2249" s="23"/>
      <c r="I2249" s="23"/>
      <c r="J2249" s="23"/>
      <c r="K2249" s="23"/>
      <c r="L2249" s="350"/>
      <c r="M2249" s="351"/>
      <c r="N2249" s="267">
        <f t="shared" si="582"/>
        <v>0</v>
      </c>
      <c r="O2249" s="268">
        <f t="shared" si="583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7"/>
        <v>0</v>
      </c>
      <c r="AD2249" s="196">
        <f t="shared" si="578"/>
        <v>0</v>
      </c>
      <c r="AE2249" s="196">
        <f t="shared" si="579"/>
        <v>0</v>
      </c>
      <c r="AF2249" s="2">
        <f t="shared" si="580"/>
        <v>0</v>
      </c>
      <c r="AG2249" s="2">
        <f t="shared" si="581"/>
        <v>0</v>
      </c>
    </row>
    <row r="2250" spans="1:33">
      <c r="A2250" s="20" t="s">
        <v>2720</v>
      </c>
      <c r="B2250" s="150"/>
      <c r="C2250" s="21" t="s">
        <v>649</v>
      </c>
      <c r="D2250" s="109" t="s">
        <v>13228</v>
      </c>
      <c r="E2250" s="109"/>
      <c r="F2250" s="391" t="s">
        <v>15310</v>
      </c>
      <c r="G2250" s="23"/>
      <c r="H2250" s="23"/>
      <c r="I2250" s="23"/>
      <c r="J2250" s="23"/>
      <c r="K2250" s="23"/>
      <c r="L2250" s="350"/>
      <c r="M2250" s="351"/>
      <c r="N2250" s="267">
        <f t="shared" si="582"/>
        <v>0</v>
      </c>
      <c r="O2250" s="268">
        <f t="shared" si="583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7"/>
        <v>0</v>
      </c>
      <c r="AD2250" s="196">
        <f t="shared" si="578"/>
        <v>0</v>
      </c>
      <c r="AE2250" s="196">
        <f t="shared" si="579"/>
        <v>0</v>
      </c>
      <c r="AF2250" s="2">
        <f t="shared" si="580"/>
        <v>0</v>
      </c>
      <c r="AG2250" s="2">
        <f t="shared" si="581"/>
        <v>0</v>
      </c>
    </row>
    <row r="2251" spans="1:33">
      <c r="A2251" s="20" t="s">
        <v>2165</v>
      </c>
      <c r="B2251" s="150"/>
      <c r="C2251" s="21" t="s">
        <v>371</v>
      </c>
      <c r="D2251" s="109" t="s">
        <v>14004</v>
      </c>
      <c r="E2251" s="109" t="s">
        <v>13203</v>
      </c>
      <c r="F2251" s="391" t="s">
        <v>15311</v>
      </c>
      <c r="G2251" s="23"/>
      <c r="H2251" s="23"/>
      <c r="I2251" s="23"/>
      <c r="J2251" s="23"/>
      <c r="K2251" s="23"/>
      <c r="L2251" s="350"/>
      <c r="M2251" s="351"/>
      <c r="N2251" s="267">
        <f t="shared" si="582"/>
        <v>0</v>
      </c>
      <c r="O2251" s="268">
        <f t="shared" si="583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79"/>
      <c r="AB2251" s="238"/>
      <c r="AC2251" s="196">
        <f t="shared" si="577"/>
        <v>0</v>
      </c>
      <c r="AD2251" s="196">
        <f t="shared" si="578"/>
        <v>0</v>
      </c>
      <c r="AE2251" s="196">
        <f t="shared" si="579"/>
        <v>0</v>
      </c>
      <c r="AF2251" s="2">
        <f t="shared" si="580"/>
        <v>0</v>
      </c>
      <c r="AG2251" s="2">
        <f t="shared" si="581"/>
        <v>0</v>
      </c>
    </row>
    <row r="2252" spans="1:33">
      <c r="A2252" s="20" t="s">
        <v>2164</v>
      </c>
      <c r="B2252" s="150"/>
      <c r="C2252" s="21" t="s">
        <v>371</v>
      </c>
      <c r="D2252" s="109" t="s">
        <v>14004</v>
      </c>
      <c r="E2252" s="109" t="s">
        <v>13210</v>
      </c>
      <c r="F2252" s="391" t="s">
        <v>15311</v>
      </c>
      <c r="G2252" s="23"/>
      <c r="H2252" s="23"/>
      <c r="I2252" s="23"/>
      <c r="J2252" s="23"/>
      <c r="K2252" s="23"/>
      <c r="L2252" s="350"/>
      <c r="M2252" s="351"/>
      <c r="N2252" s="267">
        <f t="shared" si="582"/>
        <v>0</v>
      </c>
      <c r="O2252" s="268">
        <f t="shared" si="583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79"/>
      <c r="AB2252" s="238"/>
      <c r="AC2252" s="196">
        <f t="shared" si="577"/>
        <v>0</v>
      </c>
      <c r="AD2252" s="196">
        <f t="shared" si="578"/>
        <v>0</v>
      </c>
      <c r="AE2252" s="196">
        <f t="shared" si="579"/>
        <v>0</v>
      </c>
      <c r="AF2252" s="2">
        <f t="shared" si="580"/>
        <v>0</v>
      </c>
      <c r="AG2252" s="2">
        <f t="shared" si="581"/>
        <v>0</v>
      </c>
    </row>
    <row r="2253" spans="1:33">
      <c r="A2253" s="20" t="s">
        <v>2166</v>
      </c>
      <c r="B2253" s="150"/>
      <c r="C2253" s="21" t="s">
        <v>15312</v>
      </c>
      <c r="D2253" s="109" t="s">
        <v>14038</v>
      </c>
      <c r="E2253" s="109"/>
      <c r="F2253" s="391" t="s">
        <v>15313</v>
      </c>
      <c r="G2253" s="23"/>
      <c r="H2253" s="23"/>
      <c r="I2253" s="23"/>
      <c r="J2253" s="23"/>
      <c r="K2253" s="23"/>
      <c r="L2253" s="350"/>
      <c r="M2253" s="351"/>
      <c r="N2253" s="267">
        <f t="shared" si="582"/>
        <v>0</v>
      </c>
      <c r="O2253" s="268">
        <f t="shared" si="583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85"/>
      <c r="AB2253" s="238"/>
      <c r="AC2253" s="196">
        <f t="shared" si="577"/>
        <v>0</v>
      </c>
      <c r="AD2253" s="196">
        <f t="shared" si="578"/>
        <v>0</v>
      </c>
      <c r="AE2253" s="196">
        <f t="shared" si="579"/>
        <v>0</v>
      </c>
      <c r="AF2253" s="2">
        <f t="shared" si="580"/>
        <v>0</v>
      </c>
      <c r="AG2253" s="2">
        <f t="shared" si="581"/>
        <v>0</v>
      </c>
    </row>
    <row r="2254" spans="1:33">
      <c r="A2254" s="20" t="s">
        <v>2167</v>
      </c>
      <c r="B2254" s="150"/>
      <c r="C2254" s="21" t="s">
        <v>15314</v>
      </c>
      <c r="D2254" s="109" t="s">
        <v>14038</v>
      </c>
      <c r="E2254" s="109"/>
      <c r="F2254" s="391" t="s">
        <v>15311</v>
      </c>
      <c r="G2254" s="23"/>
      <c r="H2254" s="23"/>
      <c r="I2254" s="23"/>
      <c r="J2254" s="23"/>
      <c r="K2254" s="23"/>
      <c r="L2254" s="350"/>
      <c r="M2254" s="351"/>
      <c r="N2254" s="267">
        <f t="shared" si="582"/>
        <v>0</v>
      </c>
      <c r="O2254" s="268">
        <f t="shared" si="583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7"/>
        <v>0</v>
      </c>
      <c r="AD2254" s="196">
        <f t="shared" si="578"/>
        <v>0</v>
      </c>
      <c r="AE2254" s="196">
        <f t="shared" si="579"/>
        <v>0</v>
      </c>
      <c r="AF2254" s="2">
        <f t="shared" si="580"/>
        <v>0</v>
      </c>
      <c r="AG2254" s="2">
        <f t="shared" si="581"/>
        <v>0</v>
      </c>
    </row>
    <row r="2255" spans="1:33">
      <c r="A2255" s="20" t="s">
        <v>2168</v>
      </c>
      <c r="B2255" s="150"/>
      <c r="C2255" s="21" t="s">
        <v>15314</v>
      </c>
      <c r="D2255" s="109" t="s">
        <v>14038</v>
      </c>
      <c r="E2255" s="109"/>
      <c r="F2255" s="391" t="s">
        <v>15313</v>
      </c>
      <c r="G2255" s="23"/>
      <c r="H2255" s="23"/>
      <c r="I2255" s="23"/>
      <c r="J2255" s="23"/>
      <c r="K2255" s="23"/>
      <c r="L2255" s="350"/>
      <c r="M2255" s="351"/>
      <c r="N2255" s="267">
        <f t="shared" si="582"/>
        <v>0</v>
      </c>
      <c r="O2255" s="268">
        <f t="shared" si="583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7"/>
        <v>0</v>
      </c>
      <c r="AD2255" s="196">
        <f t="shared" si="578"/>
        <v>0</v>
      </c>
      <c r="AE2255" s="196">
        <f t="shared" si="579"/>
        <v>0</v>
      </c>
      <c r="AF2255" s="2">
        <f t="shared" si="580"/>
        <v>0</v>
      </c>
      <c r="AG2255" s="2">
        <f t="shared" si="581"/>
        <v>0</v>
      </c>
    </row>
    <row r="2256" spans="1:33">
      <c r="A2256" s="20" t="s">
        <v>2169</v>
      </c>
      <c r="B2256" s="150"/>
      <c r="C2256" s="21" t="s">
        <v>372</v>
      </c>
      <c r="D2256" s="109" t="s">
        <v>13228</v>
      </c>
      <c r="E2256" s="109"/>
      <c r="F2256" s="391" t="s">
        <v>15315</v>
      </c>
      <c r="G2256" s="23"/>
      <c r="H2256" s="23"/>
      <c r="I2256" s="23"/>
      <c r="J2256" s="23"/>
      <c r="K2256" s="23"/>
      <c r="L2256" s="350"/>
      <c r="M2256" s="351"/>
      <c r="N2256" s="267">
        <f t="shared" si="582"/>
        <v>0</v>
      </c>
      <c r="O2256" s="268">
        <f t="shared" si="583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7"/>
      <c r="Z2256" s="237"/>
      <c r="AA2256" s="279"/>
      <c r="AB2256" s="238"/>
      <c r="AC2256" s="196">
        <f t="shared" si="577"/>
        <v>0</v>
      </c>
      <c r="AD2256" s="196">
        <f t="shared" si="578"/>
        <v>0</v>
      </c>
      <c r="AE2256" s="196">
        <f t="shared" si="579"/>
        <v>0</v>
      </c>
      <c r="AF2256" s="2">
        <f t="shared" si="580"/>
        <v>0</v>
      </c>
      <c r="AG2256" s="2">
        <f t="shared" si="581"/>
        <v>0</v>
      </c>
    </row>
    <row r="2257" spans="1:33">
      <c r="A2257" s="20" t="s">
        <v>2174</v>
      </c>
      <c r="B2257" s="150"/>
      <c r="C2257" s="21" t="s">
        <v>375</v>
      </c>
      <c r="D2257" s="109" t="s">
        <v>14004</v>
      </c>
      <c r="E2257" s="109" t="s">
        <v>14043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82"/>
        <v>0</v>
      </c>
      <c r="O2257" s="268">
        <f t="shared" si="583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7"/>
      <c r="Z2257" s="237"/>
      <c r="AA2257" s="279"/>
      <c r="AB2257" s="238"/>
      <c r="AC2257" s="196">
        <f t="shared" si="577"/>
        <v>0</v>
      </c>
      <c r="AD2257" s="196">
        <f t="shared" si="578"/>
        <v>0</v>
      </c>
      <c r="AE2257" s="196">
        <f t="shared" si="579"/>
        <v>0</v>
      </c>
      <c r="AF2257" s="2">
        <f t="shared" si="580"/>
        <v>0</v>
      </c>
      <c r="AG2257" s="2">
        <f t="shared" si="581"/>
        <v>0</v>
      </c>
    </row>
    <row r="2258" spans="1:33">
      <c r="A2258" s="20" t="s">
        <v>2173</v>
      </c>
      <c r="B2258" s="150"/>
      <c r="C2258" s="21" t="s">
        <v>375</v>
      </c>
      <c r="D2258" s="109" t="s">
        <v>14004</v>
      </c>
      <c r="E2258" s="109" t="s">
        <v>13210</v>
      </c>
      <c r="F2258" s="391" t="s">
        <v>15316</v>
      </c>
      <c r="G2258" s="23"/>
      <c r="H2258" s="23"/>
      <c r="I2258" s="23"/>
      <c r="J2258" s="23"/>
      <c r="K2258" s="23"/>
      <c r="L2258" s="350"/>
      <c r="M2258" s="351"/>
      <c r="N2258" s="267">
        <f t="shared" si="582"/>
        <v>0</v>
      </c>
      <c r="O2258" s="268">
        <f t="shared" si="583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7"/>
        <v>0</v>
      </c>
      <c r="AD2258" s="196">
        <f t="shared" si="578"/>
        <v>0</v>
      </c>
      <c r="AE2258" s="196">
        <f t="shared" si="579"/>
        <v>0</v>
      </c>
      <c r="AF2258" s="2">
        <f t="shared" si="580"/>
        <v>0</v>
      </c>
      <c r="AG2258" s="2">
        <f t="shared" si="581"/>
        <v>0</v>
      </c>
    </row>
    <row r="2259" spans="1:33">
      <c r="A2259" s="20" t="s">
        <v>2175</v>
      </c>
      <c r="B2259" s="150"/>
      <c r="C2259" s="21" t="s">
        <v>375</v>
      </c>
      <c r="D2259" s="109" t="s">
        <v>14004</v>
      </c>
      <c r="E2259" s="109" t="s">
        <v>14064</v>
      </c>
      <c r="F2259" s="391" t="s">
        <v>15316</v>
      </c>
      <c r="G2259" s="23"/>
      <c r="H2259" s="23"/>
      <c r="I2259" s="23"/>
      <c r="J2259" s="23"/>
      <c r="K2259" s="23"/>
      <c r="L2259" s="350"/>
      <c r="M2259" s="351"/>
      <c r="N2259" s="267">
        <f t="shared" si="582"/>
        <v>0</v>
      </c>
      <c r="O2259" s="268">
        <f t="shared" si="583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7"/>
        <v>0</v>
      </c>
      <c r="AD2259" s="196">
        <f t="shared" si="578"/>
        <v>0</v>
      </c>
      <c r="AE2259" s="196">
        <f t="shared" si="579"/>
        <v>0</v>
      </c>
      <c r="AF2259" s="2">
        <f t="shared" si="580"/>
        <v>0</v>
      </c>
      <c r="AG2259" s="2">
        <f t="shared" si="581"/>
        <v>0</v>
      </c>
    </row>
    <row r="2260" spans="1:33">
      <c r="A2260" s="20" t="s">
        <v>6839</v>
      </c>
      <c r="B2260" s="150"/>
      <c r="C2260" s="21" t="s">
        <v>15317</v>
      </c>
      <c r="D2260" s="109" t="s">
        <v>14177</v>
      </c>
      <c r="E2260" s="109"/>
      <c r="F2260" s="391" t="s">
        <v>15318</v>
      </c>
      <c r="G2260" s="23" t="s">
        <v>6133</v>
      </c>
      <c r="H2260" s="23" t="s">
        <v>14197</v>
      </c>
      <c r="I2260" s="23" t="s">
        <v>13349</v>
      </c>
      <c r="J2260" s="23" t="s">
        <v>13350</v>
      </c>
      <c r="K2260" s="23"/>
      <c r="L2260" s="375" t="s">
        <v>45</v>
      </c>
      <c r="M2260" s="351"/>
      <c r="N2260" s="267">
        <f t="shared" si="582"/>
        <v>0</v>
      </c>
      <c r="O2260" s="268">
        <f t="shared" si="583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9"/>
      <c r="Z2260" s="237"/>
      <c r="AA2260" s="279"/>
      <c r="AB2260" s="238"/>
      <c r="AC2260" s="196">
        <f t="shared" si="577"/>
        <v>0</v>
      </c>
      <c r="AD2260" s="196">
        <f t="shared" si="578"/>
        <v>0</v>
      </c>
      <c r="AE2260" s="196">
        <f t="shared" si="579"/>
        <v>0</v>
      </c>
      <c r="AF2260" s="2">
        <f t="shared" si="580"/>
        <v>0</v>
      </c>
      <c r="AG2260" s="2">
        <f t="shared" si="581"/>
        <v>0</v>
      </c>
    </row>
    <row r="2261" spans="1:33">
      <c r="A2261" s="20" t="s">
        <v>2179</v>
      </c>
      <c r="B2261" s="150"/>
      <c r="C2261" s="21" t="s">
        <v>15317</v>
      </c>
      <c r="D2261" s="109" t="s">
        <v>14177</v>
      </c>
      <c r="E2261" s="109" t="s">
        <v>14386</v>
      </c>
      <c r="F2261" s="391" t="s">
        <v>15318</v>
      </c>
      <c r="G2261" s="23" t="s">
        <v>6133</v>
      </c>
      <c r="H2261" s="23"/>
      <c r="I2261" s="23"/>
      <c r="J2261" s="23"/>
      <c r="K2261" s="23"/>
      <c r="L2261" s="375"/>
      <c r="M2261" s="351" t="s">
        <v>7787</v>
      </c>
      <c r="N2261" s="267">
        <f t="shared" si="582"/>
        <v>0</v>
      </c>
      <c r="O2261" s="268">
        <f t="shared" si="583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9"/>
      <c r="Z2261" s="237"/>
      <c r="AA2261" s="279"/>
      <c r="AB2261" s="238"/>
      <c r="AC2261" s="196">
        <f t="shared" si="577"/>
        <v>0</v>
      </c>
      <c r="AD2261" s="196">
        <f t="shared" si="578"/>
        <v>0</v>
      </c>
      <c r="AE2261" s="196">
        <f t="shared" si="579"/>
        <v>0</v>
      </c>
      <c r="AF2261" s="2">
        <f t="shared" si="580"/>
        <v>0</v>
      </c>
      <c r="AG2261" s="2">
        <f t="shared" si="581"/>
        <v>0</v>
      </c>
    </row>
    <row r="2262" spans="1:33">
      <c r="A2262" s="20" t="s">
        <v>2178</v>
      </c>
      <c r="B2262" s="156"/>
      <c r="C2262" s="21" t="s">
        <v>15319</v>
      </c>
      <c r="D2262" s="109" t="s">
        <v>4069</v>
      </c>
      <c r="E2262" s="109" t="s">
        <v>13969</v>
      </c>
      <c r="F2262" s="391" t="s">
        <v>15320</v>
      </c>
      <c r="G2262" s="23" t="s">
        <v>13214</v>
      </c>
      <c r="H2262" s="23"/>
      <c r="I2262" s="23"/>
      <c r="J2262" s="23"/>
      <c r="K2262" s="23"/>
      <c r="L2262" s="350"/>
      <c r="M2262" s="351"/>
      <c r="N2262" s="267">
        <f t="shared" si="582"/>
        <v>0</v>
      </c>
      <c r="O2262" s="268">
        <f t="shared" si="583"/>
        <v>0</v>
      </c>
      <c r="P2262" s="239"/>
      <c r="Q2262" s="239"/>
      <c r="R2262" s="239"/>
      <c r="S2262" s="239"/>
      <c r="T2262" s="239"/>
      <c r="U2262" s="240"/>
      <c r="V2262" s="240"/>
      <c r="W2262" s="240"/>
      <c r="X2262" s="278"/>
      <c r="Y2262" s="237"/>
      <c r="Z2262" s="237"/>
      <c r="AA2262" s="279"/>
      <c r="AB2262" s="238"/>
      <c r="AC2262" s="196">
        <f t="shared" si="577"/>
        <v>0</v>
      </c>
      <c r="AD2262" s="196">
        <f t="shared" si="578"/>
        <v>0</v>
      </c>
      <c r="AE2262" s="196">
        <f t="shared" si="579"/>
        <v>0</v>
      </c>
      <c r="AF2262" s="2">
        <f t="shared" si="580"/>
        <v>0</v>
      </c>
      <c r="AG2262" s="2">
        <f t="shared" si="581"/>
        <v>0</v>
      </c>
    </row>
    <row r="2263" spans="1:33">
      <c r="A2263" s="377" t="s">
        <v>2176</v>
      </c>
      <c r="B2263" s="156"/>
      <c r="C2263" s="21" t="s">
        <v>15319</v>
      </c>
      <c r="D2263" s="109" t="s">
        <v>14177</v>
      </c>
      <c r="E2263" s="109" t="s">
        <v>13969</v>
      </c>
      <c r="F2263" s="391" t="s">
        <v>15321</v>
      </c>
      <c r="G2263" s="23" t="s">
        <v>15322</v>
      </c>
      <c r="H2263" s="23"/>
      <c r="I2263" s="23"/>
      <c r="J2263" s="23"/>
      <c r="K2263" s="23"/>
      <c r="L2263" s="375" t="s">
        <v>7787</v>
      </c>
      <c r="M2263" s="351" t="s">
        <v>7787</v>
      </c>
      <c r="N2263" s="267">
        <f t="shared" si="582"/>
        <v>0</v>
      </c>
      <c r="O2263" s="268">
        <f t="shared" si="583"/>
        <v>0</v>
      </c>
      <c r="P2263" s="239"/>
      <c r="Q2263" s="239"/>
      <c r="R2263" s="239"/>
      <c r="S2263" s="239"/>
      <c r="T2263" s="239"/>
      <c r="U2263" s="240"/>
      <c r="V2263" s="240"/>
      <c r="W2263" s="240"/>
      <c r="X2263" s="278"/>
      <c r="Y2263" s="239"/>
      <c r="Z2263" s="237"/>
      <c r="AA2263" s="279"/>
      <c r="AB2263" s="238"/>
      <c r="AC2263" s="196">
        <f t="shared" si="577"/>
        <v>0</v>
      </c>
      <c r="AD2263" s="196">
        <f t="shared" si="578"/>
        <v>0</v>
      </c>
      <c r="AE2263" s="196">
        <f t="shared" si="579"/>
        <v>0</v>
      </c>
      <c r="AF2263" s="2">
        <f t="shared" si="580"/>
        <v>0</v>
      </c>
      <c r="AG2263" s="2">
        <f t="shared" si="581"/>
        <v>0</v>
      </c>
    </row>
    <row r="2264" spans="1:33">
      <c r="A2264" s="20" t="s">
        <v>2180</v>
      </c>
      <c r="B2264" s="156" t="s">
        <v>5851</v>
      </c>
      <c r="C2264" s="21" t="s">
        <v>6769</v>
      </c>
      <c r="D2264" s="109" t="s">
        <v>14177</v>
      </c>
      <c r="E2264" s="109" t="s">
        <v>6772</v>
      </c>
      <c r="F2264" s="391" t="s">
        <v>6773</v>
      </c>
      <c r="G2264" s="23" t="s">
        <v>6774</v>
      </c>
      <c r="H2264" s="23" t="s">
        <v>13215</v>
      </c>
      <c r="I2264" s="23" t="s">
        <v>14197</v>
      </c>
      <c r="J2264" s="23"/>
      <c r="K2264" s="23"/>
      <c r="L2264" s="350"/>
      <c r="M2264" s="351"/>
      <c r="N2264" s="267">
        <f t="shared" si="582"/>
        <v>0</v>
      </c>
      <c r="O2264" s="268">
        <f t="shared" si="583"/>
        <v>0</v>
      </c>
      <c r="P2264" s="239"/>
      <c r="Q2264" s="239"/>
      <c r="R2264" s="239"/>
      <c r="S2264" s="239"/>
      <c r="T2264" s="239"/>
      <c r="U2264" s="240"/>
      <c r="V2264" s="240"/>
      <c r="W2264" s="240">
        <f>3000-300-300-500+50-500-350-300-550-250</f>
        <v>0</v>
      </c>
      <c r="X2264" s="278"/>
      <c r="Y2264" s="239"/>
      <c r="Z2264" s="237"/>
      <c r="AA2264" s="279"/>
      <c r="AB2264" s="238"/>
      <c r="AC2264" s="196">
        <f t="shared" si="577"/>
        <v>0</v>
      </c>
      <c r="AD2264" s="196">
        <f t="shared" si="578"/>
        <v>0</v>
      </c>
      <c r="AE2264" s="196">
        <f t="shared" si="579"/>
        <v>0</v>
      </c>
      <c r="AF2264" s="2">
        <f t="shared" si="580"/>
        <v>0</v>
      </c>
      <c r="AG2264" s="2">
        <f t="shared" si="581"/>
        <v>0</v>
      </c>
    </row>
    <row r="2265" spans="1:33">
      <c r="A2265" s="20" t="s">
        <v>2177</v>
      </c>
      <c r="B2265" s="150"/>
      <c r="C2265" s="21" t="s">
        <v>15323</v>
      </c>
      <c r="D2265" s="109" t="s">
        <v>14177</v>
      </c>
      <c r="E2265" s="109" t="s">
        <v>13969</v>
      </c>
      <c r="F2265" s="391" t="s">
        <v>15324</v>
      </c>
      <c r="G2265" s="23" t="s">
        <v>13972</v>
      </c>
      <c r="H2265" s="23" t="s">
        <v>13215</v>
      </c>
      <c r="I2265" s="23" t="s">
        <v>14197</v>
      </c>
      <c r="J2265" s="23"/>
      <c r="K2265" s="23"/>
      <c r="L2265" s="350"/>
      <c r="M2265" s="351"/>
      <c r="N2265" s="267">
        <f t="shared" si="582"/>
        <v>0</v>
      </c>
      <c r="O2265" s="268">
        <f t="shared" si="583"/>
        <v>0</v>
      </c>
      <c r="P2265" s="239"/>
      <c r="Q2265" s="239"/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37"/>
      <c r="AB2265" s="238"/>
      <c r="AC2265" s="196">
        <f t="shared" si="577"/>
        <v>0</v>
      </c>
      <c r="AD2265" s="196">
        <f t="shared" si="578"/>
        <v>0</v>
      </c>
      <c r="AE2265" s="196">
        <f t="shared" si="579"/>
        <v>0</v>
      </c>
      <c r="AF2265" s="2">
        <f t="shared" si="580"/>
        <v>0</v>
      </c>
      <c r="AG2265" s="2">
        <f t="shared" si="581"/>
        <v>0</v>
      </c>
    </row>
    <row r="2266" spans="1:33">
      <c r="A2266" s="20" t="s">
        <v>6840</v>
      </c>
      <c r="B2266" s="150"/>
      <c r="C2266" s="21" t="s">
        <v>15323</v>
      </c>
      <c r="D2266" s="109" t="s">
        <v>14177</v>
      </c>
      <c r="E2266" s="109" t="s">
        <v>13971</v>
      </c>
      <c r="F2266" s="391" t="s">
        <v>15324</v>
      </c>
      <c r="G2266" s="23" t="s">
        <v>14218</v>
      </c>
      <c r="H2266" s="23" t="s">
        <v>13218</v>
      </c>
      <c r="I2266" s="23" t="s">
        <v>13972</v>
      </c>
      <c r="J2266" s="23"/>
      <c r="K2266" s="23"/>
      <c r="L2266" s="350"/>
      <c r="M2266" s="351"/>
      <c r="N2266" s="267">
        <f t="shared" si="582"/>
        <v>0</v>
      </c>
      <c r="O2266" s="268">
        <f t="shared" si="583"/>
        <v>0</v>
      </c>
      <c r="P2266" s="239"/>
      <c r="Q2266" s="239"/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/>
      <c r="AC2266" s="196">
        <f t="shared" si="577"/>
        <v>0</v>
      </c>
      <c r="AD2266" s="196">
        <f t="shared" si="578"/>
        <v>0</v>
      </c>
      <c r="AE2266" s="196">
        <f t="shared" si="579"/>
        <v>0</v>
      </c>
      <c r="AF2266" s="2">
        <f t="shared" si="580"/>
        <v>0</v>
      </c>
      <c r="AG2266" s="2">
        <f t="shared" si="581"/>
        <v>0</v>
      </c>
    </row>
    <row r="2267" spans="1:33">
      <c r="A2267" s="20" t="s">
        <v>22787</v>
      </c>
      <c r="B2267" s="150"/>
      <c r="C2267" s="21" t="s">
        <v>22880</v>
      </c>
      <c r="D2267" s="109" t="s">
        <v>3136</v>
      </c>
      <c r="E2267" s="219" t="s">
        <v>22402</v>
      </c>
      <c r="F2267" s="391" t="s">
        <v>6430</v>
      </c>
      <c r="G2267" s="23" t="s">
        <v>22920</v>
      </c>
      <c r="H2267" s="23" t="s">
        <v>13888</v>
      </c>
      <c r="I2267" s="23" t="s">
        <v>25535</v>
      </c>
      <c r="J2267" s="23"/>
      <c r="K2267" s="23"/>
      <c r="L2267" s="375" t="s">
        <v>27639</v>
      </c>
      <c r="M2267" s="351" t="s">
        <v>45</v>
      </c>
      <c r="N2267" s="267">
        <f t="shared" si="582"/>
        <v>0</v>
      </c>
      <c r="O2267" s="268">
        <f t="shared" si="583"/>
        <v>50</v>
      </c>
      <c r="P2267" s="239"/>
      <c r="Q2267" s="239">
        <f>900-200-150-150-350</f>
        <v>50</v>
      </c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 t="s">
        <v>27634</v>
      </c>
      <c r="AC2267" s="196">
        <f t="shared" si="577"/>
        <v>50</v>
      </c>
      <c r="AD2267" s="196">
        <f t="shared" si="578"/>
        <v>50</v>
      </c>
      <c r="AE2267" s="196">
        <f t="shared" si="579"/>
        <v>0</v>
      </c>
      <c r="AF2267" s="2">
        <f t="shared" si="580"/>
        <v>50</v>
      </c>
      <c r="AG2267" s="2">
        <f t="shared" si="581"/>
        <v>0</v>
      </c>
    </row>
    <row r="2268" spans="1:33">
      <c r="A2268" s="20" t="s">
        <v>22882</v>
      </c>
      <c r="B2268" s="150"/>
      <c r="C2268" s="21" t="s">
        <v>22880</v>
      </c>
      <c r="D2268" s="109" t="s">
        <v>3136</v>
      </c>
      <c r="E2268" s="219" t="s">
        <v>22919</v>
      </c>
      <c r="F2268" s="391" t="s">
        <v>6430</v>
      </c>
      <c r="G2268" s="23" t="s">
        <v>22920</v>
      </c>
      <c r="H2268" s="23"/>
      <c r="I2268" s="23"/>
      <c r="J2268" s="23"/>
      <c r="K2268" s="23"/>
      <c r="L2268" s="350"/>
      <c r="M2268" s="351"/>
      <c r="N2268" s="267">
        <f t="shared" si="582"/>
        <v>0</v>
      </c>
      <c r="O2268" s="268">
        <f t="shared" si="583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7"/>
        <v>0</v>
      </c>
      <c r="AD2268" s="196">
        <f t="shared" si="578"/>
        <v>0</v>
      </c>
      <c r="AE2268" s="196">
        <f t="shared" si="579"/>
        <v>0</v>
      </c>
      <c r="AF2268" s="2">
        <f t="shared" si="580"/>
        <v>0</v>
      </c>
      <c r="AG2268" s="2">
        <f t="shared" si="581"/>
        <v>0</v>
      </c>
    </row>
    <row r="2269" spans="1:33">
      <c r="A2269" s="20" t="s">
        <v>2181</v>
      </c>
      <c r="B2269" s="150"/>
      <c r="C2269" s="21" t="s">
        <v>375</v>
      </c>
      <c r="D2269" s="109" t="s">
        <v>14179</v>
      </c>
      <c r="E2269" s="109"/>
      <c r="F2269" s="391" t="s">
        <v>15316</v>
      </c>
      <c r="G2269" s="23"/>
      <c r="H2269" s="23"/>
      <c r="I2269" s="23"/>
      <c r="J2269" s="23"/>
      <c r="K2269" s="23"/>
      <c r="L2269" s="350"/>
      <c r="M2269" s="351"/>
      <c r="N2269" s="267">
        <f t="shared" si="582"/>
        <v>0</v>
      </c>
      <c r="O2269" s="268">
        <f t="shared" si="583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7"/>
        <v>0</v>
      </c>
      <c r="AD2269" s="196">
        <f t="shared" si="578"/>
        <v>0</v>
      </c>
      <c r="AE2269" s="196">
        <f t="shared" si="579"/>
        <v>0</v>
      </c>
      <c r="AF2269" s="2">
        <f t="shared" si="580"/>
        <v>0</v>
      </c>
      <c r="AG2269" s="2">
        <f t="shared" si="581"/>
        <v>0</v>
      </c>
    </row>
    <row r="2270" spans="1:33">
      <c r="A2270" s="20" t="s">
        <v>2170</v>
      </c>
      <c r="B2270" s="150"/>
      <c r="C2270" s="21" t="s">
        <v>373</v>
      </c>
      <c r="D2270" s="109" t="s">
        <v>14038</v>
      </c>
      <c r="E2270" s="109"/>
      <c r="F2270" s="391" t="s">
        <v>15325</v>
      </c>
      <c r="G2270" s="23" t="s">
        <v>13976</v>
      </c>
      <c r="H2270" s="23" t="s">
        <v>14263</v>
      </c>
      <c r="I2270" s="23"/>
      <c r="J2270" s="23"/>
      <c r="K2270" s="23"/>
      <c r="L2270" s="350"/>
      <c r="M2270" s="351"/>
      <c r="N2270" s="267">
        <f t="shared" si="582"/>
        <v>0</v>
      </c>
      <c r="O2270" s="268">
        <f t="shared" si="583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7"/>
        <v>0</v>
      </c>
      <c r="AD2270" s="196">
        <f t="shared" si="578"/>
        <v>0</v>
      </c>
      <c r="AE2270" s="196">
        <f t="shared" si="579"/>
        <v>0</v>
      </c>
      <c r="AF2270" s="2">
        <f t="shared" si="580"/>
        <v>0</v>
      </c>
      <c r="AG2270" s="2">
        <f t="shared" si="581"/>
        <v>0</v>
      </c>
    </row>
    <row r="2271" spans="1:33">
      <c r="A2271" s="20" t="s">
        <v>2171</v>
      </c>
      <c r="B2271" s="150"/>
      <c r="C2271" s="21" t="s">
        <v>373</v>
      </c>
      <c r="D2271" s="109" t="s">
        <v>14038</v>
      </c>
      <c r="E2271" s="109"/>
      <c r="F2271" s="391" t="s">
        <v>15326</v>
      </c>
      <c r="G2271" s="23" t="s">
        <v>14197</v>
      </c>
      <c r="H2271" s="23"/>
      <c r="I2271" s="23"/>
      <c r="J2271" s="23"/>
      <c r="K2271" s="23"/>
      <c r="L2271" s="350"/>
      <c r="M2271" s="351"/>
      <c r="N2271" s="267">
        <f t="shared" si="582"/>
        <v>0</v>
      </c>
      <c r="O2271" s="268">
        <f t="shared" si="583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7"/>
        <v>0</v>
      </c>
      <c r="AD2271" s="196">
        <f t="shared" si="578"/>
        <v>0</v>
      </c>
      <c r="AE2271" s="196">
        <f t="shared" si="579"/>
        <v>0</v>
      </c>
      <c r="AF2271" s="2">
        <f t="shared" si="580"/>
        <v>0</v>
      </c>
      <c r="AG2271" s="2">
        <f t="shared" si="581"/>
        <v>0</v>
      </c>
    </row>
    <row r="2272" spans="1:33">
      <c r="A2272" s="20" t="s">
        <v>2172</v>
      </c>
      <c r="B2272" s="150"/>
      <c r="C2272" s="21" t="s">
        <v>374</v>
      </c>
      <c r="D2272" s="109" t="s">
        <v>14038</v>
      </c>
      <c r="E2272" s="109"/>
      <c r="F2272" s="391" t="s">
        <v>15327</v>
      </c>
      <c r="G2272" s="23" t="s">
        <v>15328</v>
      </c>
      <c r="H2272" s="23"/>
      <c r="I2272" s="23"/>
      <c r="J2272" s="23"/>
      <c r="K2272" s="23"/>
      <c r="L2272" s="350"/>
      <c r="M2272" s="351"/>
      <c r="N2272" s="267">
        <f t="shared" si="582"/>
        <v>0</v>
      </c>
      <c r="O2272" s="268">
        <f t="shared" si="583"/>
        <v>0</v>
      </c>
      <c r="P2272" s="239"/>
      <c r="Q2272" s="239"/>
      <c r="R2272" s="239"/>
      <c r="S2272" s="239"/>
      <c r="T2272" s="239"/>
      <c r="U2272" s="240"/>
      <c r="V2272" s="240"/>
      <c r="W2272" s="240"/>
      <c r="X2272" s="278"/>
      <c r="Y2272" s="237"/>
      <c r="Z2272" s="237"/>
      <c r="AA2272" s="279"/>
      <c r="AB2272" s="238"/>
      <c r="AC2272" s="196">
        <f t="shared" si="577"/>
        <v>0</v>
      </c>
      <c r="AD2272" s="196">
        <f t="shared" si="578"/>
        <v>0</v>
      </c>
      <c r="AE2272" s="196">
        <f t="shared" si="579"/>
        <v>0</v>
      </c>
      <c r="AF2272" s="2">
        <f t="shared" si="580"/>
        <v>0</v>
      </c>
      <c r="AG2272" s="2">
        <f t="shared" si="581"/>
        <v>0</v>
      </c>
    </row>
    <row r="2273" spans="1:33">
      <c r="A2273" s="20" t="s">
        <v>2182</v>
      </c>
      <c r="B2273" s="150"/>
      <c r="C2273" s="21" t="s">
        <v>376</v>
      </c>
      <c r="D2273" s="109" t="s">
        <v>13228</v>
      </c>
      <c r="E2273" s="109"/>
      <c r="F2273" s="391" t="s">
        <v>15329</v>
      </c>
      <c r="G2273" s="23"/>
      <c r="H2273" s="23"/>
      <c r="I2273" s="23"/>
      <c r="J2273" s="23"/>
      <c r="K2273" s="23"/>
      <c r="L2273" s="350"/>
      <c r="M2273" s="351"/>
      <c r="N2273" s="267">
        <f t="shared" si="582"/>
        <v>0</v>
      </c>
      <c r="O2273" s="268">
        <f t="shared" si="583"/>
        <v>0</v>
      </c>
      <c r="P2273" s="239"/>
      <c r="Q2273" s="239"/>
      <c r="R2273" s="239"/>
      <c r="S2273" s="239"/>
      <c r="T2273" s="239"/>
      <c r="U2273" s="240"/>
      <c r="V2273" s="240"/>
      <c r="W2273" s="240"/>
      <c r="X2273" s="278"/>
      <c r="Y2273" s="237"/>
      <c r="Z2273" s="237"/>
      <c r="AA2273" s="279"/>
      <c r="AB2273" s="238"/>
      <c r="AC2273" s="196">
        <f t="shared" si="577"/>
        <v>0</v>
      </c>
      <c r="AD2273" s="196">
        <f t="shared" si="578"/>
        <v>0</v>
      </c>
      <c r="AE2273" s="196">
        <f t="shared" si="579"/>
        <v>0</v>
      </c>
      <c r="AF2273" s="2">
        <f t="shared" si="580"/>
        <v>0</v>
      </c>
      <c r="AG2273" s="2">
        <f t="shared" si="581"/>
        <v>0</v>
      </c>
    </row>
    <row r="2274" spans="1:33">
      <c r="A2274" s="20" t="s">
        <v>2183</v>
      </c>
      <c r="B2274" s="156" t="s">
        <v>15330</v>
      </c>
      <c r="C2274" s="21" t="s">
        <v>377</v>
      </c>
      <c r="D2274" s="109" t="s">
        <v>13228</v>
      </c>
      <c r="E2274" s="109"/>
      <c r="F2274" s="391" t="s">
        <v>15331</v>
      </c>
      <c r="G2274" s="23" t="s">
        <v>14144</v>
      </c>
      <c r="H2274" s="23" t="s">
        <v>14014</v>
      </c>
      <c r="I2274" s="23" t="s">
        <v>15332</v>
      </c>
      <c r="J2274" s="23" t="s">
        <v>14099</v>
      </c>
      <c r="K2274" s="23" t="s">
        <v>14198</v>
      </c>
      <c r="L2274" s="375" t="s">
        <v>27393</v>
      </c>
      <c r="M2274" s="351" t="s">
        <v>45</v>
      </c>
      <c r="N2274" s="267">
        <f t="shared" si="582"/>
        <v>0</v>
      </c>
      <c r="O2274" s="268">
        <f t="shared" si="583"/>
        <v>400</v>
      </c>
      <c r="P2274" s="239"/>
      <c r="Q2274" s="240"/>
      <c r="R2274" s="237"/>
      <c r="S2274" s="237"/>
      <c r="T2274" s="237">
        <f>1400-450-150-500+1000-500-500+400+50-700+1900-1300+1200+2250-2500-500-400-300</f>
        <v>400</v>
      </c>
      <c r="U2274" s="240"/>
      <c r="V2274" s="240"/>
      <c r="W2274" s="240"/>
      <c r="X2274" s="278"/>
      <c r="Y2274" s="239"/>
      <c r="Z2274" s="237"/>
      <c r="AA2274" s="279"/>
      <c r="AB2274" s="238" t="s">
        <v>27389</v>
      </c>
      <c r="AC2274" s="196">
        <f t="shared" si="577"/>
        <v>400</v>
      </c>
      <c r="AD2274" s="196">
        <f t="shared" si="578"/>
        <v>400</v>
      </c>
      <c r="AE2274" s="196">
        <f t="shared" si="579"/>
        <v>0</v>
      </c>
      <c r="AF2274" s="2">
        <f t="shared" si="580"/>
        <v>400</v>
      </c>
      <c r="AG2274" s="2">
        <f t="shared" si="581"/>
        <v>0</v>
      </c>
    </row>
    <row r="2275" spans="1:33">
      <c r="A2275" s="20" t="s">
        <v>2184</v>
      </c>
      <c r="B2275" s="150"/>
      <c r="C2275" s="21" t="s">
        <v>377</v>
      </c>
      <c r="D2275" s="109" t="s">
        <v>13207</v>
      </c>
      <c r="E2275" s="109"/>
      <c r="F2275" s="391" t="s">
        <v>15331</v>
      </c>
      <c r="G2275" s="23"/>
      <c r="H2275" s="23"/>
      <c r="I2275" s="23"/>
      <c r="J2275" s="23"/>
      <c r="K2275" s="23"/>
      <c r="L2275" s="350"/>
      <c r="M2275" s="351"/>
      <c r="N2275" s="267">
        <f t="shared" si="582"/>
        <v>0</v>
      </c>
      <c r="O2275" s="268">
        <f t="shared" si="583"/>
        <v>0</v>
      </c>
      <c r="P2275" s="239"/>
      <c r="Q2275" s="239"/>
      <c r="R2275" s="239"/>
      <c r="S2275" s="239"/>
      <c r="T2275" s="239"/>
      <c r="U2275" s="240"/>
      <c r="V2275" s="240"/>
      <c r="W2275" s="240"/>
      <c r="X2275" s="278"/>
      <c r="Y2275" s="237"/>
      <c r="Z2275" s="237"/>
      <c r="AA2275" s="279"/>
      <c r="AB2275" s="238"/>
      <c r="AC2275" s="196">
        <f t="shared" ref="AC2275:AC2338" si="584">SUM(P2275:AA2275)</f>
        <v>0</v>
      </c>
      <c r="AD2275" s="196">
        <f t="shared" ref="AD2275:AD2338" si="585">SUM(P2275:AB2275)</f>
        <v>0</v>
      </c>
      <c r="AE2275" s="196">
        <f t="shared" ref="AE2275:AE2338" si="586">SUM(AC2275-AD2275)</f>
        <v>0</v>
      </c>
      <c r="AF2275" s="2">
        <f t="shared" ref="AF2275:AF2338" si="587">+AC2275</f>
        <v>0</v>
      </c>
      <c r="AG2275" s="2">
        <f t="shared" ref="AG2275:AG2338" si="588">+AC2275-AF2275</f>
        <v>0</v>
      </c>
    </row>
    <row r="2276" spans="1:33">
      <c r="A2276" s="20" t="s">
        <v>2185</v>
      </c>
      <c r="B2276" s="150"/>
      <c r="C2276" s="21" t="s">
        <v>378</v>
      </c>
      <c r="D2276" s="109" t="s">
        <v>13228</v>
      </c>
      <c r="E2276" s="109"/>
      <c r="F2276" s="391" t="s">
        <v>15333</v>
      </c>
      <c r="G2276" s="23" t="s">
        <v>13999</v>
      </c>
      <c r="H2276" s="23" t="s">
        <v>14056</v>
      </c>
      <c r="I2276" s="23" t="s">
        <v>13214</v>
      </c>
      <c r="J2276" s="23" t="s">
        <v>22241</v>
      </c>
      <c r="K2276" s="23"/>
      <c r="L2276" s="375" t="s">
        <v>27591</v>
      </c>
      <c r="M2276" s="351" t="s">
        <v>45</v>
      </c>
      <c r="N2276" s="267">
        <f t="shared" si="582"/>
        <v>0</v>
      </c>
      <c r="O2276" s="268">
        <f t="shared" si="583"/>
        <v>100</v>
      </c>
      <c r="P2276" s="239"/>
      <c r="Q2276" s="239"/>
      <c r="R2276" s="239"/>
      <c r="S2276" s="240">
        <f>600-500</f>
        <v>100</v>
      </c>
      <c r="T2276" s="239"/>
      <c r="U2276" s="240"/>
      <c r="V2276" s="240"/>
      <c r="W2276" s="240"/>
      <c r="X2276" s="278"/>
      <c r="Y2276" s="239"/>
      <c r="Z2276" s="237"/>
      <c r="AA2276" s="279"/>
      <c r="AB2276" s="238" t="s">
        <v>27587</v>
      </c>
      <c r="AC2276" s="196">
        <f t="shared" si="584"/>
        <v>100</v>
      </c>
      <c r="AD2276" s="196">
        <f t="shared" si="585"/>
        <v>100</v>
      </c>
      <c r="AE2276" s="196">
        <f t="shared" si="586"/>
        <v>0</v>
      </c>
      <c r="AF2276" s="2">
        <f t="shared" si="587"/>
        <v>100</v>
      </c>
      <c r="AG2276" s="2">
        <f t="shared" si="588"/>
        <v>0</v>
      </c>
    </row>
    <row r="2277" spans="1:33">
      <c r="A2277" s="20" t="s">
        <v>2186</v>
      </c>
      <c r="B2277" s="161"/>
      <c r="C2277" s="21" t="s">
        <v>379</v>
      </c>
      <c r="D2277" s="109" t="s">
        <v>13228</v>
      </c>
      <c r="E2277" s="109"/>
      <c r="F2277" s="391" t="s">
        <v>15334</v>
      </c>
      <c r="G2277" s="23" t="s">
        <v>13986</v>
      </c>
      <c r="H2277" s="23"/>
      <c r="I2277" s="23"/>
      <c r="J2277" s="23"/>
      <c r="K2277" s="23"/>
      <c r="L2277" s="350"/>
      <c r="M2277" s="351"/>
      <c r="N2277" s="267">
        <f t="shared" si="582"/>
        <v>0</v>
      </c>
      <c r="O2277" s="268">
        <f t="shared" si="583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4"/>
        <v>0</v>
      </c>
      <c r="AD2277" s="196">
        <f t="shared" si="585"/>
        <v>0</v>
      </c>
      <c r="AE2277" s="196">
        <f t="shared" si="586"/>
        <v>0</v>
      </c>
      <c r="AF2277" s="2">
        <f t="shared" si="587"/>
        <v>0</v>
      </c>
      <c r="AG2277" s="2">
        <f t="shared" si="588"/>
        <v>0</v>
      </c>
    </row>
    <row r="2278" spans="1:33">
      <c r="A2278" s="20" t="s">
        <v>2188</v>
      </c>
      <c r="B2278" s="156" t="s">
        <v>15335</v>
      </c>
      <c r="C2278" s="21" t="s">
        <v>381</v>
      </c>
      <c r="D2278" s="109" t="s">
        <v>13228</v>
      </c>
      <c r="E2278" s="109"/>
      <c r="F2278" s="391" t="s">
        <v>15336</v>
      </c>
      <c r="G2278" s="23" t="s">
        <v>13979</v>
      </c>
      <c r="H2278" s="23" t="s">
        <v>14056</v>
      </c>
      <c r="I2278" s="23" t="s">
        <v>15337</v>
      </c>
      <c r="J2278" s="23" t="s">
        <v>15338</v>
      </c>
      <c r="K2278" s="23"/>
      <c r="L2278" s="356" t="s">
        <v>7787</v>
      </c>
      <c r="M2278" s="351" t="s">
        <v>7787</v>
      </c>
      <c r="N2278" s="267">
        <f t="shared" si="582"/>
        <v>0</v>
      </c>
      <c r="O2278" s="268">
        <f t="shared" si="583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4"/>
        <v>0</v>
      </c>
      <c r="AD2278" s="196">
        <f t="shared" si="585"/>
        <v>0</v>
      </c>
      <c r="AE2278" s="196">
        <f t="shared" si="586"/>
        <v>0</v>
      </c>
      <c r="AF2278" s="2">
        <f t="shared" si="587"/>
        <v>0</v>
      </c>
      <c r="AG2278" s="2">
        <f t="shared" si="588"/>
        <v>0</v>
      </c>
    </row>
    <row r="2279" spans="1:33">
      <c r="A2279" s="20" t="s">
        <v>2189</v>
      </c>
      <c r="B2279" s="150"/>
      <c r="C2279" s="21" t="s">
        <v>381</v>
      </c>
      <c r="D2279" s="109" t="s">
        <v>13207</v>
      </c>
      <c r="E2279" s="109"/>
      <c r="F2279" s="391" t="s">
        <v>15339</v>
      </c>
      <c r="G2279" s="23" t="s">
        <v>13231</v>
      </c>
      <c r="H2279" s="23" t="s">
        <v>13218</v>
      </c>
      <c r="I2279" s="23"/>
      <c r="J2279" s="23"/>
      <c r="K2279" s="23"/>
      <c r="L2279" s="356" t="s">
        <v>7787</v>
      </c>
      <c r="M2279" s="351" t="s">
        <v>7787</v>
      </c>
      <c r="N2279" s="267">
        <f t="shared" si="582"/>
        <v>0</v>
      </c>
      <c r="O2279" s="268">
        <f t="shared" si="583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4"/>
        <v>0</v>
      </c>
      <c r="AD2279" s="196">
        <f t="shared" si="585"/>
        <v>0</v>
      </c>
      <c r="AE2279" s="196">
        <f t="shared" si="586"/>
        <v>0</v>
      </c>
      <c r="AF2279" s="2">
        <f t="shared" si="587"/>
        <v>0</v>
      </c>
      <c r="AG2279" s="2">
        <f t="shared" si="588"/>
        <v>0</v>
      </c>
    </row>
    <row r="2280" spans="1:33">
      <c r="A2280" s="20" t="s">
        <v>2190</v>
      </c>
      <c r="B2280" s="150"/>
      <c r="C2280" s="21" t="s">
        <v>382</v>
      </c>
      <c r="D2280" s="109" t="s">
        <v>14038</v>
      </c>
      <c r="E2280" s="109"/>
      <c r="F2280" s="391" t="s">
        <v>15340</v>
      </c>
      <c r="G2280" s="23" t="s">
        <v>14263</v>
      </c>
      <c r="H2280" s="23"/>
      <c r="I2280" s="23"/>
      <c r="J2280" s="23"/>
      <c r="K2280" s="23"/>
      <c r="L2280" s="350"/>
      <c r="M2280" s="351"/>
      <c r="N2280" s="267">
        <f t="shared" si="582"/>
        <v>0</v>
      </c>
      <c r="O2280" s="268">
        <f t="shared" si="583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4"/>
        <v>0</v>
      </c>
      <c r="AD2280" s="196">
        <f t="shared" si="585"/>
        <v>0</v>
      </c>
      <c r="AE2280" s="196">
        <f t="shared" si="586"/>
        <v>0</v>
      </c>
      <c r="AF2280" s="2">
        <f t="shared" si="587"/>
        <v>0</v>
      </c>
      <c r="AG2280" s="2">
        <f t="shared" si="588"/>
        <v>0</v>
      </c>
    </row>
    <row r="2281" spans="1:33">
      <c r="A2281" s="20" t="s">
        <v>2191</v>
      </c>
      <c r="B2281" s="150"/>
      <c r="C2281" s="21" t="s">
        <v>383</v>
      </c>
      <c r="D2281" s="109" t="s">
        <v>14038</v>
      </c>
      <c r="E2281" s="109"/>
      <c r="F2281" s="391" t="s">
        <v>15341</v>
      </c>
      <c r="G2281" s="23" t="s">
        <v>14263</v>
      </c>
      <c r="H2281" s="23"/>
      <c r="I2281" s="23"/>
      <c r="J2281" s="23"/>
      <c r="K2281" s="23"/>
      <c r="L2281" s="350"/>
      <c r="M2281" s="351"/>
      <c r="N2281" s="267">
        <f t="shared" si="582"/>
        <v>0</v>
      </c>
      <c r="O2281" s="268">
        <f t="shared" si="583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4"/>
        <v>0</v>
      </c>
      <c r="AD2281" s="196">
        <f t="shared" si="585"/>
        <v>0</v>
      </c>
      <c r="AE2281" s="196">
        <f t="shared" si="586"/>
        <v>0</v>
      </c>
      <c r="AF2281" s="2">
        <f t="shared" si="587"/>
        <v>0</v>
      </c>
      <c r="AG2281" s="2">
        <f t="shared" si="588"/>
        <v>0</v>
      </c>
    </row>
    <row r="2282" spans="1:33">
      <c r="A2282" s="20" t="s">
        <v>21436</v>
      </c>
      <c r="B2282" s="150"/>
      <c r="C2282" s="21" t="s">
        <v>20842</v>
      </c>
      <c r="D2282" s="109" t="s">
        <v>20840</v>
      </c>
      <c r="E2282" s="109"/>
      <c r="F2282" s="391" t="s">
        <v>20970</v>
      </c>
      <c r="G2282" s="23" t="s">
        <v>20012</v>
      </c>
      <c r="H2282" s="23"/>
      <c r="I2282" s="23"/>
      <c r="J2282" s="23"/>
      <c r="K2282" s="23"/>
      <c r="L2282" s="375" t="s">
        <v>7787</v>
      </c>
      <c r="M2282" s="351"/>
      <c r="N2282" s="267">
        <f t="shared" si="582"/>
        <v>0</v>
      </c>
      <c r="O2282" s="268">
        <f t="shared" si="583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4"/>
        <v>0</v>
      </c>
      <c r="AD2282" s="196">
        <f t="shared" si="585"/>
        <v>0</v>
      </c>
      <c r="AE2282" s="196">
        <f t="shared" si="586"/>
        <v>0</v>
      </c>
      <c r="AF2282" s="2">
        <f t="shared" si="587"/>
        <v>0</v>
      </c>
      <c r="AG2282" s="2">
        <f t="shared" si="588"/>
        <v>0</v>
      </c>
    </row>
    <row r="2283" spans="1:33">
      <c r="A2283" s="20" t="s">
        <v>2721</v>
      </c>
      <c r="B2283" s="150"/>
      <c r="C2283" s="21" t="s">
        <v>815</v>
      </c>
      <c r="D2283" s="109" t="s">
        <v>14038</v>
      </c>
      <c r="E2283" s="109"/>
      <c r="F2283" s="391" t="s">
        <v>15342</v>
      </c>
      <c r="G2283" s="23"/>
      <c r="H2283" s="23"/>
      <c r="I2283" s="23"/>
      <c r="J2283" s="23"/>
      <c r="K2283" s="23"/>
      <c r="L2283" s="350"/>
      <c r="M2283" s="351"/>
      <c r="N2283" s="267">
        <f t="shared" si="582"/>
        <v>0</v>
      </c>
      <c r="O2283" s="268">
        <f t="shared" si="583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4"/>
        <v>0</v>
      </c>
      <c r="AD2283" s="196">
        <f t="shared" si="585"/>
        <v>0</v>
      </c>
      <c r="AE2283" s="196">
        <f t="shared" si="586"/>
        <v>0</v>
      </c>
      <c r="AF2283" s="2">
        <f t="shared" si="587"/>
        <v>0</v>
      </c>
      <c r="AG2283" s="2">
        <f t="shared" si="588"/>
        <v>0</v>
      </c>
    </row>
    <row r="2284" spans="1:33">
      <c r="A2284" s="20" t="s">
        <v>2192</v>
      </c>
      <c r="B2284" s="150"/>
      <c r="C2284" s="21" t="s">
        <v>15343</v>
      </c>
      <c r="D2284" s="109" t="s">
        <v>14038</v>
      </c>
      <c r="E2284" s="109"/>
      <c r="F2284" s="391" t="s">
        <v>15344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82"/>
        <v>0</v>
      </c>
      <c r="O2284" s="268">
        <f t="shared" si="583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4"/>
        <v>0</v>
      </c>
      <c r="AD2284" s="196">
        <f t="shared" si="585"/>
        <v>0</v>
      </c>
      <c r="AE2284" s="196">
        <f t="shared" si="586"/>
        <v>0</v>
      </c>
      <c r="AF2284" s="2">
        <f t="shared" si="587"/>
        <v>0</v>
      </c>
      <c r="AG2284" s="2">
        <f t="shared" si="588"/>
        <v>0</v>
      </c>
    </row>
    <row r="2285" spans="1:33">
      <c r="A2285" s="20" t="s">
        <v>2193</v>
      </c>
      <c r="B2285" s="156" t="s">
        <v>15345</v>
      </c>
      <c r="C2285" s="21" t="s">
        <v>15343</v>
      </c>
      <c r="D2285" s="109" t="s">
        <v>14038</v>
      </c>
      <c r="E2285" s="109"/>
      <c r="F2285" s="391" t="s">
        <v>15346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82"/>
        <v>0</v>
      </c>
      <c r="O2285" s="268">
        <f t="shared" si="583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4"/>
        <v>0</v>
      </c>
      <c r="AD2285" s="196">
        <f t="shared" si="585"/>
        <v>0</v>
      </c>
      <c r="AE2285" s="196">
        <f t="shared" si="586"/>
        <v>0</v>
      </c>
      <c r="AF2285" s="2">
        <f t="shared" si="587"/>
        <v>0</v>
      </c>
      <c r="AG2285" s="2">
        <f t="shared" si="588"/>
        <v>0</v>
      </c>
    </row>
    <row r="2286" spans="1:33">
      <c r="A2286" s="20" t="s">
        <v>2194</v>
      </c>
      <c r="B2286" s="150"/>
      <c r="C2286" s="21" t="s">
        <v>15347</v>
      </c>
      <c r="D2286" s="109" t="s">
        <v>14038</v>
      </c>
      <c r="E2286" s="109"/>
      <c r="F2286" s="391" t="s">
        <v>15346</v>
      </c>
      <c r="G2286" s="23" t="s">
        <v>14263</v>
      </c>
      <c r="H2286" s="23"/>
      <c r="I2286" s="23"/>
      <c r="J2286" s="23"/>
      <c r="K2286" s="23"/>
      <c r="L2286" s="350"/>
      <c r="M2286" s="351"/>
      <c r="N2286" s="267">
        <f t="shared" si="582"/>
        <v>0</v>
      </c>
      <c r="O2286" s="268">
        <f t="shared" si="583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4"/>
        <v>0</v>
      </c>
      <c r="AD2286" s="196">
        <f t="shared" si="585"/>
        <v>0</v>
      </c>
      <c r="AE2286" s="196">
        <f t="shared" si="586"/>
        <v>0</v>
      </c>
      <c r="AF2286" s="2">
        <f t="shared" si="587"/>
        <v>0</v>
      </c>
      <c r="AG2286" s="2">
        <f t="shared" si="588"/>
        <v>0</v>
      </c>
    </row>
    <row r="2287" spans="1:33">
      <c r="A2287" s="20" t="s">
        <v>2195</v>
      </c>
      <c r="B2287" s="150"/>
      <c r="C2287" s="21" t="s">
        <v>384</v>
      </c>
      <c r="D2287" s="109" t="s">
        <v>14038</v>
      </c>
      <c r="E2287" s="109"/>
      <c r="F2287" s="391" t="s">
        <v>15348</v>
      </c>
      <c r="G2287" s="23" t="s">
        <v>14263</v>
      </c>
      <c r="H2287" s="23"/>
      <c r="I2287" s="23"/>
      <c r="J2287" s="23"/>
      <c r="K2287" s="23"/>
      <c r="L2287" s="350"/>
      <c r="M2287" s="351"/>
      <c r="N2287" s="267">
        <f t="shared" si="582"/>
        <v>0</v>
      </c>
      <c r="O2287" s="268">
        <f t="shared" si="583"/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4"/>
        <v>0</v>
      </c>
      <c r="AD2287" s="196">
        <f t="shared" si="585"/>
        <v>0</v>
      </c>
      <c r="AE2287" s="196">
        <f t="shared" si="586"/>
        <v>0</v>
      </c>
      <c r="AF2287" s="2">
        <f t="shared" si="587"/>
        <v>0</v>
      </c>
      <c r="AG2287" s="2">
        <f t="shared" si="588"/>
        <v>0</v>
      </c>
    </row>
    <row r="2288" spans="1:33">
      <c r="A2288" s="20" t="s">
        <v>2196</v>
      </c>
      <c r="B2288" s="150"/>
      <c r="C2288" s="21" t="s">
        <v>385</v>
      </c>
      <c r="D2288" s="109" t="s">
        <v>13228</v>
      </c>
      <c r="E2288" s="109"/>
      <c r="F2288" s="391" t="s">
        <v>15349</v>
      </c>
      <c r="G2288" s="23"/>
      <c r="H2288" s="23"/>
      <c r="I2288" s="23"/>
      <c r="J2288" s="23"/>
      <c r="K2288" s="23"/>
      <c r="L2288" s="368"/>
      <c r="M2288" s="351"/>
      <c r="N2288" s="267">
        <f t="shared" si="582"/>
        <v>0</v>
      </c>
      <c r="O2288" s="268">
        <f t="shared" si="583"/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4"/>
        <v>0</v>
      </c>
      <c r="AD2288" s="196">
        <f t="shared" si="585"/>
        <v>0</v>
      </c>
      <c r="AE2288" s="196">
        <f t="shared" si="586"/>
        <v>0</v>
      </c>
      <c r="AF2288" s="2">
        <f t="shared" si="587"/>
        <v>0</v>
      </c>
      <c r="AG2288" s="2">
        <f t="shared" si="588"/>
        <v>0</v>
      </c>
    </row>
    <row r="2289" spans="1:33">
      <c r="A2289" s="20" t="s">
        <v>2197</v>
      </c>
      <c r="B2289" s="150"/>
      <c r="C2289" s="21" t="s">
        <v>386</v>
      </c>
      <c r="D2289" s="109" t="s">
        <v>13228</v>
      </c>
      <c r="E2289" s="109"/>
      <c r="F2289" s="391" t="s">
        <v>15350</v>
      </c>
      <c r="G2289" s="23" t="s">
        <v>13980</v>
      </c>
      <c r="H2289" s="23"/>
      <c r="I2289" s="23"/>
      <c r="J2289" s="23"/>
      <c r="K2289" s="23"/>
      <c r="L2289" s="350"/>
      <c r="M2289" s="351"/>
      <c r="N2289" s="267">
        <f t="shared" ref="N2289:N2352" si="589">SUM(L2289:M2289)</f>
        <v>0</v>
      </c>
      <c r="O2289" s="268">
        <f t="shared" ref="O2289:O2352" si="590">SUM(P2289:Z2289)</f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4"/>
        <v>0</v>
      </c>
      <c r="AD2289" s="196">
        <f t="shared" si="585"/>
        <v>0</v>
      </c>
      <c r="AE2289" s="196">
        <f t="shared" si="586"/>
        <v>0</v>
      </c>
      <c r="AF2289" s="2">
        <f t="shared" si="587"/>
        <v>0</v>
      </c>
      <c r="AG2289" s="2">
        <f t="shared" si="588"/>
        <v>0</v>
      </c>
    </row>
    <row r="2290" spans="1:33">
      <c r="A2290" s="20" t="s">
        <v>2198</v>
      </c>
      <c r="B2290" s="150"/>
      <c r="C2290" s="21" t="s">
        <v>387</v>
      </c>
      <c r="D2290" s="109" t="s">
        <v>13228</v>
      </c>
      <c r="E2290" s="109"/>
      <c r="F2290" s="391" t="s">
        <v>15351</v>
      </c>
      <c r="G2290" s="23"/>
      <c r="H2290" s="23"/>
      <c r="I2290" s="23"/>
      <c r="J2290" s="23"/>
      <c r="K2290" s="23"/>
      <c r="L2290" s="350"/>
      <c r="M2290" s="351"/>
      <c r="N2290" s="267">
        <f t="shared" si="589"/>
        <v>0</v>
      </c>
      <c r="O2290" s="268">
        <f t="shared" si="590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4"/>
        <v>0</v>
      </c>
      <c r="AD2290" s="196">
        <f t="shared" si="585"/>
        <v>0</v>
      </c>
      <c r="AE2290" s="196">
        <f t="shared" si="586"/>
        <v>0</v>
      </c>
      <c r="AF2290" s="2">
        <f t="shared" si="587"/>
        <v>0</v>
      </c>
      <c r="AG2290" s="2">
        <f t="shared" si="588"/>
        <v>0</v>
      </c>
    </row>
    <row r="2291" spans="1:33">
      <c r="A2291" s="20" t="s">
        <v>2724</v>
      </c>
      <c r="B2291" s="150"/>
      <c r="C2291" s="21" t="s">
        <v>816</v>
      </c>
      <c r="D2291" s="109" t="s">
        <v>15352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9"/>
        <v>0</v>
      </c>
      <c r="O2291" s="268">
        <f t="shared" si="590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4"/>
        <v>0</v>
      </c>
      <c r="AD2291" s="196">
        <f t="shared" si="585"/>
        <v>0</v>
      </c>
      <c r="AE2291" s="196">
        <f t="shared" si="586"/>
        <v>0</v>
      </c>
      <c r="AF2291" s="2">
        <f t="shared" si="587"/>
        <v>0</v>
      </c>
      <c r="AG2291" s="2">
        <f t="shared" si="588"/>
        <v>0</v>
      </c>
    </row>
    <row r="2292" spans="1:33">
      <c r="A2292" s="20" t="s">
        <v>2723</v>
      </c>
      <c r="B2292" s="150"/>
      <c r="C2292" s="21" t="s">
        <v>816</v>
      </c>
      <c r="D2292" s="109" t="s">
        <v>13223</v>
      </c>
      <c r="E2292" s="109"/>
      <c r="F2292" s="391" t="s">
        <v>15353</v>
      </c>
      <c r="G2292" s="23"/>
      <c r="H2292" s="23"/>
      <c r="I2292" s="23"/>
      <c r="J2292" s="23"/>
      <c r="K2292" s="23"/>
      <c r="L2292" s="350"/>
      <c r="M2292" s="351"/>
      <c r="N2292" s="267">
        <f t="shared" si="589"/>
        <v>0</v>
      </c>
      <c r="O2292" s="268">
        <f t="shared" si="590"/>
        <v>0</v>
      </c>
      <c r="P2292" s="239"/>
      <c r="Q2292" s="239"/>
      <c r="R2292" s="239"/>
      <c r="S2292" s="239"/>
      <c r="T2292" s="239"/>
      <c r="U2292" s="240"/>
      <c r="V2292" s="240"/>
      <c r="W2292" s="240"/>
      <c r="X2292" s="278"/>
      <c r="Y2292" s="237"/>
      <c r="Z2292" s="237"/>
      <c r="AA2292" s="279"/>
      <c r="AB2292" s="238"/>
      <c r="AC2292" s="196">
        <f t="shared" si="584"/>
        <v>0</v>
      </c>
      <c r="AD2292" s="196">
        <f t="shared" si="585"/>
        <v>0</v>
      </c>
      <c r="AE2292" s="196">
        <f t="shared" si="586"/>
        <v>0</v>
      </c>
      <c r="AF2292" s="2">
        <f t="shared" si="587"/>
        <v>0</v>
      </c>
      <c r="AG2292" s="2">
        <f t="shared" si="588"/>
        <v>0</v>
      </c>
    </row>
    <row r="2293" spans="1:33">
      <c r="A2293" s="20" t="s">
        <v>2722</v>
      </c>
      <c r="B2293" s="150"/>
      <c r="C2293" s="21" t="s">
        <v>816</v>
      </c>
      <c r="D2293" s="109" t="s">
        <v>13207</v>
      </c>
      <c r="E2293" s="109"/>
      <c r="F2293" s="391" t="s">
        <v>15353</v>
      </c>
      <c r="G2293" s="23"/>
      <c r="H2293" s="23"/>
      <c r="I2293" s="23"/>
      <c r="J2293" s="23"/>
      <c r="K2293" s="23"/>
      <c r="L2293" s="350"/>
      <c r="M2293" s="351"/>
      <c r="N2293" s="267">
        <f t="shared" si="589"/>
        <v>0</v>
      </c>
      <c r="O2293" s="268">
        <f t="shared" si="590"/>
        <v>0</v>
      </c>
      <c r="P2293" s="239"/>
      <c r="Q2293" s="239"/>
      <c r="R2293" s="239"/>
      <c r="S2293" s="239"/>
      <c r="T2293" s="239"/>
      <c r="U2293" s="240"/>
      <c r="V2293" s="240"/>
      <c r="W2293" s="240"/>
      <c r="X2293" s="278"/>
      <c r="Y2293" s="237"/>
      <c r="Z2293" s="237"/>
      <c r="AA2293" s="279"/>
      <c r="AB2293" s="238"/>
      <c r="AC2293" s="196">
        <f t="shared" si="584"/>
        <v>0</v>
      </c>
      <c r="AD2293" s="196">
        <f t="shared" si="585"/>
        <v>0</v>
      </c>
      <c r="AE2293" s="196">
        <f t="shared" si="586"/>
        <v>0</v>
      </c>
      <c r="AF2293" s="2">
        <f t="shared" si="587"/>
        <v>0</v>
      </c>
      <c r="AG2293" s="2">
        <f t="shared" si="588"/>
        <v>0</v>
      </c>
    </row>
    <row r="2294" spans="1:33">
      <c r="A2294" s="20" t="s">
        <v>2199</v>
      </c>
      <c r="B2294" s="172" t="s">
        <v>15354</v>
      </c>
      <c r="C2294" s="21" t="s">
        <v>388</v>
      </c>
      <c r="D2294" s="109" t="s">
        <v>13228</v>
      </c>
      <c r="E2294" s="109"/>
      <c r="F2294" s="391" t="s">
        <v>4766</v>
      </c>
      <c r="G2294" s="23" t="s">
        <v>14099</v>
      </c>
      <c r="H2294" s="23" t="s">
        <v>14002</v>
      </c>
      <c r="I2294" s="23" t="s">
        <v>14026</v>
      </c>
      <c r="J2294" s="23" t="s">
        <v>13618</v>
      </c>
      <c r="K2294" s="23" t="s">
        <v>15071</v>
      </c>
      <c r="L2294" s="375" t="s">
        <v>27685</v>
      </c>
      <c r="M2294" s="351" t="s">
        <v>45</v>
      </c>
      <c r="N2294" s="267">
        <f t="shared" si="589"/>
        <v>0</v>
      </c>
      <c r="O2294" s="268">
        <f t="shared" si="590"/>
        <v>1900</v>
      </c>
      <c r="P2294" s="239"/>
      <c r="Q2294" s="239"/>
      <c r="R2294" s="240"/>
      <c r="S2294" s="239"/>
      <c r="T2294" s="239"/>
      <c r="U2294" s="240">
        <f>3500-1600</f>
        <v>1900</v>
      </c>
      <c r="V2294" s="240"/>
      <c r="W2294" s="240"/>
      <c r="X2294" s="278"/>
      <c r="Y2294" s="240"/>
      <c r="Z2294" s="237"/>
      <c r="AA2294" s="279"/>
      <c r="AB2294" s="238" t="s">
        <v>27693</v>
      </c>
      <c r="AC2294" s="196">
        <f t="shared" si="584"/>
        <v>1900</v>
      </c>
      <c r="AD2294" s="196">
        <f t="shared" si="585"/>
        <v>1900</v>
      </c>
      <c r="AE2294" s="196">
        <f t="shared" si="586"/>
        <v>0</v>
      </c>
      <c r="AF2294" s="2">
        <f t="shared" si="587"/>
        <v>1900</v>
      </c>
      <c r="AG2294" s="2">
        <f t="shared" si="588"/>
        <v>0</v>
      </c>
    </row>
    <row r="2295" spans="1:33">
      <c r="A2295" s="20" t="s">
        <v>2199</v>
      </c>
      <c r="B2295" s="150"/>
      <c r="C2295" s="21" t="s">
        <v>388</v>
      </c>
      <c r="D2295" s="109" t="s">
        <v>13207</v>
      </c>
      <c r="E2295" s="109"/>
      <c r="F2295" s="391" t="s">
        <v>15355</v>
      </c>
      <c r="G2295" s="23" t="s">
        <v>13997</v>
      </c>
      <c r="H2295" s="23" t="s">
        <v>14144</v>
      </c>
      <c r="I2295" s="23" t="s">
        <v>13249</v>
      </c>
      <c r="J2295" s="23" t="s">
        <v>13889</v>
      </c>
      <c r="K2295" s="23" t="s">
        <v>22224</v>
      </c>
      <c r="L2295" s="375" t="s">
        <v>7787</v>
      </c>
      <c r="M2295" s="351"/>
      <c r="N2295" s="267">
        <f t="shared" si="589"/>
        <v>0</v>
      </c>
      <c r="O2295" s="268">
        <f t="shared" si="590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4"/>
        <v>0</v>
      </c>
      <c r="AD2295" s="196">
        <f t="shared" si="585"/>
        <v>0</v>
      </c>
      <c r="AE2295" s="196">
        <f t="shared" si="586"/>
        <v>0</v>
      </c>
      <c r="AF2295" s="2">
        <f t="shared" si="587"/>
        <v>0</v>
      </c>
      <c r="AG2295" s="2">
        <f t="shared" si="588"/>
        <v>0</v>
      </c>
    </row>
    <row r="2296" spans="1:33">
      <c r="A2296" s="20" t="s">
        <v>21437</v>
      </c>
      <c r="B2296" s="150"/>
      <c r="C2296" s="21" t="s">
        <v>388</v>
      </c>
      <c r="D2296" s="109" t="s">
        <v>21122</v>
      </c>
      <c r="E2296" s="109" t="s">
        <v>21123</v>
      </c>
      <c r="F2296" s="391" t="s">
        <v>4766</v>
      </c>
      <c r="G2296" s="23" t="s">
        <v>21135</v>
      </c>
      <c r="H2296" s="23"/>
      <c r="I2296" s="23"/>
      <c r="J2296" s="23"/>
      <c r="K2296" s="23"/>
      <c r="L2296" s="375" t="s">
        <v>7787</v>
      </c>
      <c r="M2296" s="351"/>
      <c r="N2296" s="267">
        <f t="shared" si="589"/>
        <v>0</v>
      </c>
      <c r="O2296" s="268">
        <f t="shared" si="590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4"/>
        <v>0</v>
      </c>
      <c r="AD2296" s="196">
        <f t="shared" si="585"/>
        <v>0</v>
      </c>
      <c r="AE2296" s="196">
        <f t="shared" si="586"/>
        <v>0</v>
      </c>
      <c r="AF2296" s="2">
        <f t="shared" si="587"/>
        <v>0</v>
      </c>
      <c r="AG2296" s="2">
        <f t="shared" si="588"/>
        <v>0</v>
      </c>
    </row>
    <row r="2297" spans="1:33">
      <c r="A2297" s="20" t="s">
        <v>2200</v>
      </c>
      <c r="B2297" s="150"/>
      <c r="C2297" s="21" t="s">
        <v>389</v>
      </c>
      <c r="D2297" s="109" t="s">
        <v>13207</v>
      </c>
      <c r="E2297" s="109"/>
      <c r="F2297" s="391" t="s">
        <v>15356</v>
      </c>
      <c r="G2297" s="23" t="s">
        <v>13215</v>
      </c>
      <c r="H2297" s="23"/>
      <c r="I2297" s="23"/>
      <c r="J2297" s="23"/>
      <c r="K2297" s="23"/>
      <c r="L2297" s="375"/>
      <c r="M2297" s="351"/>
      <c r="N2297" s="267">
        <f t="shared" si="589"/>
        <v>0</v>
      </c>
      <c r="O2297" s="268">
        <f t="shared" si="590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4"/>
        <v>0</v>
      </c>
      <c r="AD2297" s="196">
        <f t="shared" si="585"/>
        <v>0</v>
      </c>
      <c r="AE2297" s="196">
        <f t="shared" si="586"/>
        <v>0</v>
      </c>
      <c r="AF2297" s="2">
        <f t="shared" si="587"/>
        <v>0</v>
      </c>
      <c r="AG2297" s="2">
        <f t="shared" si="588"/>
        <v>0</v>
      </c>
    </row>
    <row r="2298" spans="1:33">
      <c r="A2298" s="20" t="s">
        <v>2201</v>
      </c>
      <c r="B2298" s="150"/>
      <c r="C2298" s="21" t="s">
        <v>390</v>
      </c>
      <c r="D2298" s="109" t="s">
        <v>13207</v>
      </c>
      <c r="E2298" s="109"/>
      <c r="F2298" s="391" t="s">
        <v>15357</v>
      </c>
      <c r="G2298" s="23"/>
      <c r="H2298" s="23"/>
      <c r="I2298" s="23"/>
      <c r="J2298" s="23"/>
      <c r="K2298" s="23"/>
      <c r="L2298" s="350"/>
      <c r="M2298" s="351"/>
      <c r="N2298" s="267">
        <f t="shared" si="589"/>
        <v>0</v>
      </c>
      <c r="O2298" s="268">
        <f t="shared" si="590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4"/>
        <v>0</v>
      </c>
      <c r="AD2298" s="196">
        <f t="shared" si="585"/>
        <v>0</v>
      </c>
      <c r="AE2298" s="196">
        <f t="shared" si="586"/>
        <v>0</v>
      </c>
      <c r="AF2298" s="2">
        <f t="shared" si="587"/>
        <v>0</v>
      </c>
      <c r="AG2298" s="2">
        <f t="shared" si="588"/>
        <v>0</v>
      </c>
    </row>
    <row r="2299" spans="1:33">
      <c r="A2299" s="20" t="s">
        <v>2202</v>
      </c>
      <c r="B2299" s="161"/>
      <c r="C2299" s="21" t="s">
        <v>391</v>
      </c>
      <c r="D2299" s="109" t="s">
        <v>14425</v>
      </c>
      <c r="E2299" s="109"/>
      <c r="F2299" s="391" t="s">
        <v>15358</v>
      </c>
      <c r="G2299" s="23" t="s">
        <v>13218</v>
      </c>
      <c r="H2299" s="23"/>
      <c r="I2299" s="23"/>
      <c r="J2299" s="23"/>
      <c r="K2299" s="23"/>
      <c r="L2299" s="350"/>
      <c r="M2299" s="351"/>
      <c r="N2299" s="267">
        <f t="shared" si="589"/>
        <v>0</v>
      </c>
      <c r="O2299" s="268">
        <f t="shared" si="590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4"/>
        <v>0</v>
      </c>
      <c r="AD2299" s="196">
        <f t="shared" si="585"/>
        <v>0</v>
      </c>
      <c r="AE2299" s="196">
        <f t="shared" si="586"/>
        <v>0</v>
      </c>
      <c r="AF2299" s="2">
        <f t="shared" si="587"/>
        <v>0</v>
      </c>
      <c r="AG2299" s="2">
        <f t="shared" si="588"/>
        <v>0</v>
      </c>
    </row>
    <row r="2300" spans="1:33">
      <c r="A2300" s="20" t="s">
        <v>2203</v>
      </c>
      <c r="B2300" s="150"/>
      <c r="C2300" s="21" t="s">
        <v>15359</v>
      </c>
      <c r="D2300" s="109" t="s">
        <v>14038</v>
      </c>
      <c r="E2300" s="109"/>
      <c r="F2300" s="391" t="s">
        <v>15360</v>
      </c>
      <c r="G2300" s="23" t="s">
        <v>14263</v>
      </c>
      <c r="H2300" s="23"/>
      <c r="I2300" s="23"/>
      <c r="J2300" s="23"/>
      <c r="K2300" s="23"/>
      <c r="L2300" s="350"/>
      <c r="M2300" s="351"/>
      <c r="N2300" s="267">
        <f t="shared" si="589"/>
        <v>0</v>
      </c>
      <c r="O2300" s="268">
        <f t="shared" si="590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4"/>
        <v>0</v>
      </c>
      <c r="AD2300" s="196">
        <f t="shared" si="585"/>
        <v>0</v>
      </c>
      <c r="AE2300" s="196">
        <f t="shared" si="586"/>
        <v>0</v>
      </c>
      <c r="AF2300" s="2">
        <f t="shared" si="587"/>
        <v>0</v>
      </c>
      <c r="AG2300" s="2">
        <f t="shared" si="588"/>
        <v>0</v>
      </c>
    </row>
    <row r="2301" spans="1:33">
      <c r="A2301" s="20" t="s">
        <v>2204</v>
      </c>
      <c r="B2301" s="161"/>
      <c r="C2301" s="21" t="s">
        <v>15359</v>
      </c>
      <c r="D2301" s="109" t="s">
        <v>14038</v>
      </c>
      <c r="E2301" s="109"/>
      <c r="F2301" s="391" t="s">
        <v>15358</v>
      </c>
      <c r="G2301" s="23" t="s">
        <v>14197</v>
      </c>
      <c r="H2301" s="23"/>
      <c r="I2301" s="23"/>
      <c r="J2301" s="23"/>
      <c r="K2301" s="23"/>
      <c r="L2301" s="350"/>
      <c r="M2301" s="351"/>
      <c r="N2301" s="267">
        <f t="shared" si="589"/>
        <v>0</v>
      </c>
      <c r="O2301" s="268">
        <f t="shared" si="590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7"/>
      <c r="Z2301" s="237"/>
      <c r="AA2301" s="279"/>
      <c r="AB2301" s="238"/>
      <c r="AC2301" s="196">
        <f t="shared" si="584"/>
        <v>0</v>
      </c>
      <c r="AD2301" s="196">
        <f t="shared" si="585"/>
        <v>0</v>
      </c>
      <c r="AE2301" s="196">
        <f t="shared" si="586"/>
        <v>0</v>
      </c>
      <c r="AF2301" s="2">
        <f t="shared" si="587"/>
        <v>0</v>
      </c>
      <c r="AG2301" s="2">
        <f t="shared" si="588"/>
        <v>0</v>
      </c>
    </row>
    <row r="2302" spans="1:33">
      <c r="A2302" s="20" t="s">
        <v>2205</v>
      </c>
      <c r="B2302" s="150"/>
      <c r="C2302" s="21" t="s">
        <v>4771</v>
      </c>
      <c r="D2302" s="109" t="s">
        <v>14038</v>
      </c>
      <c r="E2302" s="109"/>
      <c r="F2302" s="391" t="s">
        <v>15360</v>
      </c>
      <c r="G2302" s="23" t="s">
        <v>14263</v>
      </c>
      <c r="H2302" s="23"/>
      <c r="I2302" s="23"/>
      <c r="J2302" s="23"/>
      <c r="K2302" s="23"/>
      <c r="L2302" s="350"/>
      <c r="M2302" s="351"/>
      <c r="N2302" s="267">
        <f t="shared" si="589"/>
        <v>0</v>
      </c>
      <c r="O2302" s="268">
        <f t="shared" si="590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7"/>
      <c r="Z2302" s="237"/>
      <c r="AA2302" s="279"/>
      <c r="AB2302" s="238"/>
      <c r="AC2302" s="196">
        <f t="shared" si="584"/>
        <v>0</v>
      </c>
      <c r="AD2302" s="196">
        <f t="shared" si="585"/>
        <v>0</v>
      </c>
      <c r="AE2302" s="196">
        <f t="shared" si="586"/>
        <v>0</v>
      </c>
      <c r="AF2302" s="2">
        <f t="shared" si="587"/>
        <v>0</v>
      </c>
      <c r="AG2302" s="2">
        <f t="shared" si="588"/>
        <v>0</v>
      </c>
    </row>
    <row r="2303" spans="1:33">
      <c r="A2303" s="20" t="s">
        <v>2206</v>
      </c>
      <c r="B2303" s="161"/>
      <c r="C2303" s="21" t="s">
        <v>392</v>
      </c>
      <c r="D2303" s="109" t="s">
        <v>15361</v>
      </c>
      <c r="E2303" s="109"/>
      <c r="F2303" s="391" t="s">
        <v>15362</v>
      </c>
      <c r="G2303" s="23" t="s">
        <v>13240</v>
      </c>
      <c r="H2303" s="23"/>
      <c r="I2303" s="23"/>
      <c r="J2303" s="23"/>
      <c r="K2303" s="23"/>
      <c r="L2303" s="350"/>
      <c r="M2303" s="351"/>
      <c r="N2303" s="267">
        <f t="shared" si="589"/>
        <v>0</v>
      </c>
      <c r="O2303" s="268">
        <f t="shared" si="590"/>
        <v>0</v>
      </c>
      <c r="P2303" s="239"/>
      <c r="Q2303" s="239"/>
      <c r="R2303" s="239"/>
      <c r="S2303" s="239"/>
      <c r="T2303" s="239"/>
      <c r="U2303" s="240"/>
      <c r="V2303" s="240"/>
      <c r="W2303" s="240"/>
      <c r="X2303" s="278"/>
      <c r="Y2303" s="239"/>
      <c r="Z2303" s="237"/>
      <c r="AA2303" s="279"/>
      <c r="AB2303" s="238"/>
      <c r="AC2303" s="196">
        <f t="shared" si="584"/>
        <v>0</v>
      </c>
      <c r="AD2303" s="196">
        <f t="shared" si="585"/>
        <v>0</v>
      </c>
      <c r="AE2303" s="196">
        <f t="shared" si="586"/>
        <v>0</v>
      </c>
      <c r="AF2303" s="2">
        <f t="shared" si="587"/>
        <v>0</v>
      </c>
      <c r="AG2303" s="2">
        <f t="shared" si="588"/>
        <v>0</v>
      </c>
    </row>
    <row r="2304" spans="1:33">
      <c r="A2304" s="20" t="s">
        <v>2207</v>
      </c>
      <c r="B2304" s="150"/>
      <c r="C2304" s="21" t="s">
        <v>393</v>
      </c>
      <c r="D2304" s="109" t="s">
        <v>13207</v>
      </c>
      <c r="E2304" s="109"/>
      <c r="F2304" s="391" t="s">
        <v>15363</v>
      </c>
      <c r="G2304" s="23" t="s">
        <v>13975</v>
      </c>
      <c r="H2304" s="23"/>
      <c r="I2304" s="23"/>
      <c r="J2304" s="23"/>
      <c r="K2304" s="23"/>
      <c r="L2304" s="375" t="s">
        <v>7787</v>
      </c>
      <c r="M2304" s="351"/>
      <c r="N2304" s="267">
        <f t="shared" si="589"/>
        <v>0</v>
      </c>
      <c r="O2304" s="268">
        <f t="shared" si="590"/>
        <v>0</v>
      </c>
      <c r="P2304" s="239"/>
      <c r="Q2304" s="239"/>
      <c r="R2304" s="239"/>
      <c r="S2304" s="239"/>
      <c r="T2304" s="239"/>
      <c r="U2304" s="240"/>
      <c r="V2304" s="240"/>
      <c r="W2304" s="240"/>
      <c r="X2304" s="278"/>
      <c r="Y2304" s="239"/>
      <c r="Z2304" s="237"/>
      <c r="AA2304" s="279"/>
      <c r="AB2304" s="238"/>
      <c r="AC2304" s="196">
        <f t="shared" si="584"/>
        <v>0</v>
      </c>
      <c r="AD2304" s="196">
        <f t="shared" si="585"/>
        <v>0</v>
      </c>
      <c r="AE2304" s="196">
        <f t="shared" si="586"/>
        <v>0</v>
      </c>
      <c r="AF2304" s="2">
        <f t="shared" si="587"/>
        <v>0</v>
      </c>
      <c r="AG2304" s="2">
        <f t="shared" si="588"/>
        <v>0</v>
      </c>
    </row>
    <row r="2305" spans="1:33">
      <c r="A2305" s="20" t="s">
        <v>2208</v>
      </c>
      <c r="B2305" s="150"/>
      <c r="C2305" s="21" t="s">
        <v>394</v>
      </c>
      <c r="D2305" s="109" t="s">
        <v>13228</v>
      </c>
      <c r="E2305" s="109"/>
      <c r="F2305" s="391" t="s">
        <v>15364</v>
      </c>
      <c r="G2305" s="23" t="s">
        <v>13986</v>
      </c>
      <c r="H2305" s="23" t="s">
        <v>15365</v>
      </c>
      <c r="I2305" s="23"/>
      <c r="J2305" s="23"/>
      <c r="K2305" s="23"/>
      <c r="L2305" s="375"/>
      <c r="M2305" s="351"/>
      <c r="N2305" s="267">
        <f t="shared" si="589"/>
        <v>0</v>
      </c>
      <c r="O2305" s="268">
        <f t="shared" si="590"/>
        <v>0</v>
      </c>
      <c r="P2305" s="239"/>
      <c r="Q2305" s="239"/>
      <c r="R2305" s="240"/>
      <c r="S2305" s="239"/>
      <c r="T2305" s="239"/>
      <c r="U2305" s="240"/>
      <c r="V2305" s="240"/>
      <c r="W2305" s="240"/>
      <c r="X2305" s="278"/>
      <c r="Y2305" s="239"/>
      <c r="Z2305" s="237"/>
      <c r="AA2305" s="239"/>
      <c r="AB2305" s="238"/>
      <c r="AC2305" s="196">
        <f t="shared" si="584"/>
        <v>0</v>
      </c>
      <c r="AD2305" s="196">
        <f t="shared" si="585"/>
        <v>0</v>
      </c>
      <c r="AE2305" s="196">
        <f t="shared" si="586"/>
        <v>0</v>
      </c>
      <c r="AF2305" s="2">
        <f t="shared" si="587"/>
        <v>0</v>
      </c>
      <c r="AG2305" s="2">
        <f t="shared" si="588"/>
        <v>0</v>
      </c>
    </row>
    <row r="2306" spans="1:33">
      <c r="A2306" s="20" t="s">
        <v>2210</v>
      </c>
      <c r="B2306" s="151"/>
      <c r="C2306" s="21" t="s">
        <v>15366</v>
      </c>
      <c r="D2306" s="109" t="s">
        <v>4071</v>
      </c>
      <c r="E2306" s="109"/>
      <c r="F2306" s="391" t="s">
        <v>15367</v>
      </c>
      <c r="G2306" s="23" t="s">
        <v>5439</v>
      </c>
      <c r="H2306" s="23" t="s">
        <v>5415</v>
      </c>
      <c r="I2306" s="23" t="s">
        <v>22403</v>
      </c>
      <c r="J2306" s="23"/>
      <c r="K2306" s="23"/>
      <c r="L2306" s="375"/>
      <c r="M2306" s="351"/>
      <c r="N2306" s="267">
        <f t="shared" si="589"/>
        <v>0</v>
      </c>
      <c r="O2306" s="268">
        <f t="shared" si="590"/>
        <v>0</v>
      </c>
      <c r="P2306" s="239"/>
      <c r="Q2306" s="239"/>
      <c r="R2306" s="239"/>
      <c r="S2306" s="239"/>
      <c r="T2306" s="239"/>
      <c r="U2306" s="240"/>
      <c r="V2306" s="240"/>
      <c r="W2306" s="240"/>
      <c r="X2306" s="278"/>
      <c r="Y2306" s="237"/>
      <c r="Z2306" s="237"/>
      <c r="AA2306" s="237"/>
      <c r="AB2306" s="238"/>
      <c r="AC2306" s="196">
        <f t="shared" si="584"/>
        <v>0</v>
      </c>
      <c r="AD2306" s="196">
        <f t="shared" si="585"/>
        <v>0</v>
      </c>
      <c r="AE2306" s="196">
        <f t="shared" si="586"/>
        <v>0</v>
      </c>
      <c r="AF2306" s="2">
        <f t="shared" si="587"/>
        <v>0</v>
      </c>
      <c r="AG2306" s="2">
        <f t="shared" si="588"/>
        <v>0</v>
      </c>
    </row>
    <row r="2307" spans="1:33">
      <c r="A2307" s="20" t="s">
        <v>2209</v>
      </c>
      <c r="B2307" s="156"/>
      <c r="C2307" s="21" t="s">
        <v>15368</v>
      </c>
      <c r="D2307" s="109" t="s">
        <v>4071</v>
      </c>
      <c r="E2307" s="109" t="s">
        <v>15369</v>
      </c>
      <c r="F2307" s="391" t="s">
        <v>15370</v>
      </c>
      <c r="G2307" s="23" t="s">
        <v>14002</v>
      </c>
      <c r="H2307" s="23" t="s">
        <v>14197</v>
      </c>
      <c r="I2307" s="23"/>
      <c r="J2307" s="23"/>
      <c r="K2307" s="23"/>
      <c r="L2307" s="375" t="s">
        <v>7787</v>
      </c>
      <c r="M2307" s="351" t="s">
        <v>7787</v>
      </c>
      <c r="N2307" s="267">
        <f t="shared" si="589"/>
        <v>0</v>
      </c>
      <c r="O2307" s="268">
        <f t="shared" si="590"/>
        <v>0</v>
      </c>
      <c r="P2307" s="239"/>
      <c r="Q2307" s="239"/>
      <c r="R2307" s="239"/>
      <c r="S2307" s="239"/>
      <c r="T2307" s="239"/>
      <c r="U2307" s="240"/>
      <c r="V2307" s="240"/>
      <c r="W2307" s="240"/>
      <c r="X2307" s="278"/>
      <c r="Y2307" s="237"/>
      <c r="Z2307" s="237"/>
      <c r="AA2307" s="279"/>
      <c r="AB2307" s="238"/>
      <c r="AC2307" s="196">
        <f t="shared" si="584"/>
        <v>0</v>
      </c>
      <c r="AD2307" s="196">
        <f t="shared" si="585"/>
        <v>0</v>
      </c>
      <c r="AE2307" s="196">
        <f t="shared" si="586"/>
        <v>0</v>
      </c>
      <c r="AF2307" s="2">
        <f t="shared" si="587"/>
        <v>0</v>
      </c>
      <c r="AG2307" s="2">
        <f t="shared" si="588"/>
        <v>0</v>
      </c>
    </row>
    <row r="2308" spans="1:33">
      <c r="A2308" s="20" t="s">
        <v>2209</v>
      </c>
      <c r="B2308" s="156"/>
      <c r="C2308" s="21" t="s">
        <v>15371</v>
      </c>
      <c r="D2308" s="109" t="s">
        <v>4071</v>
      </c>
      <c r="E2308" s="109" t="s">
        <v>15369</v>
      </c>
      <c r="F2308" s="391" t="s">
        <v>4775</v>
      </c>
      <c r="G2308" s="385" t="s">
        <v>15372</v>
      </c>
      <c r="H2308" s="23" t="s">
        <v>14263</v>
      </c>
      <c r="I2308" s="23"/>
      <c r="J2308" s="23"/>
      <c r="K2308" s="23"/>
      <c r="L2308" s="375" t="s">
        <v>7787</v>
      </c>
      <c r="M2308" s="351" t="s">
        <v>7787</v>
      </c>
      <c r="N2308" s="267">
        <f t="shared" si="589"/>
        <v>0</v>
      </c>
      <c r="O2308" s="268">
        <f t="shared" si="590"/>
        <v>0</v>
      </c>
      <c r="P2308" s="239"/>
      <c r="Q2308" s="239"/>
      <c r="R2308" s="239"/>
      <c r="S2308" s="240"/>
      <c r="T2308" s="239"/>
      <c r="U2308" s="237"/>
      <c r="V2308" s="240"/>
      <c r="W2308" s="240"/>
      <c r="X2308" s="278"/>
      <c r="Y2308" s="237"/>
      <c r="Z2308" s="237"/>
      <c r="AA2308" s="279"/>
      <c r="AB2308" s="238"/>
      <c r="AC2308" s="196">
        <f t="shared" si="584"/>
        <v>0</v>
      </c>
      <c r="AD2308" s="196">
        <f t="shared" si="585"/>
        <v>0</v>
      </c>
      <c r="AE2308" s="196">
        <f t="shared" si="586"/>
        <v>0</v>
      </c>
      <c r="AF2308" s="2">
        <f t="shared" si="587"/>
        <v>0</v>
      </c>
      <c r="AG2308" s="2">
        <f t="shared" si="588"/>
        <v>0</v>
      </c>
    </row>
    <row r="2309" spans="1:33">
      <c r="A2309" s="20" t="s">
        <v>9517</v>
      </c>
      <c r="B2309" s="156"/>
      <c r="C2309" s="21" t="s">
        <v>15368</v>
      </c>
      <c r="D2309" s="109" t="s">
        <v>4071</v>
      </c>
      <c r="E2309" s="109" t="s">
        <v>15369</v>
      </c>
      <c r="F2309" s="391" t="s">
        <v>4775</v>
      </c>
      <c r="G2309" s="23" t="s">
        <v>5415</v>
      </c>
      <c r="H2309" s="23" t="s">
        <v>14190</v>
      </c>
      <c r="I2309" s="23" t="s">
        <v>13976</v>
      </c>
      <c r="J2309" s="23"/>
      <c r="K2309" s="23"/>
      <c r="L2309" s="375" t="s">
        <v>7787</v>
      </c>
      <c r="M2309" s="351" t="s">
        <v>7787</v>
      </c>
      <c r="N2309" s="267">
        <f t="shared" si="589"/>
        <v>0</v>
      </c>
      <c r="O2309" s="268">
        <f t="shared" si="590"/>
        <v>0</v>
      </c>
      <c r="P2309" s="239"/>
      <c r="Q2309" s="239"/>
      <c r="R2309" s="239"/>
      <c r="S2309" s="239"/>
      <c r="T2309" s="239"/>
      <c r="U2309" s="240"/>
      <c r="V2309" s="240"/>
      <c r="W2309" s="240"/>
      <c r="X2309" s="278"/>
      <c r="Y2309" s="237"/>
      <c r="Z2309" s="237"/>
      <c r="AA2309" s="237"/>
      <c r="AB2309" s="238"/>
      <c r="AC2309" s="196">
        <f t="shared" si="584"/>
        <v>0</v>
      </c>
      <c r="AD2309" s="196">
        <f t="shared" si="585"/>
        <v>0</v>
      </c>
      <c r="AE2309" s="196">
        <f t="shared" si="586"/>
        <v>0</v>
      </c>
      <c r="AF2309" s="2">
        <f t="shared" si="587"/>
        <v>0</v>
      </c>
      <c r="AG2309" s="2">
        <f t="shared" si="588"/>
        <v>0</v>
      </c>
    </row>
    <row r="2310" spans="1:33">
      <c r="A2310" s="20" t="s">
        <v>12235</v>
      </c>
      <c r="B2310" s="156"/>
      <c r="C2310" s="213" t="s">
        <v>15373</v>
      </c>
      <c r="D2310" s="109" t="s">
        <v>4071</v>
      </c>
      <c r="E2310" s="109" t="s">
        <v>15369</v>
      </c>
      <c r="F2310" s="391" t="s">
        <v>4775</v>
      </c>
      <c r="G2310" s="23" t="s">
        <v>5439</v>
      </c>
      <c r="H2310" s="385" t="s">
        <v>15372</v>
      </c>
      <c r="I2310" s="23" t="s">
        <v>5415</v>
      </c>
      <c r="J2310" s="23" t="s">
        <v>14190</v>
      </c>
      <c r="K2310" s="23" t="s">
        <v>13976</v>
      </c>
      <c r="L2310" s="375" t="s">
        <v>7787</v>
      </c>
      <c r="M2310" s="351" t="s">
        <v>7787</v>
      </c>
      <c r="N2310" s="267">
        <f t="shared" si="589"/>
        <v>0</v>
      </c>
      <c r="O2310" s="268">
        <f t="shared" si="590"/>
        <v>0</v>
      </c>
      <c r="P2310" s="239"/>
      <c r="Q2310" s="239"/>
      <c r="R2310" s="239"/>
      <c r="S2310" s="239"/>
      <c r="T2310" s="239"/>
      <c r="U2310" s="240"/>
      <c r="V2310" s="240"/>
      <c r="W2310" s="240"/>
      <c r="X2310" s="278"/>
      <c r="Y2310" s="237"/>
      <c r="Z2310" s="237"/>
      <c r="AA2310" s="237"/>
      <c r="AB2310" s="238"/>
      <c r="AC2310" s="196">
        <f t="shared" si="584"/>
        <v>0</v>
      </c>
      <c r="AD2310" s="196">
        <f t="shared" si="585"/>
        <v>0</v>
      </c>
      <c r="AE2310" s="196">
        <f t="shared" si="586"/>
        <v>0</v>
      </c>
      <c r="AF2310" s="2">
        <f t="shared" si="587"/>
        <v>0</v>
      </c>
      <c r="AG2310" s="2">
        <f t="shared" si="588"/>
        <v>0</v>
      </c>
    </row>
    <row r="2311" spans="1:33">
      <c r="A2311" s="20" t="s">
        <v>12000</v>
      </c>
      <c r="B2311" s="156"/>
      <c r="C2311" s="213" t="s">
        <v>15374</v>
      </c>
      <c r="D2311" s="109" t="s">
        <v>4071</v>
      </c>
      <c r="E2311" s="109" t="s">
        <v>15369</v>
      </c>
      <c r="F2311" s="391" t="s">
        <v>4775</v>
      </c>
      <c r="G2311" s="23" t="s">
        <v>5439</v>
      </c>
      <c r="H2311" s="385" t="s">
        <v>15372</v>
      </c>
      <c r="I2311" s="23" t="s">
        <v>5415</v>
      </c>
      <c r="J2311" s="23" t="s">
        <v>14190</v>
      </c>
      <c r="K2311" s="23" t="s">
        <v>13976</v>
      </c>
      <c r="L2311" s="375" t="s">
        <v>45</v>
      </c>
      <c r="M2311" s="351"/>
      <c r="N2311" s="267">
        <f t="shared" si="589"/>
        <v>0</v>
      </c>
      <c r="O2311" s="268">
        <f t="shared" si="590"/>
        <v>8400</v>
      </c>
      <c r="P2311" s="239"/>
      <c r="Q2311" s="239"/>
      <c r="R2311" s="239"/>
      <c r="S2311" s="239"/>
      <c r="T2311" s="239"/>
      <c r="U2311" s="240"/>
      <c r="V2311" s="240">
        <f>2400+3000+3000</f>
        <v>8400</v>
      </c>
      <c r="W2311" s="240"/>
      <c r="X2311" s="278"/>
      <c r="Y2311" s="240"/>
      <c r="Z2311" s="240"/>
      <c r="AA2311" s="237"/>
      <c r="AB2311" s="238" t="s">
        <v>28052</v>
      </c>
      <c r="AC2311" s="196">
        <f t="shared" si="584"/>
        <v>8400</v>
      </c>
      <c r="AD2311" s="196">
        <f t="shared" si="585"/>
        <v>8400</v>
      </c>
      <c r="AE2311" s="196">
        <f t="shared" si="586"/>
        <v>0</v>
      </c>
      <c r="AF2311" s="2">
        <f t="shared" si="587"/>
        <v>8400</v>
      </c>
      <c r="AG2311" s="2">
        <f t="shared" si="588"/>
        <v>0</v>
      </c>
    </row>
    <row r="2312" spans="1:33">
      <c r="A2312" s="20" t="s">
        <v>13102</v>
      </c>
      <c r="B2312" s="156"/>
      <c r="C2312" s="387" t="s">
        <v>17408</v>
      </c>
      <c r="D2312" s="219" t="s">
        <v>4071</v>
      </c>
      <c r="E2312" s="219" t="s">
        <v>11945</v>
      </c>
      <c r="F2312" s="391" t="s">
        <v>4775</v>
      </c>
      <c r="G2312" s="23" t="s">
        <v>5439</v>
      </c>
      <c r="H2312" s="385" t="s">
        <v>13116</v>
      </c>
      <c r="I2312" s="23" t="s">
        <v>5415</v>
      </c>
      <c r="J2312" s="23" t="s">
        <v>5416</v>
      </c>
      <c r="K2312" s="23" t="s">
        <v>24271</v>
      </c>
      <c r="L2312" s="375" t="s">
        <v>27406</v>
      </c>
      <c r="M2312" s="351" t="s">
        <v>7787</v>
      </c>
      <c r="N2312" s="267">
        <f t="shared" si="589"/>
        <v>0</v>
      </c>
      <c r="O2312" s="268">
        <f t="shared" si="590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37"/>
      <c r="Z2312" s="237"/>
      <c r="AA2312" s="279"/>
      <c r="AB2312" s="238"/>
      <c r="AC2312" s="196">
        <f t="shared" si="584"/>
        <v>0</v>
      </c>
      <c r="AD2312" s="196">
        <f t="shared" si="585"/>
        <v>0</v>
      </c>
      <c r="AE2312" s="196">
        <f t="shared" si="586"/>
        <v>0</v>
      </c>
      <c r="AF2312" s="2">
        <f t="shared" si="587"/>
        <v>0</v>
      </c>
      <c r="AG2312" s="2">
        <f t="shared" si="588"/>
        <v>0</v>
      </c>
    </row>
    <row r="2313" spans="1:33">
      <c r="A2313" s="20" t="s">
        <v>19914</v>
      </c>
      <c r="B2313" s="156"/>
      <c r="C2313" s="387" t="s">
        <v>19264</v>
      </c>
      <c r="D2313" s="219" t="s">
        <v>4071</v>
      </c>
      <c r="E2313" s="219" t="s">
        <v>11945</v>
      </c>
      <c r="F2313" s="391" t="s">
        <v>4775</v>
      </c>
      <c r="G2313" s="23" t="s">
        <v>13706</v>
      </c>
      <c r="H2313" s="385"/>
      <c r="I2313" s="23"/>
      <c r="J2313" s="23"/>
      <c r="K2313" s="23"/>
      <c r="L2313" s="375"/>
      <c r="M2313" s="351" t="s">
        <v>7787</v>
      </c>
      <c r="N2313" s="267">
        <f t="shared" si="589"/>
        <v>0</v>
      </c>
      <c r="O2313" s="268">
        <f t="shared" si="590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40"/>
      <c r="Z2313" s="237"/>
      <c r="AA2313" s="279"/>
      <c r="AB2313" s="238"/>
      <c r="AC2313" s="196">
        <f t="shared" si="584"/>
        <v>0</v>
      </c>
      <c r="AD2313" s="196">
        <f t="shared" si="585"/>
        <v>0</v>
      </c>
      <c r="AE2313" s="196">
        <f t="shared" si="586"/>
        <v>0</v>
      </c>
      <c r="AF2313" s="2">
        <f t="shared" si="587"/>
        <v>0</v>
      </c>
      <c r="AG2313" s="2">
        <f t="shared" si="588"/>
        <v>0</v>
      </c>
    </row>
    <row r="2314" spans="1:33">
      <c r="A2314" s="20" t="s">
        <v>12001</v>
      </c>
      <c r="B2314" s="156"/>
      <c r="C2314" s="213" t="s">
        <v>12071</v>
      </c>
      <c r="D2314" s="109" t="s">
        <v>4071</v>
      </c>
      <c r="E2314" s="109" t="s">
        <v>11945</v>
      </c>
      <c r="F2314" s="391" t="s">
        <v>15370</v>
      </c>
      <c r="G2314" s="23" t="s">
        <v>14002</v>
      </c>
      <c r="H2314" s="380" t="s">
        <v>14197</v>
      </c>
      <c r="I2314" s="23"/>
      <c r="J2314" s="23"/>
      <c r="K2314" s="23"/>
      <c r="L2314" s="375" t="s">
        <v>7787</v>
      </c>
      <c r="M2314" s="351" t="s">
        <v>7787</v>
      </c>
      <c r="N2314" s="267">
        <f t="shared" si="589"/>
        <v>0</v>
      </c>
      <c r="O2314" s="268">
        <f t="shared" si="590"/>
        <v>0</v>
      </c>
      <c r="P2314" s="239"/>
      <c r="Q2314" s="239"/>
      <c r="R2314" s="239"/>
      <c r="S2314" s="239"/>
      <c r="T2314" s="239"/>
      <c r="U2314" s="240"/>
      <c r="V2314" s="240"/>
      <c r="W2314" s="240"/>
      <c r="X2314" s="278"/>
      <c r="Y2314" s="240"/>
      <c r="Z2314" s="237"/>
      <c r="AA2314" s="279"/>
      <c r="AB2314" s="238"/>
      <c r="AC2314" s="196">
        <f t="shared" si="584"/>
        <v>0</v>
      </c>
      <c r="AD2314" s="196">
        <f t="shared" si="585"/>
        <v>0</v>
      </c>
      <c r="AE2314" s="196">
        <f t="shared" si="586"/>
        <v>0</v>
      </c>
      <c r="AF2314" s="2">
        <f t="shared" si="587"/>
        <v>0</v>
      </c>
      <c r="AG2314" s="2">
        <f t="shared" si="588"/>
        <v>0</v>
      </c>
    </row>
    <row r="2315" spans="1:33">
      <c r="A2315" s="20" t="s">
        <v>2211</v>
      </c>
      <c r="B2315" s="150"/>
      <c r="C2315" s="21" t="s">
        <v>15375</v>
      </c>
      <c r="D2315" s="109" t="s">
        <v>13211</v>
      </c>
      <c r="E2315" s="109"/>
      <c r="F2315" s="391" t="s">
        <v>15376</v>
      </c>
      <c r="G2315" s="23" t="s">
        <v>13240</v>
      </c>
      <c r="H2315" s="23"/>
      <c r="I2315" s="23"/>
      <c r="J2315" s="23"/>
      <c r="K2315" s="23"/>
      <c r="L2315" s="350"/>
      <c r="M2315" s="351"/>
      <c r="N2315" s="267">
        <f t="shared" si="589"/>
        <v>0</v>
      </c>
      <c r="O2315" s="268">
        <f t="shared" si="590"/>
        <v>0</v>
      </c>
      <c r="P2315" s="239"/>
      <c r="Q2315" s="239"/>
      <c r="R2315" s="239"/>
      <c r="S2315" s="239"/>
      <c r="T2315" s="239"/>
      <c r="U2315" s="240"/>
      <c r="V2315" s="240"/>
      <c r="W2315" s="240"/>
      <c r="X2315" s="278"/>
      <c r="Y2315" s="237"/>
      <c r="Z2315" s="237"/>
      <c r="AA2315" s="279"/>
      <c r="AB2315" s="238"/>
      <c r="AC2315" s="196">
        <f t="shared" si="584"/>
        <v>0</v>
      </c>
      <c r="AD2315" s="196">
        <f t="shared" si="585"/>
        <v>0</v>
      </c>
      <c r="AE2315" s="196">
        <f t="shared" si="586"/>
        <v>0</v>
      </c>
      <c r="AF2315" s="2">
        <f t="shared" si="587"/>
        <v>0</v>
      </c>
      <c r="AG2315" s="2">
        <f t="shared" si="588"/>
        <v>0</v>
      </c>
    </row>
    <row r="2316" spans="1:33">
      <c r="A2316" s="20" t="s">
        <v>12923</v>
      </c>
      <c r="B2316" s="150"/>
      <c r="C2316" s="21" t="s">
        <v>15377</v>
      </c>
      <c r="D2316" s="109" t="s">
        <v>13228</v>
      </c>
      <c r="E2316" s="109"/>
      <c r="F2316" s="391" t="s">
        <v>15378</v>
      </c>
      <c r="G2316" s="23" t="s">
        <v>15379</v>
      </c>
      <c r="H2316" s="23" t="s">
        <v>14403</v>
      </c>
      <c r="I2316" s="23" t="s">
        <v>13888</v>
      </c>
      <c r="J2316" s="23" t="s">
        <v>17360</v>
      </c>
      <c r="K2316" s="23" t="s">
        <v>23886</v>
      </c>
      <c r="L2316" s="375" t="s">
        <v>45</v>
      </c>
      <c r="M2316" s="351" t="s">
        <v>7787</v>
      </c>
      <c r="N2316" s="267">
        <f t="shared" si="589"/>
        <v>0</v>
      </c>
      <c r="O2316" s="268">
        <f t="shared" si="590"/>
        <v>100</v>
      </c>
      <c r="P2316" s="239"/>
      <c r="Q2316" s="239"/>
      <c r="R2316" s="240">
        <f>600-500</f>
        <v>100</v>
      </c>
      <c r="S2316" s="239"/>
      <c r="T2316" s="239"/>
      <c r="U2316" s="240"/>
      <c r="V2316" s="240"/>
      <c r="W2316" s="240"/>
      <c r="X2316" s="278"/>
      <c r="Y2316" s="237"/>
      <c r="Z2316" s="237"/>
      <c r="AA2316" s="279"/>
      <c r="AB2316" s="238" t="s">
        <v>26995</v>
      </c>
      <c r="AC2316" s="196">
        <f t="shared" si="584"/>
        <v>100</v>
      </c>
      <c r="AD2316" s="196">
        <f t="shared" si="585"/>
        <v>100</v>
      </c>
      <c r="AE2316" s="196">
        <f t="shared" si="586"/>
        <v>0</v>
      </c>
      <c r="AF2316" s="2">
        <f t="shared" si="587"/>
        <v>100</v>
      </c>
      <c r="AG2316" s="2">
        <f t="shared" si="588"/>
        <v>0</v>
      </c>
    </row>
    <row r="2317" spans="1:33">
      <c r="A2317" s="20" t="s">
        <v>2212</v>
      </c>
      <c r="B2317" s="150"/>
      <c r="C2317" s="21" t="s">
        <v>15380</v>
      </c>
      <c r="D2317" s="109" t="s">
        <v>14038</v>
      </c>
      <c r="E2317" s="109"/>
      <c r="F2317" s="391" t="s">
        <v>15381</v>
      </c>
      <c r="G2317" s="23" t="s">
        <v>14263</v>
      </c>
      <c r="H2317" s="23"/>
      <c r="I2317" s="23"/>
      <c r="J2317" s="23"/>
      <c r="K2317" s="23"/>
      <c r="L2317" s="350"/>
      <c r="M2317" s="351"/>
      <c r="N2317" s="267">
        <f t="shared" si="589"/>
        <v>0</v>
      </c>
      <c r="O2317" s="268">
        <f t="shared" si="590"/>
        <v>0</v>
      </c>
      <c r="P2317" s="239"/>
      <c r="Q2317" s="239"/>
      <c r="R2317" s="239"/>
      <c r="S2317" s="239"/>
      <c r="T2317" s="239"/>
      <c r="U2317" s="293"/>
      <c r="V2317" s="293"/>
      <c r="W2317" s="240"/>
      <c r="X2317" s="278"/>
      <c r="Y2317" s="237"/>
      <c r="Z2317" s="237"/>
      <c r="AA2317" s="285"/>
      <c r="AB2317" s="238"/>
      <c r="AC2317" s="196">
        <f t="shared" si="584"/>
        <v>0</v>
      </c>
      <c r="AD2317" s="196">
        <f t="shared" si="585"/>
        <v>0</v>
      </c>
      <c r="AE2317" s="196">
        <f t="shared" si="586"/>
        <v>0</v>
      </c>
      <c r="AF2317" s="2">
        <f t="shared" si="587"/>
        <v>0</v>
      </c>
      <c r="AG2317" s="2">
        <f t="shared" si="588"/>
        <v>0</v>
      </c>
    </row>
    <row r="2318" spans="1:33">
      <c r="A2318" s="20" t="s">
        <v>2215</v>
      </c>
      <c r="B2318" s="150"/>
      <c r="C2318" s="21" t="s">
        <v>15380</v>
      </c>
      <c r="D2318" s="109" t="s">
        <v>14038</v>
      </c>
      <c r="E2318" s="109"/>
      <c r="F2318" s="391" t="s">
        <v>15382</v>
      </c>
      <c r="G2318" s="23" t="s">
        <v>14197</v>
      </c>
      <c r="H2318" s="23"/>
      <c r="I2318" s="23"/>
      <c r="J2318" s="23"/>
      <c r="K2318" s="23"/>
      <c r="L2318" s="350"/>
      <c r="M2318" s="351"/>
      <c r="N2318" s="267">
        <f t="shared" si="589"/>
        <v>0</v>
      </c>
      <c r="O2318" s="268">
        <f t="shared" si="590"/>
        <v>0</v>
      </c>
      <c r="P2318" s="239"/>
      <c r="Q2318" s="239"/>
      <c r="R2318" s="239"/>
      <c r="S2318" s="239"/>
      <c r="T2318" s="239"/>
      <c r="U2318" s="240"/>
      <c r="V2318" s="240"/>
      <c r="W2318" s="240"/>
      <c r="X2318" s="278"/>
      <c r="Y2318" s="237"/>
      <c r="Z2318" s="237"/>
      <c r="AA2318" s="279"/>
      <c r="AB2318" s="238"/>
      <c r="AC2318" s="196">
        <f t="shared" si="584"/>
        <v>0</v>
      </c>
      <c r="AD2318" s="196">
        <f t="shared" si="585"/>
        <v>0</v>
      </c>
      <c r="AE2318" s="196">
        <f t="shared" si="586"/>
        <v>0</v>
      </c>
      <c r="AF2318" s="2">
        <f t="shared" si="587"/>
        <v>0</v>
      </c>
      <c r="AG2318" s="2">
        <f t="shared" si="588"/>
        <v>0</v>
      </c>
    </row>
    <row r="2319" spans="1:33">
      <c r="A2319" s="20" t="s">
        <v>2213</v>
      </c>
      <c r="B2319" s="161"/>
      <c r="C2319" s="21" t="s">
        <v>4778</v>
      </c>
      <c r="D2319" s="109" t="s">
        <v>14038</v>
      </c>
      <c r="E2319" s="109"/>
      <c r="F2319" s="391" t="s">
        <v>15381</v>
      </c>
      <c r="G2319" s="23" t="s">
        <v>14263</v>
      </c>
      <c r="H2319" s="23"/>
      <c r="I2319" s="23"/>
      <c r="J2319" s="23"/>
      <c r="K2319" s="23"/>
      <c r="L2319" s="350"/>
      <c r="M2319" s="351"/>
      <c r="N2319" s="267">
        <f t="shared" si="589"/>
        <v>0</v>
      </c>
      <c r="O2319" s="268">
        <f t="shared" si="590"/>
        <v>0</v>
      </c>
      <c r="P2319" s="239"/>
      <c r="Q2319" s="239"/>
      <c r="R2319" s="239"/>
      <c r="S2319" s="239"/>
      <c r="T2319" s="239"/>
      <c r="U2319" s="293"/>
      <c r="V2319" s="293"/>
      <c r="W2319" s="240"/>
      <c r="X2319" s="278"/>
      <c r="Y2319" s="237"/>
      <c r="Z2319" s="237"/>
      <c r="AA2319" s="285"/>
      <c r="AB2319" s="238"/>
      <c r="AC2319" s="196">
        <f t="shared" si="584"/>
        <v>0</v>
      </c>
      <c r="AD2319" s="196">
        <f t="shared" si="585"/>
        <v>0</v>
      </c>
      <c r="AE2319" s="196">
        <f t="shared" si="586"/>
        <v>0</v>
      </c>
      <c r="AF2319" s="2">
        <f t="shared" si="587"/>
        <v>0</v>
      </c>
      <c r="AG2319" s="2">
        <f t="shared" si="588"/>
        <v>0</v>
      </c>
    </row>
    <row r="2320" spans="1:33">
      <c r="A2320" s="20" t="s">
        <v>2216</v>
      </c>
      <c r="B2320" s="150"/>
      <c r="C2320" s="21" t="s">
        <v>4779</v>
      </c>
      <c r="D2320" s="109" t="s">
        <v>14233</v>
      </c>
      <c r="E2320" s="109" t="s">
        <v>13210</v>
      </c>
      <c r="F2320" s="391" t="s">
        <v>15201</v>
      </c>
      <c r="G2320" s="23" t="s">
        <v>14263</v>
      </c>
      <c r="H2320" s="23"/>
      <c r="I2320" s="23"/>
      <c r="J2320" s="23"/>
      <c r="K2320" s="23"/>
      <c r="L2320" s="350"/>
      <c r="M2320" s="351"/>
      <c r="N2320" s="267">
        <f t="shared" si="589"/>
        <v>0</v>
      </c>
      <c r="O2320" s="268">
        <f t="shared" si="590"/>
        <v>0</v>
      </c>
      <c r="P2320" s="239"/>
      <c r="Q2320" s="239"/>
      <c r="R2320" s="239"/>
      <c r="S2320" s="239"/>
      <c r="T2320" s="239"/>
      <c r="U2320" s="240"/>
      <c r="V2320" s="240"/>
      <c r="W2320" s="240"/>
      <c r="X2320" s="278"/>
      <c r="Y2320" s="237"/>
      <c r="Z2320" s="237"/>
      <c r="AA2320" s="279"/>
      <c r="AB2320" s="238"/>
      <c r="AC2320" s="196">
        <f t="shared" si="584"/>
        <v>0</v>
      </c>
      <c r="AD2320" s="196">
        <f t="shared" si="585"/>
        <v>0</v>
      </c>
      <c r="AE2320" s="196">
        <f t="shared" si="586"/>
        <v>0</v>
      </c>
      <c r="AF2320" s="2">
        <f t="shared" si="587"/>
        <v>0</v>
      </c>
      <c r="AG2320" s="2">
        <f t="shared" si="588"/>
        <v>0</v>
      </c>
    </row>
    <row r="2321" spans="1:33">
      <c r="A2321" s="20" t="s">
        <v>2214</v>
      </c>
      <c r="B2321" s="150"/>
      <c r="C2321" s="21" t="s">
        <v>4779</v>
      </c>
      <c r="D2321" s="109" t="s">
        <v>14038</v>
      </c>
      <c r="E2321" s="109"/>
      <c r="F2321" s="391" t="s">
        <v>15383</v>
      </c>
      <c r="G2321" s="23" t="s">
        <v>14263</v>
      </c>
      <c r="H2321" s="23" t="s">
        <v>15282</v>
      </c>
      <c r="I2321" s="23" t="s">
        <v>13410</v>
      </c>
      <c r="J2321" s="23"/>
      <c r="K2321" s="23"/>
      <c r="L2321" s="375" t="s">
        <v>27971</v>
      </c>
      <c r="M2321" s="351" t="s">
        <v>27951</v>
      </c>
      <c r="N2321" s="267">
        <f t="shared" si="589"/>
        <v>0</v>
      </c>
      <c r="O2321" s="268">
        <f t="shared" si="590"/>
        <v>3000</v>
      </c>
      <c r="P2321" s="239"/>
      <c r="Q2321" s="239"/>
      <c r="R2321" s="239"/>
      <c r="S2321" s="239"/>
      <c r="T2321" s="239"/>
      <c r="U2321" s="240">
        <f>5600-2700+2600+2900-5400</f>
        <v>3000</v>
      </c>
      <c r="V2321" s="240"/>
      <c r="W2321" s="240"/>
      <c r="X2321" s="278"/>
      <c r="Y2321" s="237"/>
      <c r="Z2321" s="237"/>
      <c r="AA2321" s="279"/>
      <c r="AB2321" s="238" t="s">
        <v>27966</v>
      </c>
      <c r="AC2321" s="196">
        <f t="shared" si="584"/>
        <v>3000</v>
      </c>
      <c r="AD2321" s="196">
        <f t="shared" si="585"/>
        <v>3000</v>
      </c>
      <c r="AE2321" s="196">
        <f t="shared" si="586"/>
        <v>0</v>
      </c>
      <c r="AF2321" s="2">
        <f t="shared" si="587"/>
        <v>3000</v>
      </c>
      <c r="AG2321" s="2">
        <f t="shared" si="588"/>
        <v>0</v>
      </c>
    </row>
    <row r="2322" spans="1:33">
      <c r="A2322" s="20" t="s">
        <v>2217</v>
      </c>
      <c r="B2322" s="150"/>
      <c r="C2322" s="21" t="s">
        <v>396</v>
      </c>
      <c r="D2322" s="109" t="s">
        <v>14038</v>
      </c>
      <c r="E2322" s="109"/>
      <c r="F2322" s="391" t="s">
        <v>15384</v>
      </c>
      <c r="G2322" s="23" t="s">
        <v>14263</v>
      </c>
      <c r="H2322" s="23"/>
      <c r="I2322" s="23"/>
      <c r="J2322" s="23"/>
      <c r="K2322" s="23"/>
      <c r="L2322" s="350"/>
      <c r="M2322" s="351"/>
      <c r="N2322" s="267">
        <f t="shared" si="589"/>
        <v>0</v>
      </c>
      <c r="O2322" s="268">
        <f t="shared" si="590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 t="s">
        <v>18069</v>
      </c>
      <c r="AC2322" s="196">
        <f t="shared" si="584"/>
        <v>0</v>
      </c>
      <c r="AD2322" s="196">
        <f t="shared" si="585"/>
        <v>0</v>
      </c>
      <c r="AE2322" s="196">
        <f t="shared" si="586"/>
        <v>0</v>
      </c>
      <c r="AF2322" s="2">
        <f t="shared" si="587"/>
        <v>0</v>
      </c>
      <c r="AG2322" s="2">
        <f t="shared" si="588"/>
        <v>0</v>
      </c>
    </row>
    <row r="2323" spans="1:33">
      <c r="A2323" s="20" t="s">
        <v>2218</v>
      </c>
      <c r="B2323" s="150"/>
      <c r="C2323" s="21" t="s">
        <v>397</v>
      </c>
      <c r="D2323" s="109" t="s">
        <v>14038</v>
      </c>
      <c r="E2323" s="109"/>
      <c r="F2323" s="391" t="s">
        <v>15385</v>
      </c>
      <c r="G2323" s="23" t="s">
        <v>14263</v>
      </c>
      <c r="H2323" s="23"/>
      <c r="I2323" s="23"/>
      <c r="J2323" s="23"/>
      <c r="K2323" s="23"/>
      <c r="L2323" s="350"/>
      <c r="M2323" s="351"/>
      <c r="N2323" s="267">
        <f t="shared" si="589"/>
        <v>0</v>
      </c>
      <c r="O2323" s="268">
        <f t="shared" si="590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7"/>
      <c r="Z2323" s="237"/>
      <c r="AA2323" s="279"/>
      <c r="AB2323" s="238"/>
      <c r="AC2323" s="196">
        <f t="shared" si="584"/>
        <v>0</v>
      </c>
      <c r="AD2323" s="196">
        <f t="shared" si="585"/>
        <v>0</v>
      </c>
      <c r="AE2323" s="196">
        <f t="shared" si="586"/>
        <v>0</v>
      </c>
      <c r="AF2323" s="2">
        <f t="shared" si="587"/>
        <v>0</v>
      </c>
      <c r="AG2323" s="2">
        <f t="shared" si="588"/>
        <v>0</v>
      </c>
    </row>
    <row r="2324" spans="1:33">
      <c r="A2324" s="20" t="s">
        <v>2219</v>
      </c>
      <c r="B2324" s="161"/>
      <c r="C2324" s="21" t="s">
        <v>398</v>
      </c>
      <c r="D2324" s="109" t="s">
        <v>14038</v>
      </c>
      <c r="E2324" s="109"/>
      <c r="F2324" s="391" t="s">
        <v>15386</v>
      </c>
      <c r="G2324" s="23" t="s">
        <v>13975</v>
      </c>
      <c r="H2324" s="23"/>
      <c r="I2324" s="23"/>
      <c r="J2324" s="23"/>
      <c r="K2324" s="23"/>
      <c r="L2324" s="350"/>
      <c r="M2324" s="351"/>
      <c r="N2324" s="267">
        <f t="shared" si="589"/>
        <v>0</v>
      </c>
      <c r="O2324" s="268">
        <f t="shared" si="590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7"/>
      <c r="Z2324" s="237"/>
      <c r="AA2324" s="279"/>
      <c r="AB2324" s="238"/>
      <c r="AC2324" s="196">
        <f t="shared" si="584"/>
        <v>0</v>
      </c>
      <c r="AD2324" s="196">
        <f t="shared" si="585"/>
        <v>0</v>
      </c>
      <c r="AE2324" s="196">
        <f t="shared" si="586"/>
        <v>0</v>
      </c>
      <c r="AF2324" s="2">
        <f t="shared" si="587"/>
        <v>0</v>
      </c>
      <c r="AG2324" s="2">
        <f t="shared" si="588"/>
        <v>0</v>
      </c>
    </row>
    <row r="2325" spans="1:33">
      <c r="A2325" s="20" t="s">
        <v>2220</v>
      </c>
      <c r="B2325" s="150"/>
      <c r="C2325" s="21" t="s">
        <v>399</v>
      </c>
      <c r="D2325" s="109" t="s">
        <v>14004</v>
      </c>
      <c r="E2325" s="109" t="s">
        <v>13210</v>
      </c>
      <c r="F2325" s="391" t="s">
        <v>15387</v>
      </c>
      <c r="G2325" s="23" t="s">
        <v>18537</v>
      </c>
      <c r="H2325" s="23"/>
      <c r="I2325" s="23"/>
      <c r="J2325" s="23"/>
      <c r="K2325" s="23"/>
      <c r="L2325" s="375" t="s">
        <v>7787</v>
      </c>
      <c r="M2325" s="351"/>
      <c r="N2325" s="267">
        <f t="shared" si="589"/>
        <v>0</v>
      </c>
      <c r="O2325" s="268">
        <f t="shared" si="590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4"/>
        <v>0</v>
      </c>
      <c r="AD2325" s="196">
        <f t="shared" si="585"/>
        <v>0</v>
      </c>
      <c r="AE2325" s="196">
        <f t="shared" si="586"/>
        <v>0</v>
      </c>
      <c r="AF2325" s="2">
        <f t="shared" si="587"/>
        <v>0</v>
      </c>
      <c r="AG2325" s="2">
        <f t="shared" si="588"/>
        <v>0</v>
      </c>
    </row>
    <row r="2326" spans="1:33">
      <c r="A2326" s="20" t="s">
        <v>18525</v>
      </c>
      <c r="B2326" s="150"/>
      <c r="C2326" s="21" t="s">
        <v>399</v>
      </c>
      <c r="D2326" s="109" t="s">
        <v>18536</v>
      </c>
      <c r="E2326" s="109" t="s">
        <v>3117</v>
      </c>
      <c r="F2326" s="391" t="s">
        <v>4786</v>
      </c>
      <c r="G2326" s="23" t="s">
        <v>13322</v>
      </c>
      <c r="H2326" s="23"/>
      <c r="I2326" s="23"/>
      <c r="J2326" s="23"/>
      <c r="K2326" s="23"/>
      <c r="L2326" s="375" t="s">
        <v>7787</v>
      </c>
      <c r="M2326" s="351"/>
      <c r="N2326" s="267">
        <f t="shared" si="589"/>
        <v>0</v>
      </c>
      <c r="O2326" s="268">
        <f t="shared" si="590"/>
        <v>0</v>
      </c>
      <c r="P2326" s="239"/>
      <c r="Q2326" s="239"/>
      <c r="R2326" s="239"/>
      <c r="S2326" s="239"/>
      <c r="T2326" s="239"/>
      <c r="U2326" s="240"/>
      <c r="V2326" s="240"/>
      <c r="W2326" s="240"/>
      <c r="X2326" s="278"/>
      <c r="Y2326" s="239"/>
      <c r="Z2326" s="237"/>
      <c r="AA2326" s="279"/>
      <c r="AB2326" s="238"/>
      <c r="AC2326" s="196">
        <f t="shared" si="584"/>
        <v>0</v>
      </c>
      <c r="AD2326" s="196">
        <f t="shared" si="585"/>
        <v>0</v>
      </c>
      <c r="AE2326" s="196">
        <f t="shared" si="586"/>
        <v>0</v>
      </c>
      <c r="AF2326" s="2">
        <f t="shared" si="587"/>
        <v>0</v>
      </c>
      <c r="AG2326" s="2">
        <f t="shared" si="588"/>
        <v>0</v>
      </c>
    </row>
    <row r="2327" spans="1:33">
      <c r="A2327" s="20" t="s">
        <v>2221</v>
      </c>
      <c r="B2327" s="156"/>
      <c r="C2327" s="21" t="s">
        <v>399</v>
      </c>
      <c r="D2327" s="109" t="s">
        <v>13228</v>
      </c>
      <c r="E2327" s="109" t="s">
        <v>14075</v>
      </c>
      <c r="F2327" s="391" t="s">
        <v>15388</v>
      </c>
      <c r="G2327" s="23" t="s">
        <v>14059</v>
      </c>
      <c r="H2327" s="23"/>
      <c r="I2327" s="23"/>
      <c r="J2327" s="23"/>
      <c r="K2327" s="23"/>
      <c r="L2327" s="375" t="s">
        <v>7787</v>
      </c>
      <c r="M2327" s="367" t="s">
        <v>45</v>
      </c>
      <c r="N2327" s="267">
        <f t="shared" si="589"/>
        <v>0</v>
      </c>
      <c r="O2327" s="268">
        <f t="shared" si="590"/>
        <v>0</v>
      </c>
      <c r="P2327" s="239"/>
      <c r="Q2327" s="239"/>
      <c r="R2327" s="239"/>
      <c r="S2327" s="239"/>
      <c r="T2327" s="239"/>
      <c r="U2327" s="240"/>
      <c r="V2327" s="240"/>
      <c r="W2327" s="240"/>
      <c r="X2327" s="278"/>
      <c r="Y2327" s="239"/>
      <c r="Z2327" s="237"/>
      <c r="AA2327" s="279"/>
      <c r="AB2327" s="238"/>
      <c r="AC2327" s="196">
        <f t="shared" si="584"/>
        <v>0</v>
      </c>
      <c r="AD2327" s="196">
        <f t="shared" si="585"/>
        <v>0</v>
      </c>
      <c r="AE2327" s="196">
        <f t="shared" si="586"/>
        <v>0</v>
      </c>
      <c r="AF2327" s="2">
        <f t="shared" si="587"/>
        <v>0</v>
      </c>
      <c r="AG2327" s="2">
        <f t="shared" si="588"/>
        <v>0</v>
      </c>
    </row>
    <row r="2328" spans="1:33">
      <c r="A2328" s="20" t="s">
        <v>2223</v>
      </c>
      <c r="B2328" s="156"/>
      <c r="C2328" s="21" t="s">
        <v>399</v>
      </c>
      <c r="D2328" s="109" t="s">
        <v>13228</v>
      </c>
      <c r="E2328" s="109" t="s">
        <v>25889</v>
      </c>
      <c r="F2328" s="391" t="s">
        <v>15389</v>
      </c>
      <c r="G2328" s="23" t="s">
        <v>25015</v>
      </c>
      <c r="H2328" s="23" t="s">
        <v>15390</v>
      </c>
      <c r="I2328" s="23" t="s">
        <v>14002</v>
      </c>
      <c r="J2328" s="23" t="s">
        <v>25890</v>
      </c>
      <c r="K2328" s="23" t="s">
        <v>13759</v>
      </c>
      <c r="L2328" s="375" t="s">
        <v>7787</v>
      </c>
      <c r="M2328" s="351" t="s">
        <v>7787</v>
      </c>
      <c r="N2328" s="267">
        <f t="shared" si="589"/>
        <v>0</v>
      </c>
      <c r="O2328" s="268">
        <f t="shared" si="590"/>
        <v>850</v>
      </c>
      <c r="P2328" s="239">
        <f>600+1000-500-500-100-50-100+1000-500</f>
        <v>850</v>
      </c>
      <c r="Q2328" s="239"/>
      <c r="R2328" s="240"/>
      <c r="S2328" s="239"/>
      <c r="T2328" s="239"/>
      <c r="U2328" s="239"/>
      <c r="V2328" s="240"/>
      <c r="W2328" s="240"/>
      <c r="X2328" s="278"/>
      <c r="Y2328" s="237"/>
      <c r="Z2328" s="237"/>
      <c r="AA2328" s="279"/>
      <c r="AB2328" s="238" t="s">
        <v>27638</v>
      </c>
      <c r="AC2328" s="196">
        <f t="shared" si="584"/>
        <v>850</v>
      </c>
      <c r="AD2328" s="196">
        <f t="shared" si="585"/>
        <v>850</v>
      </c>
      <c r="AE2328" s="196">
        <f t="shared" si="586"/>
        <v>0</v>
      </c>
      <c r="AF2328" s="2">
        <f t="shared" si="587"/>
        <v>850</v>
      </c>
      <c r="AG2328" s="2">
        <f t="shared" si="588"/>
        <v>0</v>
      </c>
    </row>
    <row r="2329" spans="1:33">
      <c r="A2329" s="405" t="s">
        <v>9734</v>
      </c>
      <c r="B2329" s="406"/>
      <c r="C2329" s="222" t="s">
        <v>15391</v>
      </c>
      <c r="D2329" s="222" t="s">
        <v>13228</v>
      </c>
      <c r="E2329" s="222" t="s">
        <v>15392</v>
      </c>
      <c r="F2329" s="407" t="s">
        <v>15389</v>
      </c>
      <c r="G2329" s="408" t="s">
        <v>15393</v>
      </c>
      <c r="H2329" s="408"/>
      <c r="I2329" s="408"/>
      <c r="J2329" s="408"/>
      <c r="K2329" s="408"/>
      <c r="L2329" s="409" t="s">
        <v>7787</v>
      </c>
      <c r="M2329" s="410" t="s">
        <v>7787</v>
      </c>
      <c r="N2329" s="267">
        <f t="shared" si="589"/>
        <v>0</v>
      </c>
      <c r="O2329" s="268">
        <f t="shared" si="590"/>
        <v>0</v>
      </c>
      <c r="P2329" s="252"/>
      <c r="Q2329" s="252"/>
      <c r="R2329" s="252"/>
      <c r="S2329" s="252"/>
      <c r="T2329" s="252"/>
      <c r="U2329" s="289"/>
      <c r="V2329" s="289"/>
      <c r="W2329" s="289"/>
      <c r="X2329" s="290"/>
      <c r="Y2329" s="289"/>
      <c r="Z2329" s="289"/>
      <c r="AA2329" s="291"/>
      <c r="AB2329" s="251"/>
      <c r="AC2329" s="196">
        <f t="shared" si="584"/>
        <v>0</v>
      </c>
      <c r="AD2329" s="196">
        <f t="shared" si="585"/>
        <v>0</v>
      </c>
      <c r="AE2329" s="196">
        <f t="shared" si="586"/>
        <v>0</v>
      </c>
      <c r="AF2329" s="2">
        <f t="shared" si="587"/>
        <v>0</v>
      </c>
      <c r="AG2329" s="2">
        <f t="shared" si="588"/>
        <v>0</v>
      </c>
    </row>
    <row r="2330" spans="1:33">
      <c r="A2330" s="20" t="s">
        <v>17962</v>
      </c>
      <c r="B2330" s="156"/>
      <c r="C2330" s="21" t="s">
        <v>15391</v>
      </c>
      <c r="D2330" s="109" t="s">
        <v>3101</v>
      </c>
      <c r="E2330" s="109" t="s">
        <v>18209</v>
      </c>
      <c r="F2330" s="391" t="s">
        <v>6739</v>
      </c>
      <c r="G2330" s="23" t="s">
        <v>15393</v>
      </c>
      <c r="H2330" s="23" t="s">
        <v>13409</v>
      </c>
      <c r="I2330" s="23"/>
      <c r="J2330" s="23"/>
      <c r="K2330" s="23"/>
      <c r="L2330" s="375" t="s">
        <v>7787</v>
      </c>
      <c r="M2330" s="351" t="s">
        <v>7787</v>
      </c>
      <c r="N2330" s="267">
        <f t="shared" si="589"/>
        <v>0</v>
      </c>
      <c r="O2330" s="268">
        <f t="shared" si="590"/>
        <v>0</v>
      </c>
      <c r="P2330" s="241" t="s">
        <v>45</v>
      </c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389"/>
      <c r="AC2330" s="196">
        <f t="shared" si="584"/>
        <v>0</v>
      </c>
      <c r="AD2330" s="196">
        <f t="shared" si="585"/>
        <v>0</v>
      </c>
      <c r="AE2330" s="196">
        <f t="shared" si="586"/>
        <v>0</v>
      </c>
      <c r="AF2330" s="2">
        <f t="shared" si="587"/>
        <v>0</v>
      </c>
      <c r="AG2330" s="2">
        <f t="shared" si="588"/>
        <v>0</v>
      </c>
    </row>
    <row r="2331" spans="1:33">
      <c r="A2331" s="20" t="s">
        <v>22363</v>
      </c>
      <c r="B2331" s="156"/>
      <c r="C2331" s="21" t="s">
        <v>15391</v>
      </c>
      <c r="D2331" s="109" t="s">
        <v>3101</v>
      </c>
      <c r="E2331" s="109" t="s">
        <v>22402</v>
      </c>
      <c r="F2331" s="391" t="s">
        <v>6739</v>
      </c>
      <c r="G2331" s="23" t="s">
        <v>15393</v>
      </c>
      <c r="H2331" s="23" t="s">
        <v>24450</v>
      </c>
      <c r="I2331" s="23"/>
      <c r="J2331" s="23"/>
      <c r="K2331" s="23"/>
      <c r="L2331" s="375" t="s">
        <v>7787</v>
      </c>
      <c r="M2331" s="351"/>
      <c r="N2331" s="267">
        <f t="shared" si="589"/>
        <v>0</v>
      </c>
      <c r="O2331" s="268">
        <f t="shared" si="590"/>
        <v>0</v>
      </c>
      <c r="P2331" s="241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389"/>
      <c r="AC2331" s="196">
        <f t="shared" si="584"/>
        <v>0</v>
      </c>
      <c r="AD2331" s="196">
        <f t="shared" si="585"/>
        <v>0</v>
      </c>
      <c r="AE2331" s="196">
        <f t="shared" si="586"/>
        <v>0</v>
      </c>
      <c r="AF2331" s="2">
        <f t="shared" si="587"/>
        <v>0</v>
      </c>
      <c r="AG2331" s="2">
        <f t="shared" si="588"/>
        <v>0</v>
      </c>
    </row>
    <row r="2332" spans="1:33">
      <c r="A2332" s="20" t="s">
        <v>2224</v>
      </c>
      <c r="B2332" s="150"/>
      <c r="C2332" s="21" t="s">
        <v>399</v>
      </c>
      <c r="D2332" s="109" t="s">
        <v>13228</v>
      </c>
      <c r="E2332" s="109" t="s">
        <v>13969</v>
      </c>
      <c r="F2332" s="391" t="s">
        <v>15394</v>
      </c>
      <c r="G2332" s="23" t="s">
        <v>13215</v>
      </c>
      <c r="H2332" s="23"/>
      <c r="I2332" s="23"/>
      <c r="J2332" s="23"/>
      <c r="K2332" s="23"/>
      <c r="L2332" s="350" t="s">
        <v>45</v>
      </c>
      <c r="M2332" s="351"/>
      <c r="N2332" s="267">
        <f t="shared" si="589"/>
        <v>0</v>
      </c>
      <c r="O2332" s="268">
        <f t="shared" si="590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7"/>
      <c r="Z2332" s="237"/>
      <c r="AA2332" s="279"/>
      <c r="AB2332" s="238"/>
      <c r="AC2332" s="196">
        <f t="shared" si="584"/>
        <v>0</v>
      </c>
      <c r="AD2332" s="196">
        <f t="shared" si="585"/>
        <v>0</v>
      </c>
      <c r="AE2332" s="196">
        <f t="shared" si="586"/>
        <v>0</v>
      </c>
      <c r="AF2332" s="2">
        <f t="shared" si="587"/>
        <v>0</v>
      </c>
      <c r="AG2332" s="2">
        <f t="shared" si="588"/>
        <v>0</v>
      </c>
    </row>
    <row r="2333" spans="1:33">
      <c r="A2333" s="20" t="s">
        <v>2222</v>
      </c>
      <c r="B2333" s="150"/>
      <c r="C2333" s="21" t="s">
        <v>399</v>
      </c>
      <c r="D2333" s="109" t="s">
        <v>13228</v>
      </c>
      <c r="E2333" s="109"/>
      <c r="F2333" s="391" t="s">
        <v>15395</v>
      </c>
      <c r="G2333" s="23" t="s">
        <v>15396</v>
      </c>
      <c r="H2333" s="23"/>
      <c r="I2333" s="23"/>
      <c r="J2333" s="23"/>
      <c r="K2333" s="23"/>
      <c r="L2333" s="350"/>
      <c r="M2333" s="351"/>
      <c r="N2333" s="267">
        <f t="shared" si="589"/>
        <v>0</v>
      </c>
      <c r="O2333" s="268">
        <f t="shared" si="590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7"/>
      <c r="Z2333" s="237"/>
      <c r="AA2333" s="279"/>
      <c r="AB2333" s="238"/>
      <c r="AC2333" s="196">
        <f t="shared" si="584"/>
        <v>0</v>
      </c>
      <c r="AD2333" s="196">
        <f t="shared" si="585"/>
        <v>0</v>
      </c>
      <c r="AE2333" s="196">
        <f t="shared" si="586"/>
        <v>0</v>
      </c>
      <c r="AF2333" s="2">
        <f t="shared" si="587"/>
        <v>0</v>
      </c>
      <c r="AG2333" s="2">
        <f t="shared" si="588"/>
        <v>0</v>
      </c>
    </row>
    <row r="2334" spans="1:33">
      <c r="A2334" s="20" t="s">
        <v>2225</v>
      </c>
      <c r="B2334" s="150"/>
      <c r="C2334" s="21" t="s">
        <v>399</v>
      </c>
      <c r="D2334" s="109" t="s">
        <v>13207</v>
      </c>
      <c r="E2334" s="109"/>
      <c r="F2334" s="391" t="s">
        <v>15395</v>
      </c>
      <c r="G2334" s="23" t="s">
        <v>13218</v>
      </c>
      <c r="H2334" s="23" t="s">
        <v>14020</v>
      </c>
      <c r="I2334" s="23" t="s">
        <v>14056</v>
      </c>
      <c r="J2334" s="23" t="s">
        <v>18863</v>
      </c>
      <c r="K2334" s="23"/>
      <c r="L2334" s="375" t="s">
        <v>7787</v>
      </c>
      <c r="M2334" s="351"/>
      <c r="N2334" s="267">
        <f t="shared" si="589"/>
        <v>0</v>
      </c>
      <c r="O2334" s="268">
        <f t="shared" si="590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4"/>
        <v>0</v>
      </c>
      <c r="AD2334" s="196">
        <f t="shared" si="585"/>
        <v>0</v>
      </c>
      <c r="AE2334" s="196">
        <f t="shared" si="586"/>
        <v>0</v>
      </c>
      <c r="AF2334" s="2">
        <f t="shared" si="587"/>
        <v>0</v>
      </c>
      <c r="AG2334" s="2">
        <f t="shared" si="588"/>
        <v>0</v>
      </c>
    </row>
    <row r="2335" spans="1:33">
      <c r="A2335" s="20" t="s">
        <v>2226</v>
      </c>
      <c r="B2335" s="150"/>
      <c r="C2335" s="21" t="s">
        <v>400</v>
      </c>
      <c r="D2335" s="109" t="s">
        <v>4066</v>
      </c>
      <c r="E2335" s="109" t="s">
        <v>4061</v>
      </c>
      <c r="F2335" s="391" t="s">
        <v>4793</v>
      </c>
      <c r="G2335" s="23"/>
      <c r="H2335" s="23"/>
      <c r="I2335" s="23"/>
      <c r="J2335" s="23"/>
      <c r="K2335" s="23"/>
      <c r="L2335" s="350"/>
      <c r="M2335" s="351"/>
      <c r="N2335" s="267">
        <f t="shared" si="589"/>
        <v>0</v>
      </c>
      <c r="O2335" s="268">
        <f t="shared" si="590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4"/>
        <v>0</v>
      </c>
      <c r="AD2335" s="196">
        <f t="shared" si="585"/>
        <v>0</v>
      </c>
      <c r="AE2335" s="196">
        <f t="shared" si="586"/>
        <v>0</v>
      </c>
      <c r="AF2335" s="2">
        <f t="shared" si="587"/>
        <v>0</v>
      </c>
      <c r="AG2335" s="2">
        <f t="shared" si="588"/>
        <v>0</v>
      </c>
    </row>
    <row r="2336" spans="1:33">
      <c r="A2336" s="20" t="s">
        <v>21438</v>
      </c>
      <c r="B2336" s="150"/>
      <c r="C2336" s="21" t="s">
        <v>400</v>
      </c>
      <c r="D2336" s="109" t="s">
        <v>20754</v>
      </c>
      <c r="E2336" s="109" t="s">
        <v>20755</v>
      </c>
      <c r="F2336" s="391" t="s">
        <v>4793</v>
      </c>
      <c r="G2336" s="23" t="s">
        <v>18958</v>
      </c>
      <c r="H2336" s="23"/>
      <c r="I2336" s="23"/>
      <c r="J2336" s="23"/>
      <c r="K2336" s="23"/>
      <c r="L2336" s="375" t="s">
        <v>7787</v>
      </c>
      <c r="M2336" s="351"/>
      <c r="N2336" s="267">
        <f t="shared" si="589"/>
        <v>0</v>
      </c>
      <c r="O2336" s="268">
        <f t="shared" si="590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9"/>
      <c r="Z2336" s="237"/>
      <c r="AA2336" s="279"/>
      <c r="AB2336" s="238"/>
      <c r="AC2336" s="196">
        <f t="shared" si="584"/>
        <v>0</v>
      </c>
      <c r="AD2336" s="196">
        <f t="shared" si="585"/>
        <v>0</v>
      </c>
      <c r="AE2336" s="196">
        <f t="shared" si="586"/>
        <v>0</v>
      </c>
      <c r="AF2336" s="2">
        <f t="shared" si="587"/>
        <v>0</v>
      </c>
      <c r="AG2336" s="2">
        <f t="shared" si="588"/>
        <v>0</v>
      </c>
    </row>
    <row r="2337" spans="1:33">
      <c r="A2337" s="20" t="s">
        <v>2230</v>
      </c>
      <c r="B2337" s="162" t="s">
        <v>5852</v>
      </c>
      <c r="C2337" s="21" t="s">
        <v>400</v>
      </c>
      <c r="D2337" s="109" t="s">
        <v>4070</v>
      </c>
      <c r="E2337" s="109"/>
      <c r="F2337" s="391" t="s">
        <v>4791</v>
      </c>
      <c r="G2337" s="23" t="s">
        <v>17841</v>
      </c>
      <c r="H2337" s="23" t="s">
        <v>13970</v>
      </c>
      <c r="I2337" s="23" t="s">
        <v>15397</v>
      </c>
      <c r="J2337" s="23" t="s">
        <v>14175</v>
      </c>
      <c r="K2337" s="23" t="s">
        <v>15398</v>
      </c>
      <c r="L2337" s="375" t="s">
        <v>7787</v>
      </c>
      <c r="M2337" s="351" t="s">
        <v>7787</v>
      </c>
      <c r="N2337" s="267">
        <f t="shared" si="589"/>
        <v>0</v>
      </c>
      <c r="O2337" s="268">
        <f t="shared" si="590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9"/>
      <c r="Z2337" s="237"/>
      <c r="AA2337" s="279"/>
      <c r="AB2337" s="238"/>
      <c r="AC2337" s="196">
        <f t="shared" si="584"/>
        <v>0</v>
      </c>
      <c r="AD2337" s="196">
        <f t="shared" si="585"/>
        <v>0</v>
      </c>
      <c r="AE2337" s="196">
        <f t="shared" si="586"/>
        <v>0</v>
      </c>
      <c r="AF2337" s="2">
        <f t="shared" si="587"/>
        <v>0</v>
      </c>
      <c r="AG2337" s="2">
        <f t="shared" si="588"/>
        <v>0</v>
      </c>
    </row>
    <row r="2338" spans="1:33">
      <c r="A2338" s="20" t="s">
        <v>2230</v>
      </c>
      <c r="B2338" s="162" t="s">
        <v>5852</v>
      </c>
      <c r="C2338" s="21" t="s">
        <v>400</v>
      </c>
      <c r="D2338" s="109" t="s">
        <v>4070</v>
      </c>
      <c r="E2338" s="109" t="s">
        <v>15399</v>
      </c>
      <c r="F2338" s="391" t="s">
        <v>4791</v>
      </c>
      <c r="G2338" s="23" t="s">
        <v>15400</v>
      </c>
      <c r="H2338" s="23"/>
      <c r="I2338" s="23"/>
      <c r="J2338" s="23"/>
      <c r="K2338" s="23"/>
      <c r="L2338" s="375"/>
      <c r="M2338" s="351" t="s">
        <v>7787</v>
      </c>
      <c r="N2338" s="267">
        <f t="shared" si="589"/>
        <v>0</v>
      </c>
      <c r="O2338" s="268">
        <f t="shared" si="590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si="584"/>
        <v>0</v>
      </c>
      <c r="AD2338" s="196">
        <f t="shared" si="585"/>
        <v>0</v>
      </c>
      <c r="AE2338" s="196">
        <f t="shared" si="586"/>
        <v>0</v>
      </c>
      <c r="AF2338" s="2">
        <f t="shared" si="587"/>
        <v>0</v>
      </c>
      <c r="AG2338" s="2">
        <f t="shared" si="588"/>
        <v>0</v>
      </c>
    </row>
    <row r="2339" spans="1:33">
      <c r="A2339" s="20" t="s">
        <v>6841</v>
      </c>
      <c r="B2339" s="162"/>
      <c r="C2339" s="21" t="s">
        <v>400</v>
      </c>
      <c r="D2339" s="109" t="s">
        <v>15401</v>
      </c>
      <c r="E2339" s="109" t="s">
        <v>14082</v>
      </c>
      <c r="F2339" s="391" t="s">
        <v>15402</v>
      </c>
      <c r="G2339" s="23" t="s">
        <v>13982</v>
      </c>
      <c r="H2339" s="23" t="s">
        <v>13353</v>
      </c>
      <c r="I2339" s="23"/>
      <c r="J2339" s="23"/>
      <c r="K2339" s="23"/>
      <c r="L2339" s="375" t="s">
        <v>7787</v>
      </c>
      <c r="M2339" s="351" t="s">
        <v>7787</v>
      </c>
      <c r="N2339" s="267">
        <f t="shared" si="589"/>
        <v>0</v>
      </c>
      <c r="O2339" s="268">
        <f t="shared" si="590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79"/>
      <c r="AB2339" s="238"/>
      <c r="AC2339" s="196">
        <f t="shared" ref="AC2339:AC2402" si="591">SUM(P2339:AA2339)</f>
        <v>0</v>
      </c>
      <c r="AD2339" s="196">
        <f t="shared" ref="AD2339:AD2402" si="592">SUM(P2339:AB2339)</f>
        <v>0</v>
      </c>
      <c r="AE2339" s="196">
        <f t="shared" ref="AE2339:AE2402" si="593">SUM(AC2339-AD2339)</f>
        <v>0</v>
      </c>
      <c r="AF2339" s="2">
        <f t="shared" ref="AF2339:AF2402" si="594">+AC2339</f>
        <v>0</v>
      </c>
      <c r="AG2339" s="2">
        <f t="shared" ref="AG2339:AG2402" si="595">+AC2339-AF2339</f>
        <v>0</v>
      </c>
    </row>
    <row r="2340" spans="1:33">
      <c r="A2340" s="20" t="s">
        <v>2231</v>
      </c>
      <c r="B2340" s="150"/>
      <c r="C2340" s="21" t="s">
        <v>400</v>
      </c>
      <c r="D2340" s="109" t="s">
        <v>15401</v>
      </c>
      <c r="E2340" s="109" t="s">
        <v>14075</v>
      </c>
      <c r="F2340" s="391" t="s">
        <v>15403</v>
      </c>
      <c r="G2340" s="23" t="s">
        <v>13215</v>
      </c>
      <c r="H2340" s="23"/>
      <c r="I2340" s="23"/>
      <c r="J2340" s="23"/>
      <c r="K2340" s="23"/>
      <c r="L2340" s="350"/>
      <c r="M2340" s="351"/>
      <c r="N2340" s="267">
        <f t="shared" si="589"/>
        <v>0</v>
      </c>
      <c r="O2340" s="268">
        <f t="shared" si="590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79"/>
      <c r="AB2340" s="238"/>
      <c r="AC2340" s="196">
        <f t="shared" si="591"/>
        <v>0</v>
      </c>
      <c r="AD2340" s="196">
        <f t="shared" si="592"/>
        <v>0</v>
      </c>
      <c r="AE2340" s="196">
        <f t="shared" si="593"/>
        <v>0</v>
      </c>
      <c r="AF2340" s="2">
        <f t="shared" si="594"/>
        <v>0</v>
      </c>
      <c r="AG2340" s="2">
        <f t="shared" si="595"/>
        <v>0</v>
      </c>
    </row>
    <row r="2341" spans="1:33">
      <c r="A2341" s="20" t="s">
        <v>2232</v>
      </c>
      <c r="B2341" s="156" t="s">
        <v>15404</v>
      </c>
      <c r="C2341" s="21" t="s">
        <v>400</v>
      </c>
      <c r="D2341" s="109" t="s">
        <v>15401</v>
      </c>
      <c r="E2341" s="109" t="s">
        <v>14075</v>
      </c>
      <c r="F2341" s="391" t="s">
        <v>15403</v>
      </c>
      <c r="G2341" s="23" t="s">
        <v>13982</v>
      </c>
      <c r="H2341" s="23"/>
      <c r="I2341" s="23"/>
      <c r="J2341" s="23"/>
      <c r="K2341" s="23"/>
      <c r="L2341" s="350"/>
      <c r="M2341" s="351"/>
      <c r="N2341" s="267">
        <f t="shared" si="589"/>
        <v>0</v>
      </c>
      <c r="O2341" s="268">
        <f t="shared" si="590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39"/>
      <c r="AB2341" s="238"/>
      <c r="AC2341" s="196">
        <f t="shared" si="591"/>
        <v>0</v>
      </c>
      <c r="AD2341" s="196">
        <f t="shared" si="592"/>
        <v>0</v>
      </c>
      <c r="AE2341" s="196">
        <f t="shared" si="593"/>
        <v>0</v>
      </c>
      <c r="AF2341" s="2">
        <f t="shared" si="594"/>
        <v>0</v>
      </c>
      <c r="AG2341" s="2">
        <f t="shared" si="595"/>
        <v>0</v>
      </c>
    </row>
    <row r="2342" spans="1:33">
      <c r="A2342" s="20" t="s">
        <v>2233</v>
      </c>
      <c r="B2342" s="150"/>
      <c r="C2342" s="21" t="s">
        <v>400</v>
      </c>
      <c r="D2342" s="109" t="s">
        <v>15401</v>
      </c>
      <c r="E2342" s="109" t="s">
        <v>14082</v>
      </c>
      <c r="F2342" s="391" t="s">
        <v>15402</v>
      </c>
      <c r="G2342" s="23" t="s">
        <v>13215</v>
      </c>
      <c r="H2342" s="23" t="s">
        <v>13982</v>
      </c>
      <c r="I2342" s="23"/>
      <c r="J2342" s="23"/>
      <c r="K2342" s="23"/>
      <c r="L2342" s="375" t="s">
        <v>7787</v>
      </c>
      <c r="M2342" s="351"/>
      <c r="N2342" s="267">
        <f t="shared" si="589"/>
        <v>0</v>
      </c>
      <c r="O2342" s="268">
        <f t="shared" si="590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91"/>
        <v>0</v>
      </c>
      <c r="AD2342" s="196">
        <f t="shared" si="592"/>
        <v>0</v>
      </c>
      <c r="AE2342" s="196">
        <f t="shared" si="593"/>
        <v>0</v>
      </c>
      <c r="AF2342" s="2">
        <f t="shared" si="594"/>
        <v>0</v>
      </c>
      <c r="AG2342" s="2">
        <f t="shared" si="595"/>
        <v>0</v>
      </c>
    </row>
    <row r="2343" spans="1:33">
      <c r="A2343" s="20" t="s">
        <v>11113</v>
      </c>
      <c r="B2343" s="150"/>
      <c r="C2343" s="21" t="s">
        <v>15405</v>
      </c>
      <c r="D2343" s="109" t="s">
        <v>15401</v>
      </c>
      <c r="E2343" s="109" t="s">
        <v>14082</v>
      </c>
      <c r="F2343" s="391" t="s">
        <v>15402</v>
      </c>
      <c r="G2343" s="23" t="s">
        <v>13218</v>
      </c>
      <c r="H2343" s="23"/>
      <c r="I2343" s="23"/>
      <c r="J2343" s="23"/>
      <c r="K2343" s="23"/>
      <c r="L2343" s="375" t="s">
        <v>7787</v>
      </c>
      <c r="M2343" s="351"/>
      <c r="N2343" s="267">
        <f t="shared" si="589"/>
        <v>0</v>
      </c>
      <c r="O2343" s="268">
        <f t="shared" si="590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91"/>
        <v>0</v>
      </c>
      <c r="AD2343" s="196">
        <f t="shared" si="592"/>
        <v>0</v>
      </c>
      <c r="AE2343" s="196">
        <f t="shared" si="593"/>
        <v>0</v>
      </c>
      <c r="AF2343" s="2">
        <f t="shared" si="594"/>
        <v>0</v>
      </c>
      <c r="AG2343" s="2">
        <f t="shared" si="595"/>
        <v>0</v>
      </c>
    </row>
    <row r="2344" spans="1:33">
      <c r="A2344" s="20" t="s">
        <v>2234</v>
      </c>
      <c r="B2344" s="156" t="s">
        <v>15406</v>
      </c>
      <c r="C2344" s="21" t="s">
        <v>400</v>
      </c>
      <c r="D2344" s="109" t="s">
        <v>15401</v>
      </c>
      <c r="E2344" s="109"/>
      <c r="F2344" s="391" t="s">
        <v>15407</v>
      </c>
      <c r="G2344" s="23" t="s">
        <v>14175</v>
      </c>
      <c r="H2344" s="23"/>
      <c r="I2344" s="23"/>
      <c r="J2344" s="23"/>
      <c r="K2344" s="23"/>
      <c r="L2344" s="350"/>
      <c r="M2344" s="351"/>
      <c r="N2344" s="267">
        <f t="shared" si="589"/>
        <v>0</v>
      </c>
      <c r="O2344" s="268">
        <f t="shared" si="590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91"/>
        <v>0</v>
      </c>
      <c r="AD2344" s="196">
        <f t="shared" si="592"/>
        <v>0</v>
      </c>
      <c r="AE2344" s="196">
        <f t="shared" si="593"/>
        <v>0</v>
      </c>
      <c r="AF2344" s="2">
        <f t="shared" si="594"/>
        <v>0</v>
      </c>
      <c r="AG2344" s="2">
        <f t="shared" si="595"/>
        <v>0</v>
      </c>
    </row>
    <row r="2345" spans="1:33">
      <c r="A2345" s="20" t="s">
        <v>2229</v>
      </c>
      <c r="B2345" s="156" t="s">
        <v>15408</v>
      </c>
      <c r="C2345" s="21" t="s">
        <v>400</v>
      </c>
      <c r="D2345" s="109" t="s">
        <v>4064</v>
      </c>
      <c r="E2345" s="109"/>
      <c r="F2345" s="391" t="s">
        <v>15409</v>
      </c>
      <c r="G2345" s="23" t="s">
        <v>5456</v>
      </c>
      <c r="H2345" s="23"/>
      <c r="I2345" s="23"/>
      <c r="J2345" s="23"/>
      <c r="K2345" s="23"/>
      <c r="L2345" s="375" t="s">
        <v>7787</v>
      </c>
      <c r="M2345" s="351"/>
      <c r="N2345" s="267">
        <f t="shared" si="589"/>
        <v>0</v>
      </c>
      <c r="O2345" s="268">
        <f t="shared" si="590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91"/>
        <v>0</v>
      </c>
      <c r="AD2345" s="196">
        <f t="shared" si="592"/>
        <v>0</v>
      </c>
      <c r="AE2345" s="196">
        <f t="shared" si="593"/>
        <v>0</v>
      </c>
      <c r="AF2345" s="2">
        <f t="shared" si="594"/>
        <v>0</v>
      </c>
      <c r="AG2345" s="2">
        <f t="shared" si="595"/>
        <v>0</v>
      </c>
    </row>
    <row r="2346" spans="1:33">
      <c r="A2346" s="20" t="s">
        <v>2227</v>
      </c>
      <c r="B2346" s="150"/>
      <c r="C2346" s="21" t="s">
        <v>400</v>
      </c>
      <c r="D2346" s="109" t="s">
        <v>4065</v>
      </c>
      <c r="E2346" s="109" t="s">
        <v>4060</v>
      </c>
      <c r="F2346" s="391" t="s">
        <v>4793</v>
      </c>
      <c r="G2346" s="23" t="s">
        <v>5455</v>
      </c>
      <c r="H2346" s="23"/>
      <c r="I2346" s="23"/>
      <c r="J2346" s="23"/>
      <c r="K2346" s="23"/>
      <c r="L2346" s="350"/>
      <c r="M2346" s="351"/>
      <c r="N2346" s="267">
        <f t="shared" si="589"/>
        <v>0</v>
      </c>
      <c r="O2346" s="268">
        <f t="shared" si="590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91"/>
        <v>0</v>
      </c>
      <c r="AD2346" s="196">
        <f t="shared" si="592"/>
        <v>0</v>
      </c>
      <c r="AE2346" s="196">
        <f t="shared" si="593"/>
        <v>0</v>
      </c>
      <c r="AF2346" s="2">
        <f t="shared" si="594"/>
        <v>0</v>
      </c>
      <c r="AG2346" s="2">
        <f t="shared" si="595"/>
        <v>0</v>
      </c>
    </row>
    <row r="2347" spans="1:33">
      <c r="A2347" s="20" t="s">
        <v>2228</v>
      </c>
      <c r="B2347" s="150"/>
      <c r="C2347" s="21" t="s">
        <v>400</v>
      </c>
      <c r="D2347" s="109" t="s">
        <v>4065</v>
      </c>
      <c r="E2347" s="109" t="s">
        <v>4061</v>
      </c>
      <c r="F2347" s="391" t="s">
        <v>4793</v>
      </c>
      <c r="G2347" s="23" t="s">
        <v>5455</v>
      </c>
      <c r="H2347" s="23"/>
      <c r="I2347" s="23"/>
      <c r="J2347" s="23"/>
      <c r="K2347" s="23"/>
      <c r="L2347" s="350"/>
      <c r="M2347" s="351"/>
      <c r="N2347" s="267">
        <f t="shared" si="589"/>
        <v>0</v>
      </c>
      <c r="O2347" s="268">
        <f t="shared" si="590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91"/>
        <v>0</v>
      </c>
      <c r="AD2347" s="196">
        <f t="shared" si="592"/>
        <v>0</v>
      </c>
      <c r="AE2347" s="196">
        <f t="shared" si="593"/>
        <v>0</v>
      </c>
      <c r="AF2347" s="2">
        <f t="shared" si="594"/>
        <v>0</v>
      </c>
      <c r="AG2347" s="2">
        <f t="shared" si="595"/>
        <v>0</v>
      </c>
    </row>
    <row r="2348" spans="1:33">
      <c r="A2348" s="20" t="s">
        <v>2726</v>
      </c>
      <c r="B2348" s="161"/>
      <c r="C2348" s="21" t="s">
        <v>817</v>
      </c>
      <c r="D2348" s="109" t="s">
        <v>14154</v>
      </c>
      <c r="E2348" s="109"/>
      <c r="F2348" s="391" t="s">
        <v>15410</v>
      </c>
      <c r="G2348" s="23"/>
      <c r="H2348" s="23"/>
      <c r="I2348" s="23"/>
      <c r="J2348" s="23"/>
      <c r="K2348" s="23"/>
      <c r="L2348" s="350"/>
      <c r="M2348" s="351"/>
      <c r="N2348" s="267">
        <f t="shared" si="589"/>
        <v>0</v>
      </c>
      <c r="O2348" s="268">
        <f t="shared" si="590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91"/>
        <v>0</v>
      </c>
      <c r="AD2348" s="196">
        <f t="shared" si="592"/>
        <v>0</v>
      </c>
      <c r="AE2348" s="196">
        <f t="shared" si="593"/>
        <v>0</v>
      </c>
      <c r="AF2348" s="2">
        <f t="shared" si="594"/>
        <v>0</v>
      </c>
      <c r="AG2348" s="2">
        <f t="shared" si="595"/>
        <v>0</v>
      </c>
    </row>
    <row r="2349" spans="1:33">
      <c r="A2349" s="20" t="s">
        <v>2725</v>
      </c>
      <c r="B2349" s="161"/>
      <c r="C2349" s="21" t="s">
        <v>817</v>
      </c>
      <c r="D2349" s="109" t="s">
        <v>13228</v>
      </c>
      <c r="E2349" s="109"/>
      <c r="F2349" s="391" t="s">
        <v>15410</v>
      </c>
      <c r="G2349" s="23"/>
      <c r="H2349" s="23"/>
      <c r="I2349" s="23"/>
      <c r="J2349" s="23"/>
      <c r="K2349" s="23"/>
      <c r="L2349" s="350"/>
      <c r="M2349" s="351"/>
      <c r="N2349" s="267">
        <f t="shared" si="589"/>
        <v>0</v>
      </c>
      <c r="O2349" s="268">
        <f t="shared" si="590"/>
        <v>0</v>
      </c>
      <c r="P2349" s="239"/>
      <c r="Q2349" s="239"/>
      <c r="R2349" s="239"/>
      <c r="S2349" s="239"/>
      <c r="T2349" s="239"/>
      <c r="U2349" s="240"/>
      <c r="V2349" s="240"/>
      <c r="W2349" s="240"/>
      <c r="X2349" s="278"/>
      <c r="Y2349" s="237"/>
      <c r="Z2349" s="237"/>
      <c r="AA2349" s="279"/>
      <c r="AB2349" s="238"/>
      <c r="AC2349" s="196">
        <f t="shared" si="591"/>
        <v>0</v>
      </c>
      <c r="AD2349" s="196">
        <f t="shared" si="592"/>
        <v>0</v>
      </c>
      <c r="AE2349" s="196">
        <f t="shared" si="593"/>
        <v>0</v>
      </c>
      <c r="AF2349" s="2">
        <f t="shared" si="594"/>
        <v>0</v>
      </c>
      <c r="AG2349" s="2">
        <f t="shared" si="595"/>
        <v>0</v>
      </c>
    </row>
    <row r="2350" spans="1:33">
      <c r="A2350" s="20" t="s">
        <v>2235</v>
      </c>
      <c r="B2350" s="150"/>
      <c r="C2350" s="21" t="s">
        <v>401</v>
      </c>
      <c r="D2350" s="109" t="s">
        <v>13228</v>
      </c>
      <c r="E2350" s="109"/>
      <c r="F2350" s="391" t="s">
        <v>15411</v>
      </c>
      <c r="G2350" s="23"/>
      <c r="H2350" s="23"/>
      <c r="I2350" s="23"/>
      <c r="J2350" s="23"/>
      <c r="K2350" s="23"/>
      <c r="L2350" s="350"/>
      <c r="M2350" s="351"/>
      <c r="N2350" s="267">
        <f t="shared" si="589"/>
        <v>0</v>
      </c>
      <c r="O2350" s="268">
        <f t="shared" si="590"/>
        <v>0</v>
      </c>
      <c r="P2350" s="239"/>
      <c r="Q2350" s="239"/>
      <c r="R2350" s="239"/>
      <c r="S2350" s="239"/>
      <c r="T2350" s="239"/>
      <c r="U2350" s="240"/>
      <c r="V2350" s="240"/>
      <c r="W2350" s="240"/>
      <c r="X2350" s="278"/>
      <c r="Y2350" s="237"/>
      <c r="Z2350" s="237"/>
      <c r="AA2350" s="279"/>
      <c r="AB2350" s="238"/>
      <c r="AC2350" s="196">
        <f t="shared" si="591"/>
        <v>0</v>
      </c>
      <c r="AD2350" s="196">
        <f t="shared" si="592"/>
        <v>0</v>
      </c>
      <c r="AE2350" s="196">
        <f t="shared" si="593"/>
        <v>0</v>
      </c>
      <c r="AF2350" s="2">
        <f t="shared" si="594"/>
        <v>0</v>
      </c>
      <c r="AG2350" s="2">
        <f t="shared" si="595"/>
        <v>0</v>
      </c>
    </row>
    <row r="2351" spans="1:33">
      <c r="A2351" s="20" t="s">
        <v>2236</v>
      </c>
      <c r="B2351" s="150"/>
      <c r="C2351" s="21" t="s">
        <v>402</v>
      </c>
      <c r="D2351" s="109" t="s">
        <v>13228</v>
      </c>
      <c r="E2351" s="109"/>
      <c r="F2351" s="391" t="s">
        <v>15412</v>
      </c>
      <c r="G2351" s="23" t="s">
        <v>14056</v>
      </c>
      <c r="H2351" s="23"/>
      <c r="I2351" s="23"/>
      <c r="J2351" s="23"/>
      <c r="K2351" s="23"/>
      <c r="L2351" s="350"/>
      <c r="M2351" s="351"/>
      <c r="N2351" s="267">
        <f t="shared" si="589"/>
        <v>0</v>
      </c>
      <c r="O2351" s="268">
        <f t="shared" si="590"/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/>
      <c r="Z2351" s="237"/>
      <c r="AA2351" s="279"/>
      <c r="AB2351" s="238"/>
      <c r="AC2351" s="196">
        <f t="shared" si="591"/>
        <v>0</v>
      </c>
      <c r="AD2351" s="196">
        <f t="shared" si="592"/>
        <v>0</v>
      </c>
      <c r="AE2351" s="196">
        <f t="shared" si="593"/>
        <v>0</v>
      </c>
      <c r="AF2351" s="2">
        <f t="shared" si="594"/>
        <v>0</v>
      </c>
      <c r="AG2351" s="2">
        <f t="shared" si="595"/>
        <v>0</v>
      </c>
    </row>
    <row r="2352" spans="1:33">
      <c r="A2352" s="20" t="s">
        <v>2237</v>
      </c>
      <c r="B2352" s="150"/>
      <c r="C2352" s="21" t="s">
        <v>403</v>
      </c>
      <c r="D2352" s="109" t="s">
        <v>14038</v>
      </c>
      <c r="E2352" s="109"/>
      <c r="F2352" s="391" t="s">
        <v>15413</v>
      </c>
      <c r="G2352" s="23" t="s">
        <v>14263</v>
      </c>
      <c r="H2352" s="23"/>
      <c r="I2352" s="23"/>
      <c r="J2352" s="23"/>
      <c r="K2352" s="23"/>
      <c r="L2352" s="350"/>
      <c r="M2352" s="351"/>
      <c r="N2352" s="267">
        <f t="shared" si="589"/>
        <v>0</v>
      </c>
      <c r="O2352" s="268">
        <f t="shared" si="590"/>
        <v>0</v>
      </c>
      <c r="P2352" s="239"/>
      <c r="Q2352" s="242"/>
      <c r="R2352" s="242"/>
      <c r="S2352" s="242"/>
      <c r="T2352" s="247"/>
      <c r="U2352" s="292"/>
      <c r="V2352" s="292"/>
      <c r="W2352" s="240"/>
      <c r="X2352" s="278"/>
      <c r="Y2352" s="237">
        <v>0</v>
      </c>
      <c r="Z2352" s="237"/>
      <c r="AA2352" s="279"/>
      <c r="AB2352" s="238"/>
      <c r="AC2352" s="196">
        <f t="shared" si="591"/>
        <v>0</v>
      </c>
      <c r="AD2352" s="196">
        <f t="shared" si="592"/>
        <v>0</v>
      </c>
      <c r="AE2352" s="196">
        <f t="shared" si="593"/>
        <v>0</v>
      </c>
      <c r="AF2352" s="2">
        <f t="shared" si="594"/>
        <v>0</v>
      </c>
      <c r="AG2352" s="2">
        <f t="shared" si="595"/>
        <v>0</v>
      </c>
    </row>
    <row r="2353" spans="1:33">
      <c r="A2353" s="20" t="s">
        <v>2238</v>
      </c>
      <c r="B2353" s="150"/>
      <c r="C2353" s="21" t="s">
        <v>403</v>
      </c>
      <c r="D2353" s="109" t="s">
        <v>14038</v>
      </c>
      <c r="E2353" s="109"/>
      <c r="F2353" s="391" t="s">
        <v>15413</v>
      </c>
      <c r="G2353" s="23"/>
      <c r="H2353" s="23"/>
      <c r="I2353" s="23"/>
      <c r="J2353" s="23"/>
      <c r="K2353" s="23"/>
      <c r="L2353" s="350"/>
      <c r="M2353" s="351"/>
      <c r="N2353" s="267">
        <f t="shared" ref="N2353:N2416" si="596">SUM(L2353:M2353)</f>
        <v>0</v>
      </c>
      <c r="O2353" s="268">
        <f t="shared" ref="O2353:O2416" si="597">SUM(P2353:Z2353)</f>
        <v>0</v>
      </c>
      <c r="P2353" s="239"/>
      <c r="Q2353" s="242"/>
      <c r="R2353" s="242"/>
      <c r="S2353" s="242"/>
      <c r="T2353" s="247"/>
      <c r="U2353" s="292"/>
      <c r="V2353" s="292"/>
      <c r="W2353" s="240"/>
      <c r="X2353" s="278"/>
      <c r="Y2353" s="237"/>
      <c r="Z2353" s="237"/>
      <c r="AA2353" s="279"/>
      <c r="AB2353" s="238"/>
      <c r="AC2353" s="196">
        <f t="shared" si="591"/>
        <v>0</v>
      </c>
      <c r="AD2353" s="196">
        <f t="shared" si="592"/>
        <v>0</v>
      </c>
      <c r="AE2353" s="196">
        <f t="shared" si="593"/>
        <v>0</v>
      </c>
      <c r="AF2353" s="2">
        <f t="shared" si="594"/>
        <v>0</v>
      </c>
      <c r="AG2353" s="2">
        <f t="shared" si="595"/>
        <v>0</v>
      </c>
    </row>
    <row r="2354" spans="1:33">
      <c r="A2354" s="20" t="s">
        <v>2239</v>
      </c>
      <c r="B2354" s="150"/>
      <c r="C2354" s="21" t="s">
        <v>15414</v>
      </c>
      <c r="D2354" s="109" t="s">
        <v>15415</v>
      </c>
      <c r="E2354" s="109"/>
      <c r="F2354" s="391" t="s">
        <v>15416</v>
      </c>
      <c r="G2354" s="23" t="s">
        <v>14263</v>
      </c>
      <c r="H2354" s="23" t="s">
        <v>14248</v>
      </c>
      <c r="I2354" s="23" t="s">
        <v>14094</v>
      </c>
      <c r="J2354" s="23"/>
      <c r="K2354" s="23"/>
      <c r="L2354" s="375" t="s">
        <v>7787</v>
      </c>
      <c r="M2354" s="351"/>
      <c r="N2354" s="267">
        <f t="shared" si="596"/>
        <v>0</v>
      </c>
      <c r="O2354" s="268">
        <f t="shared" si="597"/>
        <v>0</v>
      </c>
      <c r="P2354" s="239"/>
      <c r="Q2354" s="239"/>
      <c r="R2354" s="239"/>
      <c r="S2354" s="239"/>
      <c r="T2354" s="239"/>
      <c r="U2354" s="240"/>
      <c r="V2354" s="240"/>
      <c r="W2354" s="240"/>
      <c r="X2354" s="278"/>
      <c r="Y2354" s="237"/>
      <c r="Z2354" s="237"/>
      <c r="AA2354" s="279"/>
      <c r="AB2354" s="238"/>
      <c r="AC2354" s="196">
        <f t="shared" si="591"/>
        <v>0</v>
      </c>
      <c r="AD2354" s="196">
        <f t="shared" si="592"/>
        <v>0</v>
      </c>
      <c r="AE2354" s="196">
        <f t="shared" si="593"/>
        <v>0</v>
      </c>
      <c r="AF2354" s="2">
        <f t="shared" si="594"/>
        <v>0</v>
      </c>
      <c r="AG2354" s="2">
        <f t="shared" si="595"/>
        <v>0</v>
      </c>
    </row>
    <row r="2355" spans="1:33">
      <c r="A2355" s="20" t="s">
        <v>2240</v>
      </c>
      <c r="B2355" s="156" t="s">
        <v>15417</v>
      </c>
      <c r="C2355" s="21" t="s">
        <v>4798</v>
      </c>
      <c r="D2355" s="109" t="s">
        <v>15415</v>
      </c>
      <c r="E2355" s="109"/>
      <c r="F2355" s="391" t="s">
        <v>15418</v>
      </c>
      <c r="G2355" s="23" t="s">
        <v>14094</v>
      </c>
      <c r="H2355" s="23" t="s">
        <v>13976</v>
      </c>
      <c r="I2355" s="23" t="s">
        <v>18201</v>
      </c>
      <c r="J2355" s="23" t="s">
        <v>14248</v>
      </c>
      <c r="K2355" s="23" t="s">
        <v>13350</v>
      </c>
      <c r="L2355" s="375" t="s">
        <v>45</v>
      </c>
      <c r="M2355" s="351" t="s">
        <v>45</v>
      </c>
      <c r="N2355" s="267">
        <f t="shared" si="596"/>
        <v>0</v>
      </c>
      <c r="O2355" s="268">
        <f t="shared" si="597"/>
        <v>48700</v>
      </c>
      <c r="P2355" s="239"/>
      <c r="Q2355" s="239"/>
      <c r="R2355" s="239"/>
      <c r="S2355" s="239"/>
      <c r="T2355" s="239"/>
      <c r="U2355" s="436"/>
      <c r="V2355" s="436">
        <f>2800+3600+3500+2200+3400+3200+2800+4000-2400+3200+3400+3400+2200-8100+2900+1600+3000-5400+2400-5400+2600+3000-300+3200+3200-8100+2200+2800-5400+3000+3000-5400-5400+2700+1800+2400+3200+2800-5400+3000+3200+2800-8100+3600+3300+1800-8100+3000+3000+3000+2400+3600</f>
        <v>48700</v>
      </c>
      <c r="W2355" s="240"/>
      <c r="X2355" s="278"/>
      <c r="Y2355" s="242"/>
      <c r="Z2355" s="242"/>
      <c r="AA2355" s="279"/>
      <c r="AB2355" s="238" t="s">
        <v>28043</v>
      </c>
      <c r="AC2355" s="196">
        <f t="shared" si="591"/>
        <v>48700</v>
      </c>
      <c r="AD2355" s="196">
        <f t="shared" si="592"/>
        <v>48700</v>
      </c>
      <c r="AE2355" s="196">
        <f t="shared" si="593"/>
        <v>0</v>
      </c>
      <c r="AF2355" s="2">
        <f t="shared" si="594"/>
        <v>48700</v>
      </c>
      <c r="AG2355" s="2">
        <f t="shared" si="595"/>
        <v>0</v>
      </c>
    </row>
    <row r="2356" spans="1:33">
      <c r="A2356" s="20" t="s">
        <v>2241</v>
      </c>
      <c r="B2356" s="150"/>
      <c r="C2356" s="21" t="s">
        <v>15414</v>
      </c>
      <c r="D2356" s="109" t="s">
        <v>15415</v>
      </c>
      <c r="E2356" s="109"/>
      <c r="F2356" s="391" t="s">
        <v>15416</v>
      </c>
      <c r="G2356" s="23" t="s">
        <v>14263</v>
      </c>
      <c r="H2356" s="23" t="s">
        <v>14248</v>
      </c>
      <c r="I2356" s="23"/>
      <c r="J2356" s="23"/>
      <c r="K2356" s="23"/>
      <c r="L2356" s="350"/>
      <c r="M2356" s="351"/>
      <c r="N2356" s="267">
        <f t="shared" si="596"/>
        <v>0</v>
      </c>
      <c r="O2356" s="268">
        <f t="shared" si="597"/>
        <v>0</v>
      </c>
      <c r="P2356" s="239"/>
      <c r="Q2356" s="239"/>
      <c r="R2356" s="239"/>
      <c r="S2356" s="239"/>
      <c r="T2356" s="239"/>
      <c r="U2356" s="240"/>
      <c r="V2356" s="240"/>
      <c r="W2356" s="240"/>
      <c r="X2356" s="278"/>
      <c r="Y2356" s="237"/>
      <c r="Z2356" s="237"/>
      <c r="AA2356" s="279"/>
      <c r="AB2356" s="238"/>
      <c r="AC2356" s="196">
        <f t="shared" si="591"/>
        <v>0</v>
      </c>
      <c r="AD2356" s="196">
        <f t="shared" si="592"/>
        <v>0</v>
      </c>
      <c r="AE2356" s="196">
        <f t="shared" si="593"/>
        <v>0</v>
      </c>
      <c r="AF2356" s="2">
        <f t="shared" si="594"/>
        <v>0</v>
      </c>
      <c r="AG2356" s="2">
        <f t="shared" si="595"/>
        <v>0</v>
      </c>
    </row>
    <row r="2357" spans="1:33">
      <c r="A2357" s="20" t="s">
        <v>2242</v>
      </c>
      <c r="B2357" s="156" t="s">
        <v>15420</v>
      </c>
      <c r="C2357" s="21" t="s">
        <v>404</v>
      </c>
      <c r="D2357" s="109" t="s">
        <v>13228</v>
      </c>
      <c r="E2357" s="109" t="s">
        <v>14060</v>
      </c>
      <c r="F2357" s="391" t="s">
        <v>15421</v>
      </c>
      <c r="G2357" s="23" t="s">
        <v>13986</v>
      </c>
      <c r="H2357" s="23"/>
      <c r="I2357" s="23"/>
      <c r="J2357" s="23"/>
      <c r="K2357" s="23"/>
      <c r="L2357" s="375" t="s">
        <v>45</v>
      </c>
      <c r="M2357" s="351" t="s">
        <v>7787</v>
      </c>
      <c r="N2357" s="267">
        <f t="shared" si="596"/>
        <v>0</v>
      </c>
      <c r="O2357" s="268">
        <f t="shared" si="597"/>
        <v>0</v>
      </c>
      <c r="P2357" s="239"/>
      <c r="Q2357" s="239"/>
      <c r="R2357" s="239"/>
      <c r="S2357" s="239"/>
      <c r="T2357" s="239"/>
      <c r="U2357" s="240"/>
      <c r="V2357" s="240"/>
      <c r="W2357" s="240"/>
      <c r="X2357" s="278"/>
      <c r="Y2357" s="239"/>
      <c r="Z2357" s="237"/>
      <c r="AA2357" s="279"/>
      <c r="AB2357" s="238"/>
      <c r="AC2357" s="196">
        <f t="shared" si="591"/>
        <v>0</v>
      </c>
      <c r="AD2357" s="196">
        <f t="shared" si="592"/>
        <v>0</v>
      </c>
      <c r="AE2357" s="196">
        <f t="shared" si="593"/>
        <v>0</v>
      </c>
      <c r="AF2357" s="2">
        <f t="shared" si="594"/>
        <v>0</v>
      </c>
      <c r="AG2357" s="2">
        <f t="shared" si="595"/>
        <v>0</v>
      </c>
    </row>
    <row r="2358" spans="1:33">
      <c r="A2358" s="20" t="s">
        <v>2243</v>
      </c>
      <c r="B2358" s="150"/>
      <c r="C2358" s="21" t="s">
        <v>404</v>
      </c>
      <c r="D2358" s="109" t="s">
        <v>13228</v>
      </c>
      <c r="E2358" s="109"/>
      <c r="F2358" s="391" t="s">
        <v>15421</v>
      </c>
      <c r="G2358" s="23" t="s">
        <v>13240</v>
      </c>
      <c r="H2358" s="23" t="s">
        <v>14014</v>
      </c>
      <c r="I2358" s="23" t="s">
        <v>22122</v>
      </c>
      <c r="J2358" s="23" t="s">
        <v>25000</v>
      </c>
      <c r="K2358" s="23" t="s">
        <v>26157</v>
      </c>
      <c r="L2358" s="375" t="s">
        <v>45</v>
      </c>
      <c r="M2358" s="351" t="s">
        <v>45</v>
      </c>
      <c r="N2358" s="267">
        <f t="shared" si="596"/>
        <v>0</v>
      </c>
      <c r="O2358" s="268">
        <f t="shared" si="597"/>
        <v>100</v>
      </c>
      <c r="P2358" s="239"/>
      <c r="Q2358" s="239"/>
      <c r="R2358" s="240"/>
      <c r="S2358" s="239"/>
      <c r="T2358" s="239"/>
      <c r="U2358" s="240">
        <f>600-500</f>
        <v>100</v>
      </c>
      <c r="V2358" s="240"/>
      <c r="W2358" s="240"/>
      <c r="X2358" s="278"/>
      <c r="Y2358" s="237"/>
      <c r="Z2358" s="237"/>
      <c r="AA2358" s="279"/>
      <c r="AB2358" s="238" t="s">
        <v>27209</v>
      </c>
      <c r="AC2358" s="196">
        <f t="shared" si="591"/>
        <v>100</v>
      </c>
      <c r="AD2358" s="196">
        <f t="shared" si="592"/>
        <v>100</v>
      </c>
      <c r="AE2358" s="196">
        <f t="shared" si="593"/>
        <v>0</v>
      </c>
      <c r="AF2358" s="2">
        <f t="shared" si="594"/>
        <v>100</v>
      </c>
      <c r="AG2358" s="2">
        <f t="shared" si="595"/>
        <v>0</v>
      </c>
    </row>
    <row r="2359" spans="1:33">
      <c r="A2359" s="20" t="s">
        <v>2244</v>
      </c>
      <c r="B2359" s="150"/>
      <c r="C2359" s="21" t="s">
        <v>405</v>
      </c>
      <c r="D2359" s="109" t="s">
        <v>13228</v>
      </c>
      <c r="E2359" s="109"/>
      <c r="F2359" s="391" t="s">
        <v>15422</v>
      </c>
      <c r="G2359" s="23" t="s">
        <v>15423</v>
      </c>
      <c r="H2359" s="23"/>
      <c r="I2359" s="23"/>
      <c r="J2359" s="23"/>
      <c r="K2359" s="23"/>
      <c r="L2359" s="375" t="s">
        <v>7787</v>
      </c>
      <c r="M2359" s="351"/>
      <c r="N2359" s="267">
        <f t="shared" si="596"/>
        <v>0</v>
      </c>
      <c r="O2359" s="268">
        <f t="shared" si="597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39"/>
      <c r="AB2359" s="238"/>
      <c r="AC2359" s="196">
        <f t="shared" si="591"/>
        <v>0</v>
      </c>
      <c r="AD2359" s="196">
        <f t="shared" si="592"/>
        <v>0</v>
      </c>
      <c r="AE2359" s="196">
        <f t="shared" si="593"/>
        <v>0</v>
      </c>
      <c r="AF2359" s="2">
        <f t="shared" si="594"/>
        <v>0</v>
      </c>
      <c r="AG2359" s="2">
        <f t="shared" si="595"/>
        <v>0</v>
      </c>
    </row>
    <row r="2360" spans="1:33">
      <c r="A2360" s="20" t="s">
        <v>12244</v>
      </c>
      <c r="B2360" s="150"/>
      <c r="C2360" s="21" t="s">
        <v>15424</v>
      </c>
      <c r="D2360" s="109" t="s">
        <v>13228</v>
      </c>
      <c r="E2360" s="109" t="s">
        <v>15425</v>
      </c>
      <c r="F2360" s="391" t="s">
        <v>15422</v>
      </c>
      <c r="G2360" s="23" t="s">
        <v>13986</v>
      </c>
      <c r="H2360" s="23"/>
      <c r="I2360" s="23"/>
      <c r="J2360" s="23"/>
      <c r="K2360" s="23"/>
      <c r="L2360" s="375" t="s">
        <v>7787</v>
      </c>
      <c r="M2360" s="351">
        <v>2600</v>
      </c>
      <c r="N2360" s="267">
        <f t="shared" si="596"/>
        <v>2600</v>
      </c>
      <c r="O2360" s="268">
        <f t="shared" si="597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91"/>
        <v>0</v>
      </c>
      <c r="AD2360" s="196">
        <f t="shared" si="592"/>
        <v>0</v>
      </c>
      <c r="AE2360" s="196">
        <f t="shared" si="593"/>
        <v>0</v>
      </c>
      <c r="AF2360" s="2">
        <f t="shared" si="594"/>
        <v>0</v>
      </c>
      <c r="AG2360" s="2">
        <f t="shared" si="595"/>
        <v>0</v>
      </c>
    </row>
    <row r="2361" spans="1:33">
      <c r="A2361" s="20" t="s">
        <v>12243</v>
      </c>
      <c r="B2361" s="150"/>
      <c r="C2361" s="21" t="s">
        <v>12396</v>
      </c>
      <c r="D2361" s="109" t="s">
        <v>13228</v>
      </c>
      <c r="E2361" s="109" t="s">
        <v>15425</v>
      </c>
      <c r="F2361" s="391" t="s">
        <v>15422</v>
      </c>
      <c r="G2361" s="23" t="s">
        <v>13986</v>
      </c>
      <c r="H2361" s="23"/>
      <c r="I2361" s="23"/>
      <c r="J2361" s="23"/>
      <c r="K2361" s="23"/>
      <c r="L2361" s="375" t="s">
        <v>7787</v>
      </c>
      <c r="M2361" s="351" t="s">
        <v>7787</v>
      </c>
      <c r="N2361" s="267">
        <f t="shared" si="596"/>
        <v>0</v>
      </c>
      <c r="O2361" s="268">
        <f t="shared" si="597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47"/>
      <c r="AB2361" s="238"/>
      <c r="AC2361" s="196">
        <f t="shared" si="591"/>
        <v>0</v>
      </c>
      <c r="AD2361" s="196">
        <f t="shared" si="592"/>
        <v>0</v>
      </c>
      <c r="AE2361" s="196">
        <f t="shared" si="593"/>
        <v>0</v>
      </c>
      <c r="AF2361" s="2">
        <f t="shared" si="594"/>
        <v>0</v>
      </c>
      <c r="AG2361" s="2">
        <f t="shared" si="595"/>
        <v>0</v>
      </c>
    </row>
    <row r="2362" spans="1:33">
      <c r="A2362" s="20" t="s">
        <v>13110</v>
      </c>
      <c r="B2362" s="150"/>
      <c r="C2362" s="21" t="s">
        <v>17179</v>
      </c>
      <c r="D2362" s="109" t="s">
        <v>3101</v>
      </c>
      <c r="E2362" s="109" t="s">
        <v>5724</v>
      </c>
      <c r="F2362" s="391" t="s">
        <v>4802</v>
      </c>
      <c r="G2362" s="23" t="s">
        <v>13581</v>
      </c>
      <c r="H2362" s="23"/>
      <c r="I2362" s="23"/>
      <c r="J2362" s="23"/>
      <c r="K2362" s="23"/>
      <c r="L2362" s="375" t="s">
        <v>7787</v>
      </c>
      <c r="M2362" s="351" t="s">
        <v>7787</v>
      </c>
      <c r="N2362" s="267">
        <f t="shared" si="596"/>
        <v>0</v>
      </c>
      <c r="O2362" s="268">
        <f t="shared" si="597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47"/>
      <c r="AB2362" s="238"/>
      <c r="AC2362" s="196">
        <f t="shared" si="591"/>
        <v>0</v>
      </c>
      <c r="AD2362" s="196">
        <f t="shared" si="592"/>
        <v>0</v>
      </c>
      <c r="AE2362" s="196">
        <f t="shared" si="593"/>
        <v>0</v>
      </c>
      <c r="AF2362" s="2">
        <f t="shared" si="594"/>
        <v>0</v>
      </c>
      <c r="AG2362" s="2">
        <f t="shared" si="595"/>
        <v>0</v>
      </c>
    </row>
    <row r="2363" spans="1:33">
      <c r="A2363" s="20" t="s">
        <v>2245</v>
      </c>
      <c r="B2363" s="161"/>
      <c r="C2363" s="21" t="s">
        <v>405</v>
      </c>
      <c r="D2363" s="109" t="s">
        <v>13232</v>
      </c>
      <c r="E2363" s="109"/>
      <c r="F2363" s="391" t="s">
        <v>15422</v>
      </c>
      <c r="G2363" s="23" t="s">
        <v>13986</v>
      </c>
      <c r="H2363" s="23"/>
      <c r="I2363" s="23"/>
      <c r="J2363" s="23"/>
      <c r="K2363" s="23"/>
      <c r="L2363" s="350"/>
      <c r="M2363" s="362"/>
      <c r="N2363" s="267">
        <f t="shared" si="596"/>
        <v>0</v>
      </c>
      <c r="O2363" s="268">
        <f t="shared" si="597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91"/>
        <v>0</v>
      </c>
      <c r="AD2363" s="196">
        <f t="shared" si="592"/>
        <v>0</v>
      </c>
      <c r="AE2363" s="196">
        <f t="shared" si="593"/>
        <v>0</v>
      </c>
      <c r="AF2363" s="2">
        <f t="shared" si="594"/>
        <v>0</v>
      </c>
      <c r="AG2363" s="2">
        <f t="shared" si="595"/>
        <v>0</v>
      </c>
    </row>
    <row r="2364" spans="1:33">
      <c r="A2364" s="20" t="s">
        <v>2246</v>
      </c>
      <c r="B2364" s="150"/>
      <c r="C2364" s="21" t="s">
        <v>406</v>
      </c>
      <c r="D2364" s="109" t="s">
        <v>13228</v>
      </c>
      <c r="E2364" s="109"/>
      <c r="F2364" s="391" t="s">
        <v>15426</v>
      </c>
      <c r="G2364" s="23" t="s">
        <v>14002</v>
      </c>
      <c r="H2364" s="23"/>
      <c r="I2364" s="23"/>
      <c r="J2364" s="23"/>
      <c r="K2364" s="23"/>
      <c r="L2364" s="350"/>
      <c r="M2364" s="351"/>
      <c r="N2364" s="267">
        <f t="shared" si="596"/>
        <v>0</v>
      </c>
      <c r="O2364" s="268">
        <f t="shared" si="597"/>
        <v>0</v>
      </c>
      <c r="P2364" s="239"/>
      <c r="Q2364" s="239"/>
      <c r="R2364" s="239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91"/>
        <v>0</v>
      </c>
      <c r="AD2364" s="196">
        <f t="shared" si="592"/>
        <v>0</v>
      </c>
      <c r="AE2364" s="196">
        <f t="shared" si="593"/>
        <v>0</v>
      </c>
      <c r="AF2364" s="2">
        <f t="shared" si="594"/>
        <v>0</v>
      </c>
      <c r="AG2364" s="2">
        <f t="shared" si="595"/>
        <v>0</v>
      </c>
    </row>
    <row r="2365" spans="1:33">
      <c r="A2365" s="20" t="s">
        <v>2247</v>
      </c>
      <c r="B2365" s="161"/>
      <c r="C2365" s="21" t="s">
        <v>407</v>
      </c>
      <c r="D2365" s="109" t="s">
        <v>13228</v>
      </c>
      <c r="E2365" s="109"/>
      <c r="F2365" s="391" t="s">
        <v>15427</v>
      </c>
      <c r="G2365" s="23"/>
      <c r="H2365" s="23"/>
      <c r="I2365" s="23"/>
      <c r="J2365" s="23"/>
      <c r="K2365" s="23"/>
      <c r="L2365" s="350"/>
      <c r="M2365" s="351"/>
      <c r="N2365" s="267">
        <f t="shared" si="596"/>
        <v>0</v>
      </c>
      <c r="O2365" s="268">
        <f t="shared" si="597"/>
        <v>0</v>
      </c>
      <c r="P2365" s="239"/>
      <c r="Q2365" s="239"/>
      <c r="R2365" s="239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91"/>
        <v>0</v>
      </c>
      <c r="AD2365" s="196">
        <f t="shared" si="592"/>
        <v>0</v>
      </c>
      <c r="AE2365" s="196">
        <f t="shared" si="593"/>
        <v>0</v>
      </c>
      <c r="AF2365" s="2">
        <f t="shared" si="594"/>
        <v>0</v>
      </c>
      <c r="AG2365" s="2">
        <f t="shared" si="595"/>
        <v>0</v>
      </c>
    </row>
    <row r="2366" spans="1:33">
      <c r="A2366" s="20" t="s">
        <v>2247</v>
      </c>
      <c r="B2366" s="161"/>
      <c r="C2366" s="21" t="s">
        <v>407</v>
      </c>
      <c r="D2366" s="109" t="s">
        <v>15428</v>
      </c>
      <c r="E2366" s="109"/>
      <c r="F2366" s="391" t="s">
        <v>15427</v>
      </c>
      <c r="G2366" s="23" t="s">
        <v>15429</v>
      </c>
      <c r="H2366" s="23"/>
      <c r="I2366" s="23"/>
      <c r="J2366" s="23"/>
      <c r="K2366" s="23"/>
      <c r="L2366" s="375" t="s">
        <v>7787</v>
      </c>
      <c r="M2366" s="351"/>
      <c r="N2366" s="267">
        <f t="shared" si="596"/>
        <v>0</v>
      </c>
      <c r="O2366" s="268">
        <f t="shared" si="597"/>
        <v>0</v>
      </c>
      <c r="P2366" s="239"/>
      <c r="Q2366" s="239"/>
      <c r="R2366" s="241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91"/>
        <v>0</v>
      </c>
      <c r="AD2366" s="196">
        <f t="shared" si="592"/>
        <v>0</v>
      </c>
      <c r="AE2366" s="196">
        <f t="shared" si="593"/>
        <v>0</v>
      </c>
      <c r="AF2366" s="2">
        <f t="shared" si="594"/>
        <v>0</v>
      </c>
      <c r="AG2366" s="2">
        <f t="shared" si="595"/>
        <v>0</v>
      </c>
    </row>
    <row r="2367" spans="1:33">
      <c r="A2367" s="20" t="s">
        <v>2248</v>
      </c>
      <c r="B2367" s="150"/>
      <c r="C2367" s="21" t="s">
        <v>408</v>
      </c>
      <c r="D2367" s="109" t="s">
        <v>13239</v>
      </c>
      <c r="E2367" s="109"/>
      <c r="F2367" s="391" t="s">
        <v>15430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6"/>
        <v>0</v>
      </c>
      <c r="O2367" s="268">
        <f t="shared" si="597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91"/>
        <v>0</v>
      </c>
      <c r="AD2367" s="196">
        <f t="shared" si="592"/>
        <v>0</v>
      </c>
      <c r="AE2367" s="196">
        <f t="shared" si="593"/>
        <v>0</v>
      </c>
      <c r="AF2367" s="2">
        <f t="shared" si="594"/>
        <v>0</v>
      </c>
      <c r="AG2367" s="2">
        <f t="shared" si="595"/>
        <v>0</v>
      </c>
    </row>
    <row r="2368" spans="1:33">
      <c r="A2368" s="20" t="s">
        <v>2251</v>
      </c>
      <c r="B2368" s="150"/>
      <c r="C2368" s="21" t="s">
        <v>409</v>
      </c>
      <c r="D2368" s="109" t="s">
        <v>13239</v>
      </c>
      <c r="E2368" s="109"/>
      <c r="F2368" s="391" t="s">
        <v>15431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6"/>
        <v>0</v>
      </c>
      <c r="O2368" s="268">
        <f t="shared" si="597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91"/>
        <v>0</v>
      </c>
      <c r="AD2368" s="196">
        <f t="shared" si="592"/>
        <v>0</v>
      </c>
      <c r="AE2368" s="196">
        <f t="shared" si="593"/>
        <v>0</v>
      </c>
      <c r="AF2368" s="2">
        <f t="shared" si="594"/>
        <v>0</v>
      </c>
      <c r="AG2368" s="2">
        <f t="shared" si="595"/>
        <v>0</v>
      </c>
    </row>
    <row r="2369" spans="1:33">
      <c r="A2369" s="20" t="s">
        <v>2249</v>
      </c>
      <c r="B2369" s="150"/>
      <c r="C2369" s="21" t="s">
        <v>15432</v>
      </c>
      <c r="D2369" s="109" t="s">
        <v>13239</v>
      </c>
      <c r="E2369" s="109"/>
      <c r="F2369" s="391" t="s">
        <v>15433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6"/>
        <v>0</v>
      </c>
      <c r="O2369" s="268">
        <f t="shared" si="597"/>
        <v>0</v>
      </c>
      <c r="P2369" s="239"/>
      <c r="Q2369" s="239"/>
      <c r="R2369" s="239"/>
      <c r="S2369" s="239"/>
      <c r="T2369" s="239"/>
      <c r="U2369" s="240"/>
      <c r="V2369" s="240"/>
      <c r="W2369" s="240"/>
      <c r="X2369" s="278"/>
      <c r="Y2369" s="237"/>
      <c r="Z2369" s="237"/>
      <c r="AA2369" s="279"/>
      <c r="AB2369" s="238"/>
      <c r="AC2369" s="196">
        <f t="shared" si="591"/>
        <v>0</v>
      </c>
      <c r="AD2369" s="196">
        <f t="shared" si="592"/>
        <v>0</v>
      </c>
      <c r="AE2369" s="196">
        <f t="shared" si="593"/>
        <v>0</v>
      </c>
      <c r="AF2369" s="2">
        <f t="shared" si="594"/>
        <v>0</v>
      </c>
      <c r="AG2369" s="2">
        <f t="shared" si="595"/>
        <v>0</v>
      </c>
    </row>
    <row r="2370" spans="1:33">
      <c r="A2370" s="20" t="s">
        <v>2250</v>
      </c>
      <c r="B2370" s="150"/>
      <c r="C2370" s="21" t="s">
        <v>4807</v>
      </c>
      <c r="D2370" s="109" t="s">
        <v>13239</v>
      </c>
      <c r="E2370" s="109"/>
      <c r="F2370" s="391" t="s">
        <v>15433</v>
      </c>
      <c r="G2370" s="23" t="s">
        <v>14235</v>
      </c>
      <c r="H2370" s="23"/>
      <c r="I2370" s="23"/>
      <c r="J2370" s="23"/>
      <c r="K2370" s="23"/>
      <c r="L2370" s="350"/>
      <c r="M2370" s="351"/>
      <c r="N2370" s="267">
        <f t="shared" si="596"/>
        <v>0</v>
      </c>
      <c r="O2370" s="268">
        <f t="shared" si="597"/>
        <v>0</v>
      </c>
      <c r="P2370" s="239"/>
      <c r="Q2370" s="239"/>
      <c r="R2370" s="239"/>
      <c r="S2370" s="239"/>
      <c r="T2370" s="239"/>
      <c r="U2370" s="240"/>
      <c r="V2370" s="240"/>
      <c r="W2370" s="240"/>
      <c r="X2370" s="278"/>
      <c r="Y2370" s="237"/>
      <c r="Z2370" s="237"/>
      <c r="AA2370" s="279"/>
      <c r="AB2370" s="238"/>
      <c r="AC2370" s="196">
        <f t="shared" si="591"/>
        <v>0</v>
      </c>
      <c r="AD2370" s="196">
        <f t="shared" si="592"/>
        <v>0</v>
      </c>
      <c r="AE2370" s="196">
        <f t="shared" si="593"/>
        <v>0</v>
      </c>
      <c r="AF2370" s="2">
        <f t="shared" si="594"/>
        <v>0</v>
      </c>
      <c r="AG2370" s="2">
        <f t="shared" si="595"/>
        <v>0</v>
      </c>
    </row>
    <row r="2371" spans="1:33">
      <c r="A2371" s="20" t="s">
        <v>2252</v>
      </c>
      <c r="B2371" s="156"/>
      <c r="C2371" s="21" t="s">
        <v>15434</v>
      </c>
      <c r="D2371" s="109" t="s">
        <v>13239</v>
      </c>
      <c r="E2371" s="109"/>
      <c r="F2371" s="391" t="s">
        <v>15435</v>
      </c>
      <c r="G2371" s="23" t="s">
        <v>14235</v>
      </c>
      <c r="H2371" s="23"/>
      <c r="I2371" s="23"/>
      <c r="J2371" s="23"/>
      <c r="K2371" s="23"/>
      <c r="L2371" s="350"/>
      <c r="M2371" s="351"/>
      <c r="N2371" s="267">
        <f t="shared" si="596"/>
        <v>0</v>
      </c>
      <c r="O2371" s="268">
        <f t="shared" si="597"/>
        <v>0</v>
      </c>
      <c r="P2371" s="239"/>
      <c r="Q2371" s="239"/>
      <c r="R2371" s="239"/>
      <c r="S2371" s="239"/>
      <c r="T2371" s="239"/>
      <c r="U2371" s="240">
        <v>0</v>
      </c>
      <c r="V2371" s="240"/>
      <c r="W2371" s="240"/>
      <c r="X2371" s="278"/>
      <c r="Y2371" s="237"/>
      <c r="Z2371" s="237"/>
      <c r="AA2371" s="279"/>
      <c r="AB2371" s="238"/>
      <c r="AC2371" s="196">
        <f t="shared" si="591"/>
        <v>0</v>
      </c>
      <c r="AD2371" s="196">
        <f t="shared" si="592"/>
        <v>0</v>
      </c>
      <c r="AE2371" s="196">
        <f t="shared" si="593"/>
        <v>0</v>
      </c>
      <c r="AF2371" s="2">
        <f t="shared" si="594"/>
        <v>0</v>
      </c>
      <c r="AG2371" s="2">
        <f t="shared" si="595"/>
        <v>0</v>
      </c>
    </row>
    <row r="2372" spans="1:33">
      <c r="A2372" s="20" t="s">
        <v>2253</v>
      </c>
      <c r="B2372" s="151"/>
      <c r="C2372" s="21" t="s">
        <v>4811</v>
      </c>
      <c r="D2372" s="109" t="s">
        <v>13239</v>
      </c>
      <c r="E2372" s="109"/>
      <c r="F2372" s="391" t="s">
        <v>15436</v>
      </c>
      <c r="G2372" s="23" t="s">
        <v>14235</v>
      </c>
      <c r="H2372" s="23"/>
      <c r="I2372" s="23"/>
      <c r="J2372" s="23"/>
      <c r="K2372" s="23"/>
      <c r="L2372" s="375" t="s">
        <v>7787</v>
      </c>
      <c r="M2372" s="351" t="s">
        <v>7787</v>
      </c>
      <c r="N2372" s="267">
        <f t="shared" si="596"/>
        <v>0</v>
      </c>
      <c r="O2372" s="268">
        <f t="shared" si="597"/>
        <v>0</v>
      </c>
      <c r="P2372" s="239"/>
      <c r="Q2372" s="239"/>
      <c r="R2372" s="239"/>
      <c r="S2372" s="239"/>
      <c r="T2372" s="239"/>
      <c r="U2372" s="240"/>
      <c r="V2372" s="240"/>
      <c r="W2372" s="240"/>
      <c r="X2372" s="278"/>
      <c r="Y2372" s="237"/>
      <c r="Z2372" s="237"/>
      <c r="AA2372" s="279"/>
      <c r="AB2372" s="238"/>
      <c r="AC2372" s="196">
        <f t="shared" si="591"/>
        <v>0</v>
      </c>
      <c r="AD2372" s="196">
        <f t="shared" si="592"/>
        <v>0</v>
      </c>
      <c r="AE2372" s="196">
        <f t="shared" si="593"/>
        <v>0</v>
      </c>
      <c r="AF2372" s="2">
        <f t="shared" si="594"/>
        <v>0</v>
      </c>
      <c r="AG2372" s="2">
        <f t="shared" si="595"/>
        <v>0</v>
      </c>
    </row>
    <row r="2373" spans="1:33">
      <c r="A2373" s="20" t="s">
        <v>2254</v>
      </c>
      <c r="B2373" s="151"/>
      <c r="C2373" s="21" t="s">
        <v>4812</v>
      </c>
      <c r="D2373" s="109" t="s">
        <v>13239</v>
      </c>
      <c r="E2373" s="109"/>
      <c r="F2373" s="391" t="s">
        <v>15436</v>
      </c>
      <c r="G2373" s="23" t="s">
        <v>14235</v>
      </c>
      <c r="H2373" s="23"/>
      <c r="I2373" s="23"/>
      <c r="J2373" s="23"/>
      <c r="K2373" s="23"/>
      <c r="L2373" s="350"/>
      <c r="M2373" s="351"/>
      <c r="N2373" s="267">
        <f t="shared" si="596"/>
        <v>0</v>
      </c>
      <c r="O2373" s="268">
        <f t="shared" si="597"/>
        <v>0</v>
      </c>
      <c r="P2373" s="239"/>
      <c r="Q2373" s="239"/>
      <c r="R2373" s="239"/>
      <c r="S2373" s="239"/>
      <c r="T2373" s="239"/>
      <c r="U2373" s="240"/>
      <c r="V2373" s="240"/>
      <c r="W2373" s="240"/>
      <c r="X2373" s="278"/>
      <c r="Y2373" s="237"/>
      <c r="Z2373" s="237"/>
      <c r="AA2373" s="279"/>
      <c r="AB2373" s="238"/>
      <c r="AC2373" s="196">
        <f t="shared" si="591"/>
        <v>0</v>
      </c>
      <c r="AD2373" s="196">
        <f t="shared" si="592"/>
        <v>0</v>
      </c>
      <c r="AE2373" s="196">
        <f t="shared" si="593"/>
        <v>0</v>
      </c>
      <c r="AF2373" s="2">
        <f t="shared" si="594"/>
        <v>0</v>
      </c>
      <c r="AG2373" s="2">
        <f t="shared" si="595"/>
        <v>0</v>
      </c>
    </row>
    <row r="2374" spans="1:33">
      <c r="A2374" s="20" t="s">
        <v>2255</v>
      </c>
      <c r="B2374" s="150"/>
      <c r="C2374" s="21" t="s">
        <v>15437</v>
      </c>
      <c r="D2374" s="109" t="s">
        <v>13239</v>
      </c>
      <c r="E2374" s="109"/>
      <c r="F2374" s="391" t="s">
        <v>15438</v>
      </c>
      <c r="G2374" s="23" t="s">
        <v>14235</v>
      </c>
      <c r="H2374" s="23"/>
      <c r="I2374" s="23"/>
      <c r="J2374" s="23"/>
      <c r="K2374" s="23"/>
      <c r="L2374" s="375"/>
      <c r="M2374" s="351" t="s">
        <v>7787</v>
      </c>
      <c r="N2374" s="267">
        <f t="shared" si="596"/>
        <v>0</v>
      </c>
      <c r="O2374" s="268">
        <f t="shared" si="597"/>
        <v>0</v>
      </c>
      <c r="P2374" s="239">
        <v>0</v>
      </c>
      <c r="Q2374" s="239"/>
      <c r="R2374" s="239"/>
      <c r="S2374" s="239"/>
      <c r="T2374" s="239"/>
      <c r="U2374" s="240"/>
      <c r="V2374" s="240"/>
      <c r="W2374" s="240"/>
      <c r="X2374" s="278">
        <v>0</v>
      </c>
      <c r="Y2374" s="237"/>
      <c r="Z2374" s="237"/>
      <c r="AA2374" s="279"/>
      <c r="AB2374" s="238"/>
      <c r="AC2374" s="196">
        <f t="shared" si="591"/>
        <v>0</v>
      </c>
      <c r="AD2374" s="196">
        <f t="shared" si="592"/>
        <v>0</v>
      </c>
      <c r="AE2374" s="196">
        <f t="shared" si="593"/>
        <v>0</v>
      </c>
      <c r="AF2374" s="2">
        <f t="shared" si="594"/>
        <v>0</v>
      </c>
      <c r="AG2374" s="2">
        <f t="shared" si="595"/>
        <v>0</v>
      </c>
    </row>
    <row r="2375" spans="1:33">
      <c r="A2375" s="20" t="s">
        <v>2257</v>
      </c>
      <c r="B2375" s="151"/>
      <c r="C2375" s="21" t="s">
        <v>15437</v>
      </c>
      <c r="D2375" s="109" t="s">
        <v>13239</v>
      </c>
      <c r="E2375" s="109"/>
      <c r="F2375" s="391" t="s">
        <v>15439</v>
      </c>
      <c r="G2375" s="23" t="s">
        <v>14197</v>
      </c>
      <c r="H2375" s="23"/>
      <c r="I2375" s="23"/>
      <c r="J2375" s="23"/>
      <c r="K2375" s="23"/>
      <c r="L2375" s="375"/>
      <c r="M2375" s="351" t="s">
        <v>7787</v>
      </c>
      <c r="N2375" s="267">
        <f t="shared" si="596"/>
        <v>0</v>
      </c>
      <c r="O2375" s="268">
        <f t="shared" si="597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/>
      <c r="Y2375" s="237"/>
      <c r="Z2375" s="237"/>
      <c r="AA2375" s="279"/>
      <c r="AB2375" s="238"/>
      <c r="AC2375" s="196">
        <f t="shared" si="591"/>
        <v>0</v>
      </c>
      <c r="AD2375" s="196">
        <f t="shared" si="592"/>
        <v>0</v>
      </c>
      <c r="AE2375" s="196">
        <f t="shared" si="593"/>
        <v>0</v>
      </c>
      <c r="AF2375" s="2">
        <f t="shared" si="594"/>
        <v>0</v>
      </c>
      <c r="AG2375" s="2">
        <f t="shared" si="595"/>
        <v>0</v>
      </c>
    </row>
    <row r="2376" spans="1:33">
      <c r="A2376" s="20" t="s">
        <v>2256</v>
      </c>
      <c r="B2376" s="150"/>
      <c r="C2376" s="21" t="s">
        <v>4816</v>
      </c>
      <c r="D2376" s="109" t="s">
        <v>13239</v>
      </c>
      <c r="E2376" s="109"/>
      <c r="F2376" s="391" t="s">
        <v>15438</v>
      </c>
      <c r="G2376" s="23" t="s">
        <v>14235</v>
      </c>
      <c r="H2376" s="23"/>
      <c r="I2376" s="23"/>
      <c r="J2376" s="23"/>
      <c r="K2376" s="23"/>
      <c r="L2376" s="375" t="s">
        <v>7787</v>
      </c>
      <c r="M2376" s="351"/>
      <c r="N2376" s="267">
        <f t="shared" si="596"/>
        <v>0</v>
      </c>
      <c r="O2376" s="268">
        <f t="shared" si="597"/>
        <v>0</v>
      </c>
      <c r="P2376" s="239"/>
      <c r="Q2376" s="239"/>
      <c r="R2376" s="239"/>
      <c r="S2376" s="239"/>
      <c r="T2376" s="239"/>
      <c r="U2376" s="240"/>
      <c r="V2376" s="240"/>
      <c r="W2376" s="240"/>
      <c r="X2376" s="278">
        <v>0</v>
      </c>
      <c r="Y2376" s="237"/>
      <c r="Z2376" s="237"/>
      <c r="AA2376" s="279"/>
      <c r="AB2376" s="238"/>
      <c r="AC2376" s="196">
        <f t="shared" si="591"/>
        <v>0</v>
      </c>
      <c r="AD2376" s="196">
        <f t="shared" si="592"/>
        <v>0</v>
      </c>
      <c r="AE2376" s="196">
        <f t="shared" si="593"/>
        <v>0</v>
      </c>
      <c r="AF2376" s="2">
        <f t="shared" si="594"/>
        <v>0</v>
      </c>
      <c r="AG2376" s="2">
        <f t="shared" si="595"/>
        <v>0</v>
      </c>
    </row>
    <row r="2377" spans="1:33">
      <c r="A2377" s="20" t="s">
        <v>2258</v>
      </c>
      <c r="B2377" s="151"/>
      <c r="C2377" s="21" t="s">
        <v>15440</v>
      </c>
      <c r="D2377" s="109" t="s">
        <v>4062</v>
      </c>
      <c r="E2377" s="109"/>
      <c r="F2377" s="391" t="s">
        <v>4817</v>
      </c>
      <c r="G2377" s="23" t="s">
        <v>5563</v>
      </c>
      <c r="H2377" s="23"/>
      <c r="I2377" s="23"/>
      <c r="J2377" s="23"/>
      <c r="K2377" s="23"/>
      <c r="L2377" s="375" t="s">
        <v>7787</v>
      </c>
      <c r="M2377" s="351" t="s">
        <v>7787</v>
      </c>
      <c r="N2377" s="267">
        <f t="shared" si="596"/>
        <v>0</v>
      </c>
      <c r="O2377" s="268">
        <f t="shared" si="597"/>
        <v>0</v>
      </c>
      <c r="P2377" s="239"/>
      <c r="Q2377" s="239"/>
      <c r="R2377" s="239"/>
      <c r="S2377" s="239"/>
      <c r="T2377" s="239"/>
      <c r="U2377" s="240"/>
      <c r="V2377" s="240"/>
      <c r="W2377" s="240"/>
      <c r="X2377" s="278"/>
      <c r="Y2377" s="237"/>
      <c r="Z2377" s="237"/>
      <c r="AA2377" s="279"/>
      <c r="AB2377" s="238"/>
      <c r="AC2377" s="196">
        <f t="shared" si="591"/>
        <v>0</v>
      </c>
      <c r="AD2377" s="196">
        <f t="shared" si="592"/>
        <v>0</v>
      </c>
      <c r="AE2377" s="196">
        <f t="shared" si="593"/>
        <v>0</v>
      </c>
      <c r="AF2377" s="2">
        <f t="shared" si="594"/>
        <v>0</v>
      </c>
      <c r="AG2377" s="2">
        <f t="shared" si="595"/>
        <v>0</v>
      </c>
    </row>
    <row r="2378" spans="1:33">
      <c r="A2378" s="20" t="s">
        <v>2259</v>
      </c>
      <c r="B2378" s="150"/>
      <c r="C2378" s="21" t="s">
        <v>15441</v>
      </c>
      <c r="D2378" s="109" t="s">
        <v>4062</v>
      </c>
      <c r="E2378" s="109"/>
      <c r="F2378" s="391" t="s">
        <v>15442</v>
      </c>
      <c r="G2378" s="23" t="s">
        <v>15443</v>
      </c>
      <c r="H2378" s="23"/>
      <c r="I2378" s="23"/>
      <c r="J2378" s="23"/>
      <c r="K2378" s="23"/>
      <c r="L2378" s="375" t="s">
        <v>27799</v>
      </c>
      <c r="M2378" s="351" t="s">
        <v>45</v>
      </c>
      <c r="N2378" s="267">
        <f t="shared" si="596"/>
        <v>0</v>
      </c>
      <c r="O2378" s="268">
        <f t="shared" si="597"/>
        <v>300</v>
      </c>
      <c r="P2378" s="239"/>
      <c r="Q2378" s="239"/>
      <c r="R2378" s="239"/>
      <c r="S2378" s="239"/>
      <c r="T2378" s="239"/>
      <c r="U2378" s="240"/>
      <c r="V2378" s="240">
        <f>4500-3600+3800-3600+2300-3000+3900-2900+1300+200+1000-3600</f>
        <v>300</v>
      </c>
      <c r="W2378" s="240"/>
      <c r="X2378" s="278"/>
      <c r="Y2378" s="240"/>
      <c r="Z2378" s="237"/>
      <c r="AA2378" s="240"/>
      <c r="AB2378" s="238" t="s">
        <v>27718</v>
      </c>
      <c r="AC2378" s="196">
        <f t="shared" si="591"/>
        <v>300</v>
      </c>
      <c r="AD2378" s="196">
        <f t="shared" si="592"/>
        <v>300</v>
      </c>
      <c r="AE2378" s="196">
        <f t="shared" si="593"/>
        <v>0</v>
      </c>
      <c r="AF2378" s="2">
        <f t="shared" si="594"/>
        <v>300</v>
      </c>
      <c r="AG2378" s="2">
        <f t="shared" si="595"/>
        <v>0</v>
      </c>
    </row>
    <row r="2379" spans="1:33">
      <c r="A2379" s="20" t="s">
        <v>2260</v>
      </c>
      <c r="B2379" s="150"/>
      <c r="C2379" s="21" t="s">
        <v>15441</v>
      </c>
      <c r="D2379" s="109" t="s">
        <v>13239</v>
      </c>
      <c r="E2379" s="109"/>
      <c r="F2379" s="391" t="s">
        <v>15444</v>
      </c>
      <c r="G2379" s="23" t="s">
        <v>14197</v>
      </c>
      <c r="H2379" s="23"/>
      <c r="I2379" s="23"/>
      <c r="J2379" s="23"/>
      <c r="K2379" s="23"/>
      <c r="L2379" s="375"/>
      <c r="M2379" s="351" t="s">
        <v>7787</v>
      </c>
      <c r="N2379" s="267">
        <f t="shared" si="596"/>
        <v>0</v>
      </c>
      <c r="O2379" s="268">
        <f t="shared" si="597"/>
        <v>0</v>
      </c>
      <c r="P2379" s="239"/>
      <c r="Q2379" s="239"/>
      <c r="R2379" s="239"/>
      <c r="S2379" s="239"/>
      <c r="T2379" s="239"/>
      <c r="U2379" s="240"/>
      <c r="V2379" s="240"/>
      <c r="W2379" s="240"/>
      <c r="X2379" s="278"/>
      <c r="Y2379" s="239"/>
      <c r="Z2379" s="237"/>
      <c r="AA2379" s="239"/>
      <c r="AB2379" s="238"/>
      <c r="AC2379" s="196">
        <f t="shared" si="591"/>
        <v>0</v>
      </c>
      <c r="AD2379" s="196">
        <f t="shared" si="592"/>
        <v>0</v>
      </c>
      <c r="AE2379" s="196">
        <f t="shared" si="593"/>
        <v>0</v>
      </c>
      <c r="AF2379" s="2">
        <f t="shared" si="594"/>
        <v>0</v>
      </c>
      <c r="AG2379" s="2">
        <f t="shared" si="595"/>
        <v>0</v>
      </c>
    </row>
    <row r="2380" spans="1:33">
      <c r="A2380" s="20" t="s">
        <v>21439</v>
      </c>
      <c r="B2380" s="150"/>
      <c r="C2380" s="21" t="s">
        <v>5570</v>
      </c>
      <c r="D2380" s="109" t="s">
        <v>3097</v>
      </c>
      <c r="E2380" s="109" t="s">
        <v>21308</v>
      </c>
      <c r="F2380" s="391" t="s">
        <v>4819</v>
      </c>
      <c r="G2380" s="23" t="s">
        <v>21309</v>
      </c>
      <c r="H2380" s="23"/>
      <c r="I2380" s="23"/>
      <c r="J2380" s="23"/>
      <c r="K2380" s="23"/>
      <c r="L2380" s="375" t="s">
        <v>7787</v>
      </c>
      <c r="M2380" s="351" t="s">
        <v>7787</v>
      </c>
      <c r="N2380" s="267">
        <f t="shared" si="596"/>
        <v>0</v>
      </c>
      <c r="O2380" s="268">
        <f t="shared" si="597"/>
        <v>0</v>
      </c>
      <c r="P2380" s="239"/>
      <c r="Q2380" s="239"/>
      <c r="R2380" s="239"/>
      <c r="S2380" s="239"/>
      <c r="T2380" s="239"/>
      <c r="U2380" s="240"/>
      <c r="V2380" s="240"/>
      <c r="W2380" s="240"/>
      <c r="X2380" s="278"/>
      <c r="Y2380" s="239"/>
      <c r="Z2380" s="237"/>
      <c r="AA2380" s="247"/>
      <c r="AB2380" s="238"/>
      <c r="AC2380" s="196">
        <f t="shared" si="591"/>
        <v>0</v>
      </c>
      <c r="AD2380" s="196">
        <f t="shared" si="592"/>
        <v>0</v>
      </c>
      <c r="AE2380" s="196">
        <f t="shared" si="593"/>
        <v>0</v>
      </c>
      <c r="AF2380" s="2">
        <f t="shared" si="594"/>
        <v>0</v>
      </c>
      <c r="AG2380" s="2">
        <f t="shared" si="595"/>
        <v>0</v>
      </c>
    </row>
    <row r="2381" spans="1:33">
      <c r="A2381" s="20" t="s">
        <v>6842</v>
      </c>
      <c r="B2381" s="150"/>
      <c r="C2381" s="21" t="s">
        <v>15441</v>
      </c>
      <c r="D2381" s="109" t="s">
        <v>14233</v>
      </c>
      <c r="E2381" s="109" t="s">
        <v>13210</v>
      </c>
      <c r="F2381" s="391" t="s">
        <v>15445</v>
      </c>
      <c r="G2381" s="23" t="s">
        <v>14235</v>
      </c>
      <c r="H2381" s="23"/>
      <c r="I2381" s="23"/>
      <c r="J2381" s="23"/>
      <c r="K2381" s="23"/>
      <c r="L2381" s="350"/>
      <c r="M2381" s="351"/>
      <c r="N2381" s="267">
        <f t="shared" si="596"/>
        <v>0</v>
      </c>
      <c r="O2381" s="268">
        <f t="shared" si="597"/>
        <v>0</v>
      </c>
      <c r="P2381" s="239"/>
      <c r="Q2381" s="239"/>
      <c r="R2381" s="239"/>
      <c r="S2381" s="239"/>
      <c r="T2381" s="239"/>
      <c r="U2381" s="240"/>
      <c r="W2381" s="240"/>
      <c r="X2381" s="278"/>
      <c r="Y2381" s="241"/>
      <c r="Z2381" s="237"/>
      <c r="AA2381" s="279"/>
      <c r="AB2381" s="238"/>
      <c r="AC2381" s="196">
        <f t="shared" si="591"/>
        <v>0</v>
      </c>
      <c r="AD2381" s="196">
        <f t="shared" si="592"/>
        <v>0</v>
      </c>
      <c r="AE2381" s="196">
        <f t="shared" si="593"/>
        <v>0</v>
      </c>
      <c r="AF2381" s="2">
        <f t="shared" si="594"/>
        <v>0</v>
      </c>
      <c r="AG2381" s="2">
        <f t="shared" si="595"/>
        <v>0</v>
      </c>
    </row>
    <row r="2382" spans="1:33">
      <c r="A2382" s="20" t="s">
        <v>2263</v>
      </c>
      <c r="B2382" s="150"/>
      <c r="C2382" s="21" t="s">
        <v>15446</v>
      </c>
      <c r="D2382" s="109" t="s">
        <v>14233</v>
      </c>
      <c r="E2382" s="109" t="s">
        <v>13210</v>
      </c>
      <c r="F2382" s="391" t="s">
        <v>15445</v>
      </c>
      <c r="G2382" s="23" t="s">
        <v>14235</v>
      </c>
      <c r="H2382" s="23"/>
      <c r="I2382" s="23"/>
      <c r="J2382" s="23"/>
      <c r="K2382" s="23"/>
      <c r="L2382" s="350"/>
      <c r="M2382" s="351"/>
      <c r="N2382" s="267">
        <f t="shared" si="596"/>
        <v>0</v>
      </c>
      <c r="O2382" s="268">
        <f t="shared" si="597"/>
        <v>0</v>
      </c>
      <c r="P2382" s="239"/>
      <c r="Q2382" s="239"/>
      <c r="R2382" s="239"/>
      <c r="S2382" s="239"/>
      <c r="T2382" s="239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91"/>
        <v>0</v>
      </c>
      <c r="AD2382" s="196">
        <f t="shared" si="592"/>
        <v>0</v>
      </c>
      <c r="AE2382" s="196">
        <f t="shared" si="593"/>
        <v>0</v>
      </c>
      <c r="AF2382" s="2">
        <f t="shared" si="594"/>
        <v>0</v>
      </c>
      <c r="AG2382" s="2">
        <f t="shared" si="595"/>
        <v>0</v>
      </c>
    </row>
    <row r="2383" spans="1:33">
      <c r="A2383" s="20" t="s">
        <v>2261</v>
      </c>
      <c r="B2383" s="162"/>
      <c r="C2383" s="21" t="s">
        <v>15446</v>
      </c>
      <c r="D2383" s="109" t="s">
        <v>4062</v>
      </c>
      <c r="E2383" s="109"/>
      <c r="F2383" s="391" t="s">
        <v>15447</v>
      </c>
      <c r="G2383" s="23" t="s">
        <v>5563</v>
      </c>
      <c r="H2383" s="23"/>
      <c r="I2383" s="23"/>
      <c r="J2383" s="23"/>
      <c r="K2383" s="23"/>
      <c r="L2383" s="350"/>
      <c r="M2383" s="351"/>
      <c r="N2383" s="267">
        <f t="shared" si="596"/>
        <v>0</v>
      </c>
      <c r="O2383" s="268">
        <f t="shared" si="597"/>
        <v>0</v>
      </c>
      <c r="P2383" s="241"/>
      <c r="Q2383" s="241"/>
      <c r="R2383" s="241"/>
      <c r="S2383" s="241"/>
      <c r="T2383" s="241"/>
      <c r="U2383" s="240"/>
      <c r="V2383" s="240"/>
      <c r="W2383" s="240"/>
      <c r="X2383" s="278"/>
      <c r="Y2383" s="237"/>
      <c r="Z2383" s="237"/>
      <c r="AA2383" s="279"/>
      <c r="AB2383" s="238"/>
      <c r="AC2383" s="196">
        <f t="shared" si="591"/>
        <v>0</v>
      </c>
      <c r="AD2383" s="196">
        <f t="shared" si="592"/>
        <v>0</v>
      </c>
      <c r="AE2383" s="196">
        <f t="shared" si="593"/>
        <v>0</v>
      </c>
      <c r="AF2383" s="2">
        <f t="shared" si="594"/>
        <v>0</v>
      </c>
      <c r="AG2383" s="2">
        <f t="shared" si="595"/>
        <v>0</v>
      </c>
    </row>
    <row r="2384" spans="1:33">
      <c r="A2384" s="20" t="s">
        <v>2262</v>
      </c>
      <c r="B2384" s="162"/>
      <c r="C2384" s="21" t="s">
        <v>15446</v>
      </c>
      <c r="D2384" s="109" t="s">
        <v>13239</v>
      </c>
      <c r="E2384" s="109"/>
      <c r="F2384" s="391" t="s">
        <v>15448</v>
      </c>
      <c r="G2384" s="23" t="s">
        <v>13215</v>
      </c>
      <c r="H2384" s="23" t="s">
        <v>14235</v>
      </c>
      <c r="I2384" s="23"/>
      <c r="J2384" s="23"/>
      <c r="K2384" s="23"/>
      <c r="L2384" s="350"/>
      <c r="M2384" s="351"/>
      <c r="N2384" s="267">
        <f t="shared" si="596"/>
        <v>0</v>
      </c>
      <c r="O2384" s="268">
        <f t="shared" si="597"/>
        <v>0</v>
      </c>
      <c r="P2384" s="239"/>
      <c r="Q2384" s="239"/>
      <c r="R2384" s="239"/>
      <c r="S2384" s="239"/>
      <c r="T2384" s="239"/>
      <c r="U2384" s="240"/>
      <c r="V2384" s="240"/>
      <c r="W2384" s="240"/>
      <c r="X2384" s="278"/>
      <c r="Y2384" s="237"/>
      <c r="Z2384" s="237"/>
      <c r="AA2384" s="279"/>
      <c r="AB2384" s="238"/>
      <c r="AC2384" s="196">
        <f t="shared" si="591"/>
        <v>0</v>
      </c>
      <c r="AD2384" s="196">
        <f t="shared" si="592"/>
        <v>0</v>
      </c>
      <c r="AE2384" s="196">
        <f t="shared" si="593"/>
        <v>0</v>
      </c>
      <c r="AF2384" s="2">
        <f t="shared" si="594"/>
        <v>0</v>
      </c>
      <c r="AG2384" s="2">
        <f t="shared" si="595"/>
        <v>0</v>
      </c>
    </row>
    <row r="2385" spans="1:33">
      <c r="A2385" s="20" t="s">
        <v>2727</v>
      </c>
      <c r="B2385" s="161"/>
      <c r="C2385" s="21" t="s">
        <v>15449</v>
      </c>
      <c r="D2385" s="109" t="s">
        <v>14154</v>
      </c>
      <c r="E2385" s="109"/>
      <c r="F2385" s="391" t="s">
        <v>15410</v>
      </c>
      <c r="G2385" s="23"/>
      <c r="H2385" s="23"/>
      <c r="I2385" s="23"/>
      <c r="J2385" s="23"/>
      <c r="K2385" s="23"/>
      <c r="L2385" s="350"/>
      <c r="M2385" s="351"/>
      <c r="N2385" s="267">
        <f t="shared" si="596"/>
        <v>0</v>
      </c>
      <c r="O2385" s="268">
        <f t="shared" si="597"/>
        <v>0</v>
      </c>
      <c r="P2385" s="239"/>
      <c r="Q2385" s="239"/>
      <c r="R2385" s="239"/>
      <c r="S2385" s="239"/>
      <c r="T2385" s="239"/>
      <c r="U2385" s="244"/>
      <c r="V2385" s="244"/>
      <c r="W2385" s="240"/>
      <c r="X2385" s="278"/>
      <c r="Y2385" s="237"/>
      <c r="Z2385" s="237"/>
      <c r="AA2385" s="279"/>
      <c r="AB2385" s="238"/>
      <c r="AC2385" s="196">
        <f t="shared" si="591"/>
        <v>0</v>
      </c>
      <c r="AD2385" s="196">
        <f t="shared" si="592"/>
        <v>0</v>
      </c>
      <c r="AE2385" s="196">
        <f t="shared" si="593"/>
        <v>0</v>
      </c>
      <c r="AF2385" s="2">
        <f t="shared" si="594"/>
        <v>0</v>
      </c>
      <c r="AG2385" s="2">
        <f t="shared" si="595"/>
        <v>0</v>
      </c>
    </row>
    <row r="2386" spans="1:33">
      <c r="A2386" s="20" t="s">
        <v>2728</v>
      </c>
      <c r="B2386" s="150"/>
      <c r="C2386" s="21" t="s">
        <v>15449</v>
      </c>
      <c r="D2386" s="109" t="s">
        <v>15352</v>
      </c>
      <c r="E2386" s="109"/>
      <c r="F2386" s="391" t="s">
        <v>15410</v>
      </c>
      <c r="G2386" s="23"/>
      <c r="H2386" s="23"/>
      <c r="I2386" s="23"/>
      <c r="J2386" s="23"/>
      <c r="K2386" s="23"/>
      <c r="L2386" s="350"/>
      <c r="M2386" s="351"/>
      <c r="N2386" s="267">
        <f t="shared" si="596"/>
        <v>0</v>
      </c>
      <c r="O2386" s="268">
        <f t="shared" si="597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91"/>
        <v>0</v>
      </c>
      <c r="AD2386" s="196">
        <f t="shared" si="592"/>
        <v>0</v>
      </c>
      <c r="AE2386" s="196">
        <f t="shared" si="593"/>
        <v>0</v>
      </c>
      <c r="AF2386" s="2">
        <f t="shared" si="594"/>
        <v>0</v>
      </c>
      <c r="AG2386" s="2">
        <f t="shared" si="595"/>
        <v>0</v>
      </c>
    </row>
    <row r="2387" spans="1:33">
      <c r="A2387" s="20" t="s">
        <v>2729</v>
      </c>
      <c r="B2387" s="161"/>
      <c r="C2387" s="21" t="s">
        <v>818</v>
      </c>
      <c r="D2387" s="109" t="s">
        <v>14038</v>
      </c>
      <c r="E2387" s="109"/>
      <c r="F2387" s="391" t="s">
        <v>15450</v>
      </c>
      <c r="G2387" s="23"/>
      <c r="H2387" s="23"/>
      <c r="I2387" s="23"/>
      <c r="J2387" s="23"/>
      <c r="K2387" s="23"/>
      <c r="L2387" s="350"/>
      <c r="M2387" s="351"/>
      <c r="N2387" s="267">
        <f t="shared" si="596"/>
        <v>0</v>
      </c>
      <c r="O2387" s="268">
        <f t="shared" si="597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37"/>
      <c r="Z2387" s="237"/>
      <c r="AA2387" s="279"/>
      <c r="AB2387" s="238"/>
      <c r="AC2387" s="196">
        <f t="shared" si="591"/>
        <v>0</v>
      </c>
      <c r="AD2387" s="196">
        <f t="shared" si="592"/>
        <v>0</v>
      </c>
      <c r="AE2387" s="196">
        <f t="shared" si="593"/>
        <v>0</v>
      </c>
      <c r="AF2387" s="2">
        <f t="shared" si="594"/>
        <v>0</v>
      </c>
      <c r="AG2387" s="2">
        <f t="shared" si="595"/>
        <v>0</v>
      </c>
    </row>
    <row r="2388" spans="1:33">
      <c r="A2388" s="20" t="s">
        <v>2264</v>
      </c>
      <c r="B2388" s="150"/>
      <c r="C2388" s="21" t="s">
        <v>413</v>
      </c>
      <c r="D2388" s="109" t="s">
        <v>13228</v>
      </c>
      <c r="E2388" s="109"/>
      <c r="F2388" s="391" t="s">
        <v>15451</v>
      </c>
      <c r="G2388" s="23" t="s">
        <v>13986</v>
      </c>
      <c r="H2388" s="23"/>
      <c r="I2388" s="23"/>
      <c r="J2388" s="23"/>
      <c r="K2388" s="23"/>
      <c r="L2388" s="350"/>
      <c r="M2388" s="351"/>
      <c r="N2388" s="267">
        <f t="shared" si="596"/>
        <v>0</v>
      </c>
      <c r="O2388" s="268">
        <f t="shared" si="597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37"/>
      <c r="Z2388" s="237"/>
      <c r="AA2388" s="279"/>
      <c r="AB2388" s="238"/>
      <c r="AC2388" s="196">
        <f t="shared" si="591"/>
        <v>0</v>
      </c>
      <c r="AD2388" s="196">
        <f t="shared" si="592"/>
        <v>0</v>
      </c>
      <c r="AE2388" s="196">
        <f t="shared" si="593"/>
        <v>0</v>
      </c>
      <c r="AF2388" s="2">
        <f t="shared" si="594"/>
        <v>0</v>
      </c>
      <c r="AG2388" s="2">
        <f t="shared" si="595"/>
        <v>0</v>
      </c>
    </row>
    <row r="2389" spans="1:33" ht="20.25" customHeight="1">
      <c r="A2389" s="20" t="s">
        <v>2266</v>
      </c>
      <c r="B2389" s="150"/>
      <c r="C2389" s="21" t="s">
        <v>414</v>
      </c>
      <c r="D2389" s="109" t="s">
        <v>13991</v>
      </c>
      <c r="E2389" s="109" t="s">
        <v>13210</v>
      </c>
      <c r="F2389" s="391" t="s">
        <v>15452</v>
      </c>
      <c r="G2389" s="23" t="s">
        <v>14235</v>
      </c>
      <c r="H2389" s="23"/>
      <c r="I2389" s="23"/>
      <c r="J2389" s="23"/>
      <c r="K2389" s="23"/>
      <c r="L2389" s="350"/>
      <c r="M2389" s="351"/>
      <c r="N2389" s="267">
        <f t="shared" si="596"/>
        <v>0</v>
      </c>
      <c r="O2389" s="268">
        <f t="shared" si="597"/>
        <v>0</v>
      </c>
      <c r="P2389" s="239"/>
      <c r="Q2389" s="239"/>
      <c r="R2389" s="239"/>
      <c r="S2389" s="239"/>
      <c r="T2389" s="239"/>
      <c r="U2389" s="240"/>
      <c r="V2389" s="240"/>
      <c r="W2389" s="240"/>
      <c r="X2389" s="278"/>
      <c r="Y2389" s="278"/>
      <c r="Z2389" s="237"/>
      <c r="AA2389" s="279"/>
      <c r="AB2389" s="238"/>
      <c r="AC2389" s="196">
        <f t="shared" si="591"/>
        <v>0</v>
      </c>
      <c r="AD2389" s="196">
        <f t="shared" si="592"/>
        <v>0</v>
      </c>
      <c r="AE2389" s="196">
        <f t="shared" si="593"/>
        <v>0</v>
      </c>
      <c r="AF2389" s="2">
        <f t="shared" si="594"/>
        <v>0</v>
      </c>
      <c r="AG2389" s="2">
        <f t="shared" si="595"/>
        <v>0</v>
      </c>
    </row>
    <row r="2390" spans="1:33">
      <c r="A2390" s="20" t="s">
        <v>2265</v>
      </c>
      <c r="B2390" s="156" t="s">
        <v>15453</v>
      </c>
      <c r="C2390" s="21" t="s">
        <v>414</v>
      </c>
      <c r="D2390" s="109" t="s">
        <v>13207</v>
      </c>
      <c r="E2390" s="109"/>
      <c r="F2390" s="391" t="s">
        <v>15454</v>
      </c>
      <c r="G2390" s="23" t="s">
        <v>14235</v>
      </c>
      <c r="H2390" s="23"/>
      <c r="I2390" s="23"/>
      <c r="J2390" s="23"/>
      <c r="K2390" s="23"/>
      <c r="L2390" s="350"/>
      <c r="M2390" s="351"/>
      <c r="N2390" s="267">
        <f t="shared" si="596"/>
        <v>0</v>
      </c>
      <c r="O2390" s="268">
        <f t="shared" si="597"/>
        <v>0</v>
      </c>
      <c r="P2390" s="239"/>
      <c r="Q2390" s="239"/>
      <c r="R2390" s="239"/>
      <c r="S2390" s="239"/>
      <c r="T2390" s="239"/>
      <c r="U2390" s="240"/>
      <c r="V2390" s="240"/>
      <c r="W2390" s="240"/>
      <c r="X2390" s="278"/>
      <c r="Y2390" s="278"/>
      <c r="Z2390" s="237"/>
      <c r="AA2390" s="279"/>
      <c r="AB2390" s="238"/>
      <c r="AC2390" s="196">
        <f t="shared" si="591"/>
        <v>0</v>
      </c>
      <c r="AD2390" s="196">
        <f t="shared" si="592"/>
        <v>0</v>
      </c>
      <c r="AE2390" s="196">
        <f t="shared" si="593"/>
        <v>0</v>
      </c>
      <c r="AF2390" s="2">
        <f t="shared" si="594"/>
        <v>0</v>
      </c>
      <c r="AG2390" s="2">
        <f t="shared" si="595"/>
        <v>0</v>
      </c>
    </row>
    <row r="2391" spans="1:33">
      <c r="A2391" s="20" t="s">
        <v>2265</v>
      </c>
      <c r="B2391" s="156" t="s">
        <v>5906</v>
      </c>
      <c r="C2391" s="21" t="s">
        <v>414</v>
      </c>
      <c r="D2391" s="109" t="s">
        <v>4059</v>
      </c>
      <c r="E2391" s="109"/>
      <c r="F2391" s="391" t="s">
        <v>15455</v>
      </c>
      <c r="G2391" s="23" t="s">
        <v>5512</v>
      </c>
      <c r="H2391" s="23"/>
      <c r="I2391" s="23"/>
      <c r="J2391" s="23"/>
      <c r="K2391" s="23"/>
      <c r="L2391" s="350"/>
      <c r="M2391" s="357"/>
      <c r="N2391" s="267">
        <f t="shared" si="596"/>
        <v>0</v>
      </c>
      <c r="O2391" s="268">
        <f t="shared" si="597"/>
        <v>0</v>
      </c>
      <c r="P2391" s="239"/>
      <c r="Q2391" s="239"/>
      <c r="R2391" s="239"/>
      <c r="S2391" s="239"/>
      <c r="T2391" s="239"/>
      <c r="U2391" s="278">
        <v>0</v>
      </c>
      <c r="V2391" s="278"/>
      <c r="W2391" s="240"/>
      <c r="X2391" s="278"/>
      <c r="Y2391" s="237"/>
      <c r="Z2391" s="237"/>
      <c r="AA2391" s="278"/>
      <c r="AB2391" s="238"/>
      <c r="AC2391" s="196">
        <f t="shared" si="591"/>
        <v>0</v>
      </c>
      <c r="AD2391" s="196">
        <f t="shared" si="592"/>
        <v>0</v>
      </c>
      <c r="AE2391" s="196">
        <f t="shared" si="593"/>
        <v>0</v>
      </c>
      <c r="AF2391" s="2">
        <f t="shared" si="594"/>
        <v>0</v>
      </c>
      <c r="AG2391" s="2">
        <f t="shared" si="595"/>
        <v>0</v>
      </c>
    </row>
    <row r="2392" spans="1:33">
      <c r="A2392" s="20" t="s">
        <v>6843</v>
      </c>
      <c r="B2392" s="156" t="s">
        <v>15456</v>
      </c>
      <c r="C2392" s="21" t="s">
        <v>414</v>
      </c>
      <c r="D2392" s="109" t="s">
        <v>15457</v>
      </c>
      <c r="E2392" s="109"/>
      <c r="F2392" s="391" t="s">
        <v>15458</v>
      </c>
      <c r="G2392" s="23" t="s">
        <v>5512</v>
      </c>
      <c r="H2392" s="23"/>
      <c r="I2392" s="23"/>
      <c r="J2392" s="23"/>
      <c r="K2392" s="23"/>
      <c r="L2392" s="350"/>
      <c r="M2392" s="351"/>
      <c r="N2392" s="267">
        <f t="shared" si="596"/>
        <v>0</v>
      </c>
      <c r="O2392" s="268">
        <f t="shared" si="597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91"/>
        <v>0</v>
      </c>
      <c r="AD2392" s="196">
        <f t="shared" si="592"/>
        <v>0</v>
      </c>
      <c r="AE2392" s="196">
        <f t="shared" si="593"/>
        <v>0</v>
      </c>
      <c r="AF2392" s="2">
        <f t="shared" si="594"/>
        <v>0</v>
      </c>
      <c r="AG2392" s="2">
        <f t="shared" si="595"/>
        <v>0</v>
      </c>
    </row>
    <row r="2393" spans="1:33">
      <c r="A2393" s="20" t="s">
        <v>2271</v>
      </c>
      <c r="B2393" s="150"/>
      <c r="C2393" s="21" t="s">
        <v>415</v>
      </c>
      <c r="D2393" s="109" t="s">
        <v>13991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6"/>
        <v>0</v>
      </c>
      <c r="O2393" s="268">
        <f t="shared" si="597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91"/>
        <v>0</v>
      </c>
      <c r="AD2393" s="196">
        <f t="shared" si="592"/>
        <v>0</v>
      </c>
      <c r="AE2393" s="196">
        <f t="shared" si="593"/>
        <v>0</v>
      </c>
      <c r="AF2393" s="2">
        <f t="shared" si="594"/>
        <v>0</v>
      </c>
      <c r="AG2393" s="2">
        <f t="shared" si="595"/>
        <v>0</v>
      </c>
    </row>
    <row r="2394" spans="1:33">
      <c r="A2394" s="20" t="s">
        <v>2272</v>
      </c>
      <c r="B2394" s="150"/>
      <c r="C2394" s="21" t="s">
        <v>415</v>
      </c>
      <c r="D2394" s="109" t="s">
        <v>13991</v>
      </c>
      <c r="E2394" s="109" t="s">
        <v>13210</v>
      </c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6"/>
        <v>0</v>
      </c>
      <c r="O2394" s="268">
        <f t="shared" si="597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91"/>
        <v>0</v>
      </c>
      <c r="AD2394" s="196">
        <f t="shared" si="592"/>
        <v>0</v>
      </c>
      <c r="AE2394" s="196">
        <f t="shared" si="593"/>
        <v>0</v>
      </c>
      <c r="AF2394" s="2">
        <f t="shared" si="594"/>
        <v>0</v>
      </c>
      <c r="AG2394" s="2">
        <f t="shared" si="595"/>
        <v>0</v>
      </c>
    </row>
    <row r="2395" spans="1:33">
      <c r="A2395" s="20" t="s">
        <v>2270</v>
      </c>
      <c r="B2395" s="150"/>
      <c r="C2395" s="21" t="s">
        <v>415</v>
      </c>
      <c r="D2395" s="109" t="s">
        <v>14004</v>
      </c>
      <c r="E2395" s="109" t="s">
        <v>13210</v>
      </c>
      <c r="F2395" s="391" t="s">
        <v>15459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6"/>
        <v>0</v>
      </c>
      <c r="O2395" s="268">
        <f t="shared" si="597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91"/>
        <v>0</v>
      </c>
      <c r="AD2395" s="196">
        <f t="shared" si="592"/>
        <v>0</v>
      </c>
      <c r="AE2395" s="196">
        <f t="shared" si="593"/>
        <v>0</v>
      </c>
      <c r="AF2395" s="2">
        <f t="shared" si="594"/>
        <v>0</v>
      </c>
      <c r="AG2395" s="2">
        <f t="shared" si="595"/>
        <v>0</v>
      </c>
    </row>
    <row r="2396" spans="1:33">
      <c r="A2396" s="20" t="s">
        <v>2267</v>
      </c>
      <c r="B2396" s="150"/>
      <c r="C2396" s="21" t="s">
        <v>15460</v>
      </c>
      <c r="D2396" s="109" t="s">
        <v>15415</v>
      </c>
      <c r="E2396" s="109"/>
      <c r="F2396" s="391" t="s">
        <v>15459</v>
      </c>
      <c r="G2396" s="23" t="s">
        <v>14263</v>
      </c>
      <c r="H2396" s="23"/>
      <c r="I2396" s="23"/>
      <c r="J2396" s="23"/>
      <c r="K2396" s="23"/>
      <c r="L2396" s="350"/>
      <c r="M2396" s="351"/>
      <c r="N2396" s="267">
        <f t="shared" si="596"/>
        <v>0</v>
      </c>
      <c r="O2396" s="268">
        <f t="shared" si="597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91"/>
        <v>0</v>
      </c>
      <c r="AD2396" s="196">
        <f t="shared" si="592"/>
        <v>0</v>
      </c>
      <c r="AE2396" s="196">
        <f t="shared" si="593"/>
        <v>0</v>
      </c>
      <c r="AF2396" s="2">
        <f t="shared" si="594"/>
        <v>0</v>
      </c>
      <c r="AG2396" s="2">
        <f t="shared" si="595"/>
        <v>0</v>
      </c>
    </row>
    <row r="2397" spans="1:33">
      <c r="A2397" s="20" t="s">
        <v>2268</v>
      </c>
      <c r="B2397" s="150"/>
      <c r="C2397" s="21" t="s">
        <v>4825</v>
      </c>
      <c r="D2397" s="109" t="s">
        <v>15415</v>
      </c>
      <c r="E2397" s="109"/>
      <c r="F2397" s="391" t="s">
        <v>15461</v>
      </c>
      <c r="G2397" s="23" t="s">
        <v>14263</v>
      </c>
      <c r="H2397" s="23"/>
      <c r="I2397" s="23"/>
      <c r="J2397" s="23"/>
      <c r="K2397" s="23"/>
      <c r="L2397" s="350"/>
      <c r="M2397" s="351"/>
      <c r="N2397" s="267">
        <f t="shared" si="596"/>
        <v>0</v>
      </c>
      <c r="O2397" s="268">
        <f t="shared" si="597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91"/>
        <v>0</v>
      </c>
      <c r="AD2397" s="196">
        <f t="shared" si="592"/>
        <v>0</v>
      </c>
      <c r="AE2397" s="196">
        <f t="shared" si="593"/>
        <v>0</v>
      </c>
      <c r="AF2397" s="2">
        <f t="shared" si="594"/>
        <v>0</v>
      </c>
      <c r="AG2397" s="2">
        <f t="shared" si="595"/>
        <v>0</v>
      </c>
    </row>
    <row r="2398" spans="1:33">
      <c r="A2398" s="20" t="s">
        <v>2269</v>
      </c>
      <c r="B2398" s="161"/>
      <c r="C2398" s="21" t="s">
        <v>4825</v>
      </c>
      <c r="D2398" s="109" t="s">
        <v>15415</v>
      </c>
      <c r="E2398" s="109"/>
      <c r="F2398" s="391" t="s">
        <v>15462</v>
      </c>
      <c r="G2398" s="23" t="s">
        <v>14197</v>
      </c>
      <c r="H2398" s="23"/>
      <c r="I2398" s="23"/>
      <c r="J2398" s="23"/>
      <c r="K2398" s="23"/>
      <c r="L2398" s="350"/>
      <c r="M2398" s="351"/>
      <c r="N2398" s="267">
        <f t="shared" si="596"/>
        <v>0</v>
      </c>
      <c r="O2398" s="268">
        <f t="shared" si="597"/>
        <v>0</v>
      </c>
      <c r="P2398" s="239"/>
      <c r="Q2398" s="239"/>
      <c r="R2398" s="239"/>
      <c r="S2398" s="239"/>
      <c r="T2398" s="239"/>
      <c r="U2398" s="240"/>
      <c r="V2398" s="240"/>
      <c r="W2398" s="240"/>
      <c r="X2398" s="278"/>
      <c r="Y2398" s="237"/>
      <c r="Z2398" s="237"/>
      <c r="AA2398" s="279"/>
      <c r="AB2398" s="238"/>
      <c r="AC2398" s="196">
        <f t="shared" si="591"/>
        <v>0</v>
      </c>
      <c r="AD2398" s="196">
        <f t="shared" si="592"/>
        <v>0</v>
      </c>
      <c r="AE2398" s="196">
        <f t="shared" si="593"/>
        <v>0</v>
      </c>
      <c r="AF2398" s="2">
        <f t="shared" si="594"/>
        <v>0</v>
      </c>
      <c r="AG2398" s="2">
        <f t="shared" si="595"/>
        <v>0</v>
      </c>
    </row>
    <row r="2399" spans="1:33">
      <c r="A2399" s="20" t="s">
        <v>2273</v>
      </c>
      <c r="B2399" s="161"/>
      <c r="C2399" s="21" t="s">
        <v>416</v>
      </c>
      <c r="D2399" s="109" t="s">
        <v>14038</v>
      </c>
      <c r="E2399" s="109"/>
      <c r="F2399" s="391" t="s">
        <v>15463</v>
      </c>
      <c r="G2399" s="23" t="s">
        <v>14263</v>
      </c>
      <c r="H2399" s="23"/>
      <c r="I2399" s="23"/>
      <c r="J2399" s="23"/>
      <c r="K2399" s="23"/>
      <c r="L2399" s="350"/>
      <c r="M2399" s="351"/>
      <c r="N2399" s="267">
        <f t="shared" si="596"/>
        <v>0</v>
      </c>
      <c r="O2399" s="268">
        <f t="shared" si="597"/>
        <v>0</v>
      </c>
      <c r="P2399" s="239"/>
      <c r="Q2399" s="239"/>
      <c r="R2399" s="239"/>
      <c r="S2399" s="239"/>
      <c r="T2399" s="239"/>
      <c r="U2399" s="240"/>
      <c r="V2399" s="240"/>
      <c r="W2399" s="240"/>
      <c r="X2399" s="278"/>
      <c r="Y2399" s="237"/>
      <c r="Z2399" s="237"/>
      <c r="AA2399" s="279"/>
      <c r="AB2399" s="238"/>
      <c r="AC2399" s="196">
        <f t="shared" si="591"/>
        <v>0</v>
      </c>
      <c r="AD2399" s="196">
        <f t="shared" si="592"/>
        <v>0</v>
      </c>
      <c r="AE2399" s="196">
        <f t="shared" si="593"/>
        <v>0</v>
      </c>
      <c r="AF2399" s="2">
        <f t="shared" si="594"/>
        <v>0</v>
      </c>
      <c r="AG2399" s="2">
        <f t="shared" si="595"/>
        <v>0</v>
      </c>
    </row>
    <row r="2400" spans="1:33">
      <c r="A2400" s="20" t="s">
        <v>2274</v>
      </c>
      <c r="B2400" s="161"/>
      <c r="C2400" s="21" t="s">
        <v>417</v>
      </c>
      <c r="D2400" s="109" t="s">
        <v>13239</v>
      </c>
      <c r="E2400" s="109"/>
      <c r="F2400" s="391" t="s">
        <v>15464</v>
      </c>
      <c r="G2400" s="23" t="s">
        <v>14235</v>
      </c>
      <c r="H2400" s="23"/>
      <c r="I2400" s="23"/>
      <c r="J2400" s="23"/>
      <c r="K2400" s="23"/>
      <c r="L2400" s="350"/>
      <c r="M2400" s="351"/>
      <c r="N2400" s="267">
        <f t="shared" si="596"/>
        <v>0</v>
      </c>
      <c r="O2400" s="268">
        <f t="shared" si="597"/>
        <v>0</v>
      </c>
      <c r="P2400" s="239"/>
      <c r="Q2400" s="239"/>
      <c r="R2400" s="239"/>
      <c r="S2400" s="239"/>
      <c r="T2400" s="239"/>
      <c r="U2400" s="240">
        <v>0</v>
      </c>
      <c r="V2400" s="240"/>
      <c r="W2400" s="240"/>
      <c r="X2400" s="278"/>
      <c r="Y2400" s="237"/>
      <c r="Z2400" s="237"/>
      <c r="AA2400" s="279"/>
      <c r="AB2400" s="238"/>
      <c r="AC2400" s="196">
        <f t="shared" si="591"/>
        <v>0</v>
      </c>
      <c r="AD2400" s="196">
        <f t="shared" si="592"/>
        <v>0</v>
      </c>
      <c r="AE2400" s="196">
        <f t="shared" si="593"/>
        <v>0</v>
      </c>
      <c r="AF2400" s="2">
        <f t="shared" si="594"/>
        <v>0</v>
      </c>
      <c r="AG2400" s="2">
        <f t="shared" si="595"/>
        <v>0</v>
      </c>
    </row>
    <row r="2401" spans="1:33">
      <c r="A2401" s="20" t="s">
        <v>2275</v>
      </c>
      <c r="B2401" s="150"/>
      <c r="C2401" s="21" t="s">
        <v>418</v>
      </c>
      <c r="D2401" s="109" t="s">
        <v>13228</v>
      </c>
      <c r="E2401" s="109"/>
      <c r="F2401" s="391" t="s">
        <v>15465</v>
      </c>
      <c r="G2401" s="23"/>
      <c r="H2401" s="23"/>
      <c r="I2401" s="23"/>
      <c r="J2401" s="23"/>
      <c r="K2401" s="23"/>
      <c r="L2401" s="350"/>
      <c r="M2401" s="351"/>
      <c r="N2401" s="267">
        <f t="shared" si="596"/>
        <v>0</v>
      </c>
      <c r="O2401" s="268">
        <f t="shared" si="597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si="591"/>
        <v>0</v>
      </c>
      <c r="AD2401" s="196">
        <f t="shared" si="592"/>
        <v>0</v>
      </c>
      <c r="AE2401" s="196">
        <f t="shared" si="593"/>
        <v>0</v>
      </c>
      <c r="AF2401" s="2">
        <f t="shared" si="594"/>
        <v>0</v>
      </c>
      <c r="AG2401" s="2">
        <f t="shared" si="595"/>
        <v>0</v>
      </c>
    </row>
    <row r="2402" spans="1:33">
      <c r="A2402" s="20" t="s">
        <v>2276</v>
      </c>
      <c r="B2402" s="150"/>
      <c r="C2402" s="21" t="s">
        <v>419</v>
      </c>
      <c r="D2402" s="109" t="s">
        <v>13239</v>
      </c>
      <c r="E2402" s="109"/>
      <c r="F2402" s="391" t="s">
        <v>15466</v>
      </c>
      <c r="G2402" s="23" t="s">
        <v>14235</v>
      </c>
      <c r="H2402" s="23"/>
      <c r="I2402" s="23"/>
      <c r="J2402" s="23"/>
      <c r="K2402" s="23"/>
      <c r="L2402" s="350"/>
      <c r="M2402" s="351"/>
      <c r="N2402" s="267">
        <f t="shared" si="596"/>
        <v>0</v>
      </c>
      <c r="O2402" s="268">
        <f t="shared" si="597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79"/>
      <c r="AB2402" s="238"/>
      <c r="AC2402" s="196">
        <f t="shared" si="591"/>
        <v>0</v>
      </c>
      <c r="AD2402" s="196">
        <f t="shared" si="592"/>
        <v>0</v>
      </c>
      <c r="AE2402" s="196">
        <f t="shared" si="593"/>
        <v>0</v>
      </c>
      <c r="AF2402" s="2">
        <f t="shared" si="594"/>
        <v>0</v>
      </c>
      <c r="AG2402" s="2">
        <f t="shared" si="595"/>
        <v>0</v>
      </c>
    </row>
    <row r="2403" spans="1:33">
      <c r="A2403" s="20" t="s">
        <v>2278</v>
      </c>
      <c r="B2403" s="161"/>
      <c r="C2403" s="21" t="s">
        <v>420</v>
      </c>
      <c r="D2403" s="109" t="s">
        <v>13207</v>
      </c>
      <c r="E2403" s="109"/>
      <c r="F2403" s="391" t="s">
        <v>15467</v>
      </c>
      <c r="G2403" s="23"/>
      <c r="H2403" s="23"/>
      <c r="I2403" s="23"/>
      <c r="J2403" s="23"/>
      <c r="K2403" s="23"/>
      <c r="L2403" s="350"/>
      <c r="M2403" s="351"/>
      <c r="N2403" s="267">
        <f t="shared" si="596"/>
        <v>0</v>
      </c>
      <c r="O2403" s="268">
        <f t="shared" si="597"/>
        <v>0</v>
      </c>
      <c r="P2403" s="239"/>
      <c r="Q2403" s="239"/>
      <c r="R2403" s="239"/>
      <c r="S2403" s="239"/>
      <c r="T2403" s="239"/>
      <c r="U2403" s="240"/>
      <c r="V2403" s="240"/>
      <c r="W2403" s="240"/>
      <c r="X2403" s="278"/>
      <c r="Y2403" s="237"/>
      <c r="Z2403" s="237"/>
      <c r="AA2403" s="279"/>
      <c r="AB2403" s="238"/>
      <c r="AC2403" s="196">
        <f t="shared" ref="AC2403:AC2466" si="598">SUM(P2403:AA2403)</f>
        <v>0</v>
      </c>
      <c r="AD2403" s="196">
        <f t="shared" ref="AD2403:AD2466" si="599">SUM(P2403:AB2403)</f>
        <v>0</v>
      </c>
      <c r="AE2403" s="196">
        <f t="shared" ref="AE2403:AE2466" si="600">SUM(AC2403-AD2403)</f>
        <v>0</v>
      </c>
      <c r="AF2403" s="2">
        <f t="shared" ref="AF2403:AF2466" si="601">+AC2403</f>
        <v>0</v>
      </c>
      <c r="AG2403" s="2">
        <f t="shared" ref="AG2403:AG2466" si="602">+AC2403-AF2403</f>
        <v>0</v>
      </c>
    </row>
    <row r="2404" spans="1:33">
      <c r="A2404" s="20" t="s">
        <v>2277</v>
      </c>
      <c r="B2404" s="161"/>
      <c r="C2404" s="21" t="s">
        <v>420</v>
      </c>
      <c r="D2404" s="109" t="s">
        <v>15428</v>
      </c>
      <c r="E2404" s="109"/>
      <c r="F2404" s="391" t="s">
        <v>15467</v>
      </c>
      <c r="G2404" s="23" t="s">
        <v>15429</v>
      </c>
      <c r="H2404" s="23"/>
      <c r="I2404" s="23"/>
      <c r="J2404" s="23"/>
      <c r="K2404" s="23"/>
      <c r="L2404" s="375" t="s">
        <v>7787</v>
      </c>
      <c r="M2404" s="351" t="s">
        <v>7787</v>
      </c>
      <c r="N2404" s="267">
        <f t="shared" si="596"/>
        <v>0</v>
      </c>
      <c r="O2404" s="268">
        <f t="shared" si="597"/>
        <v>0</v>
      </c>
      <c r="P2404" s="239"/>
      <c r="Q2404" s="239"/>
      <c r="R2404" s="239"/>
      <c r="S2404" s="239"/>
      <c r="T2404" s="239"/>
      <c r="U2404" s="240"/>
      <c r="V2404" s="240"/>
      <c r="W2404" s="240"/>
      <c r="X2404" s="278"/>
      <c r="Y2404" s="237"/>
      <c r="Z2404" s="237"/>
      <c r="AA2404" s="285"/>
      <c r="AB2404" s="238"/>
      <c r="AC2404" s="196">
        <f t="shared" si="598"/>
        <v>0</v>
      </c>
      <c r="AD2404" s="196">
        <f t="shared" si="599"/>
        <v>0</v>
      </c>
      <c r="AE2404" s="196">
        <f t="shared" si="600"/>
        <v>0</v>
      </c>
      <c r="AF2404" s="2">
        <f t="shared" si="601"/>
        <v>0</v>
      </c>
      <c r="AG2404" s="2">
        <f t="shared" si="602"/>
        <v>0</v>
      </c>
    </row>
    <row r="2405" spans="1:33">
      <c r="A2405" s="20" t="s">
        <v>2279</v>
      </c>
      <c r="B2405" s="150"/>
      <c r="C2405" s="21" t="s">
        <v>421</v>
      </c>
      <c r="D2405" s="109" t="s">
        <v>14038</v>
      </c>
      <c r="E2405" s="109"/>
      <c r="F2405" s="391" t="s">
        <v>15468</v>
      </c>
      <c r="G2405" s="23" t="s">
        <v>14263</v>
      </c>
      <c r="H2405" s="23" t="s">
        <v>25255</v>
      </c>
      <c r="I2405" s="23"/>
      <c r="J2405" s="23"/>
      <c r="K2405" s="23"/>
      <c r="L2405" s="375" t="s">
        <v>45</v>
      </c>
      <c r="M2405" s="351" t="s">
        <v>45</v>
      </c>
      <c r="N2405" s="267">
        <f t="shared" si="596"/>
        <v>0</v>
      </c>
      <c r="O2405" s="268">
        <f t="shared" si="597"/>
        <v>13300</v>
      </c>
      <c r="P2405" s="239"/>
      <c r="Q2405" s="239"/>
      <c r="R2405" s="239"/>
      <c r="S2405" s="240"/>
      <c r="T2405" s="239"/>
      <c r="U2405" s="240"/>
      <c r="V2405" s="240">
        <f>2800+2900+2800+2500+4100-100-300-300-300-300-300-200</f>
        <v>13300</v>
      </c>
      <c r="W2405" s="240"/>
      <c r="X2405" s="278"/>
      <c r="Y2405" s="237"/>
      <c r="Z2405" s="237"/>
      <c r="AA2405" s="240"/>
      <c r="AB2405" s="238" t="s">
        <v>27424</v>
      </c>
      <c r="AC2405" s="196">
        <f t="shared" si="598"/>
        <v>13300</v>
      </c>
      <c r="AD2405" s="196">
        <f t="shared" si="599"/>
        <v>13300</v>
      </c>
      <c r="AE2405" s="196">
        <f t="shared" si="600"/>
        <v>0</v>
      </c>
      <c r="AF2405" s="2">
        <f t="shared" si="601"/>
        <v>13300</v>
      </c>
      <c r="AG2405" s="2">
        <f t="shared" si="602"/>
        <v>0</v>
      </c>
    </row>
    <row r="2406" spans="1:33">
      <c r="A2406" s="20" t="s">
        <v>11114</v>
      </c>
      <c r="B2406" s="150"/>
      <c r="C2406" s="21" t="s">
        <v>421</v>
      </c>
      <c r="D2406" s="109" t="s">
        <v>14038</v>
      </c>
      <c r="E2406" s="109"/>
      <c r="F2406" s="391" t="s">
        <v>15468</v>
      </c>
      <c r="G2406" s="23" t="s">
        <v>15372</v>
      </c>
      <c r="H2406" s="23"/>
      <c r="I2406" s="23"/>
      <c r="J2406" s="23"/>
      <c r="K2406" s="23"/>
      <c r="L2406" s="375" t="s">
        <v>7787</v>
      </c>
      <c r="M2406" s="351" t="s">
        <v>7787</v>
      </c>
      <c r="N2406" s="267">
        <f t="shared" si="596"/>
        <v>0</v>
      </c>
      <c r="O2406" s="268">
        <f t="shared" si="597"/>
        <v>0</v>
      </c>
      <c r="P2406" s="239"/>
      <c r="Q2406" s="239"/>
      <c r="R2406" s="239"/>
      <c r="S2406" s="244"/>
      <c r="T2406" s="239"/>
      <c r="U2406" s="240"/>
      <c r="V2406" s="240"/>
      <c r="W2406" s="240"/>
      <c r="X2406" s="278"/>
      <c r="Y2406" s="237"/>
      <c r="Z2406" s="237"/>
      <c r="AA2406" s="292"/>
      <c r="AB2406" s="238"/>
      <c r="AC2406" s="196">
        <f t="shared" si="598"/>
        <v>0</v>
      </c>
      <c r="AD2406" s="196">
        <f t="shared" si="599"/>
        <v>0</v>
      </c>
      <c r="AE2406" s="196">
        <f t="shared" si="600"/>
        <v>0</v>
      </c>
      <c r="AF2406" s="2">
        <f t="shared" si="601"/>
        <v>0</v>
      </c>
      <c r="AG2406" s="2">
        <f t="shared" si="602"/>
        <v>0</v>
      </c>
    </row>
    <row r="2407" spans="1:33">
      <c r="A2407" s="20" t="s">
        <v>2280</v>
      </c>
      <c r="B2407" s="150"/>
      <c r="C2407" s="21" t="s">
        <v>422</v>
      </c>
      <c r="D2407" s="109" t="s">
        <v>14038</v>
      </c>
      <c r="E2407" s="109"/>
      <c r="F2407" s="391" t="s">
        <v>15469</v>
      </c>
      <c r="G2407" s="23" t="s">
        <v>14263</v>
      </c>
      <c r="H2407" s="23"/>
      <c r="I2407" s="23"/>
      <c r="J2407" s="23"/>
      <c r="K2407" s="23"/>
      <c r="L2407" s="350"/>
      <c r="M2407" s="351"/>
      <c r="N2407" s="267">
        <f t="shared" si="596"/>
        <v>0</v>
      </c>
      <c r="O2407" s="268">
        <f t="shared" si="597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8"/>
        <v>0</v>
      </c>
      <c r="AD2407" s="196">
        <f t="shared" si="599"/>
        <v>0</v>
      </c>
      <c r="AE2407" s="196">
        <f t="shared" si="600"/>
        <v>0</v>
      </c>
      <c r="AF2407" s="2">
        <f t="shared" si="601"/>
        <v>0</v>
      </c>
      <c r="AG2407" s="2">
        <f t="shared" si="602"/>
        <v>0</v>
      </c>
    </row>
    <row r="2408" spans="1:33">
      <c r="A2408" s="20" t="s">
        <v>2281</v>
      </c>
      <c r="B2408" s="161"/>
      <c r="C2408" s="21" t="s">
        <v>423</v>
      </c>
      <c r="D2408" s="109" t="s">
        <v>13228</v>
      </c>
      <c r="E2408" s="109"/>
      <c r="F2408" s="391" t="s">
        <v>15470</v>
      </c>
      <c r="G2408" s="23" t="s">
        <v>15471</v>
      </c>
      <c r="H2408" s="23"/>
      <c r="I2408" s="23"/>
      <c r="J2408" s="23"/>
      <c r="K2408" s="23"/>
      <c r="L2408" s="350"/>
      <c r="M2408" s="351"/>
      <c r="N2408" s="267">
        <f t="shared" si="596"/>
        <v>0</v>
      </c>
      <c r="O2408" s="268">
        <f t="shared" si="597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8"/>
        <v>0</v>
      </c>
      <c r="AD2408" s="196">
        <f t="shared" si="599"/>
        <v>0</v>
      </c>
      <c r="AE2408" s="196">
        <f t="shared" si="600"/>
        <v>0</v>
      </c>
      <c r="AF2408" s="2">
        <f t="shared" si="601"/>
        <v>0</v>
      </c>
      <c r="AG2408" s="2">
        <f t="shared" si="602"/>
        <v>0</v>
      </c>
    </row>
    <row r="2409" spans="1:33">
      <c r="A2409" s="20" t="s">
        <v>19213</v>
      </c>
      <c r="B2409" s="161"/>
      <c r="C2409" s="21" t="s">
        <v>423</v>
      </c>
      <c r="D2409" s="109" t="s">
        <v>3108</v>
      </c>
      <c r="E2409" s="109"/>
      <c r="F2409" s="391" t="s">
        <v>19263</v>
      </c>
      <c r="G2409" s="23" t="s">
        <v>6133</v>
      </c>
      <c r="H2409" s="23"/>
      <c r="I2409" s="23"/>
      <c r="J2409" s="23"/>
      <c r="K2409" s="23"/>
      <c r="L2409" s="375" t="s">
        <v>7787</v>
      </c>
      <c r="M2409" s="351"/>
      <c r="N2409" s="267">
        <f t="shared" si="596"/>
        <v>0</v>
      </c>
      <c r="O2409" s="268">
        <f t="shared" si="597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8"/>
        <v>0</v>
      </c>
      <c r="AD2409" s="196">
        <f t="shared" si="599"/>
        <v>0</v>
      </c>
      <c r="AE2409" s="196">
        <f t="shared" si="600"/>
        <v>0</v>
      </c>
      <c r="AF2409" s="2">
        <f t="shared" si="601"/>
        <v>0</v>
      </c>
      <c r="AG2409" s="2">
        <f t="shared" si="602"/>
        <v>0</v>
      </c>
    </row>
    <row r="2410" spans="1:33">
      <c r="A2410" s="20" t="s">
        <v>2282</v>
      </c>
      <c r="B2410" s="161"/>
      <c r="C2410" s="21" t="s">
        <v>424</v>
      </c>
      <c r="D2410" s="109" t="s">
        <v>14038</v>
      </c>
      <c r="E2410" s="109"/>
      <c r="F2410" s="391" t="s">
        <v>15472</v>
      </c>
      <c r="G2410" s="23" t="s">
        <v>14263</v>
      </c>
      <c r="H2410" s="23"/>
      <c r="I2410" s="23"/>
      <c r="J2410" s="23"/>
      <c r="K2410" s="23"/>
      <c r="L2410" s="350"/>
      <c r="M2410" s="351"/>
      <c r="N2410" s="267">
        <f t="shared" si="596"/>
        <v>0</v>
      </c>
      <c r="O2410" s="268">
        <f t="shared" si="597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8"/>
        <v>0</v>
      </c>
      <c r="AD2410" s="196">
        <f t="shared" si="599"/>
        <v>0</v>
      </c>
      <c r="AE2410" s="196">
        <f t="shared" si="600"/>
        <v>0</v>
      </c>
      <c r="AF2410" s="2">
        <f t="shared" si="601"/>
        <v>0</v>
      </c>
      <c r="AG2410" s="2">
        <f t="shared" si="602"/>
        <v>0</v>
      </c>
    </row>
    <row r="2411" spans="1:33">
      <c r="A2411" s="20" t="s">
        <v>2283</v>
      </c>
      <c r="B2411" s="150"/>
      <c r="C2411" s="21" t="s">
        <v>424</v>
      </c>
      <c r="D2411" s="109" t="s">
        <v>14038</v>
      </c>
      <c r="E2411" s="109"/>
      <c r="F2411" s="391" t="s">
        <v>15473</v>
      </c>
      <c r="G2411" s="23" t="s">
        <v>14263</v>
      </c>
      <c r="H2411" s="23"/>
      <c r="I2411" s="23"/>
      <c r="J2411" s="23"/>
      <c r="K2411" s="23"/>
      <c r="L2411" s="350"/>
      <c r="M2411" s="351"/>
      <c r="N2411" s="267">
        <f t="shared" si="596"/>
        <v>0</v>
      </c>
      <c r="O2411" s="268">
        <f t="shared" si="597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8"/>
        <v>0</v>
      </c>
      <c r="AD2411" s="196">
        <f t="shared" si="599"/>
        <v>0</v>
      </c>
      <c r="AE2411" s="196">
        <f t="shared" si="600"/>
        <v>0</v>
      </c>
      <c r="AF2411" s="2">
        <f t="shared" si="601"/>
        <v>0</v>
      </c>
      <c r="AG2411" s="2">
        <f t="shared" si="602"/>
        <v>0</v>
      </c>
    </row>
    <row r="2412" spans="1:33">
      <c r="A2412" s="20" t="s">
        <v>2284</v>
      </c>
      <c r="B2412" s="150"/>
      <c r="C2412" s="21" t="s">
        <v>425</v>
      </c>
      <c r="D2412" s="109" t="s">
        <v>13228</v>
      </c>
      <c r="E2412" s="109"/>
      <c r="F2412" s="391" t="s">
        <v>15474</v>
      </c>
      <c r="G2412" s="23" t="s">
        <v>13240</v>
      </c>
      <c r="H2412" s="23"/>
      <c r="I2412" s="23"/>
      <c r="J2412" s="23"/>
      <c r="K2412" s="23"/>
      <c r="L2412" s="375" t="s">
        <v>7787</v>
      </c>
      <c r="M2412" s="351"/>
      <c r="N2412" s="267">
        <f t="shared" si="596"/>
        <v>0</v>
      </c>
      <c r="O2412" s="268">
        <f t="shared" si="597"/>
        <v>0</v>
      </c>
      <c r="P2412" s="239"/>
      <c r="Q2412" s="239"/>
      <c r="R2412" s="239"/>
      <c r="S2412" s="239"/>
      <c r="T2412" s="239"/>
      <c r="U2412" s="240"/>
      <c r="V2412" s="240"/>
      <c r="W2412" s="240"/>
      <c r="X2412" s="278"/>
      <c r="Y2412" s="237"/>
      <c r="Z2412" s="237"/>
      <c r="AA2412" s="279"/>
      <c r="AB2412" s="238"/>
      <c r="AC2412" s="196">
        <f t="shared" si="598"/>
        <v>0</v>
      </c>
      <c r="AD2412" s="196">
        <f t="shared" si="599"/>
        <v>0</v>
      </c>
      <c r="AE2412" s="196">
        <f t="shared" si="600"/>
        <v>0</v>
      </c>
      <c r="AF2412" s="2">
        <f t="shared" si="601"/>
        <v>0</v>
      </c>
      <c r="AG2412" s="2">
        <f t="shared" si="602"/>
        <v>0</v>
      </c>
    </row>
    <row r="2413" spans="1:33">
      <c r="A2413" s="20" t="s">
        <v>2285</v>
      </c>
      <c r="B2413" s="151"/>
      <c r="C2413" s="21" t="s">
        <v>426</v>
      </c>
      <c r="D2413" s="109" t="s">
        <v>13239</v>
      </c>
      <c r="E2413" s="109"/>
      <c r="F2413" s="391" t="s">
        <v>15475</v>
      </c>
      <c r="G2413" s="23" t="s">
        <v>14235</v>
      </c>
      <c r="H2413" s="23" t="s">
        <v>13240</v>
      </c>
      <c r="I2413" s="23"/>
      <c r="J2413" s="23"/>
      <c r="K2413" s="23"/>
      <c r="L2413" s="375"/>
      <c r="M2413" s="351"/>
      <c r="N2413" s="267">
        <f t="shared" si="596"/>
        <v>0</v>
      </c>
      <c r="O2413" s="268">
        <f t="shared" si="597"/>
        <v>0</v>
      </c>
      <c r="P2413" s="239"/>
      <c r="Q2413" s="239"/>
      <c r="R2413" s="239"/>
      <c r="S2413" s="239"/>
      <c r="T2413" s="239"/>
      <c r="U2413" s="240"/>
      <c r="V2413" s="240"/>
      <c r="W2413" s="240"/>
      <c r="X2413" s="278"/>
      <c r="Y2413" s="237"/>
      <c r="Z2413" s="237"/>
      <c r="AA2413" s="279"/>
      <c r="AB2413" s="238"/>
      <c r="AC2413" s="196">
        <f t="shared" si="598"/>
        <v>0</v>
      </c>
      <c r="AD2413" s="196">
        <f t="shared" si="599"/>
        <v>0</v>
      </c>
      <c r="AE2413" s="196">
        <f t="shared" si="600"/>
        <v>0</v>
      </c>
      <c r="AF2413" s="2">
        <f t="shared" si="601"/>
        <v>0</v>
      </c>
      <c r="AG2413" s="2">
        <f t="shared" si="602"/>
        <v>0</v>
      </c>
    </row>
    <row r="2414" spans="1:33">
      <c r="A2414" s="20" t="s">
        <v>2286</v>
      </c>
      <c r="B2414" s="156"/>
      <c r="C2414" s="21" t="s">
        <v>426</v>
      </c>
      <c r="D2414" s="109" t="s">
        <v>13239</v>
      </c>
      <c r="E2414" s="109" t="s">
        <v>14167</v>
      </c>
      <c r="F2414" s="391" t="s">
        <v>15476</v>
      </c>
      <c r="G2414" s="23" t="s">
        <v>14002</v>
      </c>
      <c r="H2414" s="23" t="s">
        <v>14197</v>
      </c>
      <c r="I2414" s="23"/>
      <c r="J2414" s="23"/>
      <c r="K2414" s="23"/>
      <c r="L2414" s="375">
        <f>4540+1310+210</f>
        <v>6060</v>
      </c>
      <c r="M2414" s="351" t="s">
        <v>7787</v>
      </c>
      <c r="N2414" s="267">
        <f t="shared" si="596"/>
        <v>6060</v>
      </c>
      <c r="O2414" s="268">
        <f t="shared" si="597"/>
        <v>50</v>
      </c>
      <c r="P2414" s="239"/>
      <c r="Q2414" s="239"/>
      <c r="R2414" s="239"/>
      <c r="S2414" s="239"/>
      <c r="T2414" s="239"/>
      <c r="U2414" s="240">
        <f>600-550</f>
        <v>50</v>
      </c>
      <c r="V2414" s="239"/>
      <c r="W2414" s="240"/>
      <c r="X2414" s="278"/>
      <c r="Y2414" s="237"/>
      <c r="Z2414" s="237"/>
      <c r="AA2414" s="279"/>
      <c r="AB2414" s="238"/>
      <c r="AC2414" s="196">
        <f t="shared" si="598"/>
        <v>50</v>
      </c>
      <c r="AD2414" s="196">
        <f t="shared" si="599"/>
        <v>50</v>
      </c>
      <c r="AE2414" s="196">
        <f t="shared" si="600"/>
        <v>0</v>
      </c>
      <c r="AF2414" s="2">
        <f t="shared" si="601"/>
        <v>50</v>
      </c>
      <c r="AG2414" s="2">
        <f t="shared" si="602"/>
        <v>0</v>
      </c>
    </row>
    <row r="2415" spans="1:33">
      <c r="A2415" s="20" t="s">
        <v>6844</v>
      </c>
      <c r="B2415" s="156"/>
      <c r="C2415" s="21" t="s">
        <v>426</v>
      </c>
      <c r="D2415" s="109" t="s">
        <v>13239</v>
      </c>
      <c r="E2415" s="109" t="s">
        <v>14167</v>
      </c>
      <c r="F2415" s="391" t="s">
        <v>15475</v>
      </c>
      <c r="G2415" s="23" t="s">
        <v>14235</v>
      </c>
      <c r="H2415" s="23" t="s">
        <v>13240</v>
      </c>
      <c r="I2415" s="23" t="s">
        <v>15477</v>
      </c>
      <c r="J2415" s="23" t="s">
        <v>13571</v>
      </c>
      <c r="K2415" s="23"/>
      <c r="L2415" s="375" t="s">
        <v>27862</v>
      </c>
      <c r="M2415" s="351" t="s">
        <v>45</v>
      </c>
      <c r="N2415" s="267">
        <f t="shared" si="596"/>
        <v>0</v>
      </c>
      <c r="O2415" s="268">
        <f t="shared" si="597"/>
        <v>0</v>
      </c>
      <c r="P2415" s="239"/>
      <c r="Q2415" s="239"/>
      <c r="R2415" s="278"/>
      <c r="S2415" s="239"/>
      <c r="T2415" s="239"/>
      <c r="U2415" s="278"/>
      <c r="V2415" s="278"/>
      <c r="W2415" s="240"/>
      <c r="X2415" s="278"/>
      <c r="Y2415" s="239"/>
      <c r="Z2415" s="237"/>
      <c r="AA2415" s="279"/>
      <c r="AB2415" s="238"/>
      <c r="AC2415" s="196">
        <f t="shared" si="598"/>
        <v>0</v>
      </c>
      <c r="AD2415" s="196">
        <f t="shared" si="599"/>
        <v>0</v>
      </c>
      <c r="AE2415" s="196">
        <f t="shared" si="600"/>
        <v>0</v>
      </c>
      <c r="AF2415" s="2">
        <f t="shared" si="601"/>
        <v>0</v>
      </c>
      <c r="AG2415" s="2">
        <f t="shared" si="602"/>
        <v>0</v>
      </c>
    </row>
    <row r="2416" spans="1:33">
      <c r="A2416" s="20" t="s">
        <v>2730</v>
      </c>
      <c r="B2416" s="150"/>
      <c r="C2416" s="21" t="s">
        <v>819</v>
      </c>
      <c r="D2416" s="109" t="s">
        <v>14038</v>
      </c>
      <c r="E2416" s="109"/>
      <c r="F2416" s="391" t="s">
        <v>15478</v>
      </c>
      <c r="G2416" s="23"/>
      <c r="H2416" s="23"/>
      <c r="I2416" s="23"/>
      <c r="J2416" s="23"/>
      <c r="K2416" s="23"/>
      <c r="L2416" s="375" t="s">
        <v>7787</v>
      </c>
      <c r="M2416" s="351" t="s">
        <v>7787</v>
      </c>
      <c r="N2416" s="267">
        <f t="shared" si="596"/>
        <v>0</v>
      </c>
      <c r="O2416" s="268">
        <f t="shared" si="597"/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8"/>
        <v>0</v>
      </c>
      <c r="AD2416" s="196">
        <f t="shared" si="599"/>
        <v>0</v>
      </c>
      <c r="AE2416" s="196">
        <f t="shared" si="600"/>
        <v>0</v>
      </c>
      <c r="AF2416" s="2">
        <f t="shared" si="601"/>
        <v>0</v>
      </c>
      <c r="AG2416" s="2">
        <f t="shared" si="602"/>
        <v>0</v>
      </c>
    </row>
    <row r="2417" spans="1:33">
      <c r="A2417" s="20" t="s">
        <v>2289</v>
      </c>
      <c r="B2417" s="150"/>
      <c r="C2417" s="21" t="s">
        <v>427</v>
      </c>
      <c r="D2417" s="109" t="s">
        <v>14233</v>
      </c>
      <c r="E2417" s="109" t="s">
        <v>13210</v>
      </c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ref="N2417:N2480" si="603">SUM(L2417:M2417)</f>
        <v>0</v>
      </c>
      <c r="O2417" s="268">
        <f t="shared" ref="O2417:O2480" si="604">SUM(P2417:Z2417)</f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8"/>
        <v>0</v>
      </c>
      <c r="AD2417" s="196">
        <f t="shared" si="599"/>
        <v>0</v>
      </c>
      <c r="AE2417" s="196">
        <f t="shared" si="600"/>
        <v>0</v>
      </c>
      <c r="AF2417" s="2">
        <f t="shared" si="601"/>
        <v>0</v>
      </c>
      <c r="AG2417" s="2">
        <f t="shared" si="602"/>
        <v>0</v>
      </c>
    </row>
    <row r="2418" spans="1:33">
      <c r="A2418" s="20" t="s">
        <v>2287</v>
      </c>
      <c r="B2418" s="156"/>
      <c r="C2418" s="21" t="s">
        <v>15480</v>
      </c>
      <c r="D2418" s="109" t="s">
        <v>13239</v>
      </c>
      <c r="E2418" s="109"/>
      <c r="F2418" s="391" t="s">
        <v>15479</v>
      </c>
      <c r="G2418" s="23" t="s">
        <v>14235</v>
      </c>
      <c r="H2418" s="23"/>
      <c r="I2418" s="23"/>
      <c r="J2418" s="23"/>
      <c r="K2418" s="23"/>
      <c r="L2418" s="350"/>
      <c r="M2418" s="351"/>
      <c r="N2418" s="267">
        <f t="shared" si="603"/>
        <v>0</v>
      </c>
      <c r="O2418" s="268">
        <f t="shared" si="604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8"/>
        <v>0</v>
      </c>
      <c r="AD2418" s="196">
        <f t="shared" si="599"/>
        <v>0</v>
      </c>
      <c r="AE2418" s="196">
        <f t="shared" si="600"/>
        <v>0</v>
      </c>
      <c r="AF2418" s="2">
        <f t="shared" si="601"/>
        <v>0</v>
      </c>
      <c r="AG2418" s="2">
        <f t="shared" si="602"/>
        <v>0</v>
      </c>
    </row>
    <row r="2419" spans="1:33">
      <c r="A2419" s="20" t="s">
        <v>2288</v>
      </c>
      <c r="B2419" s="156"/>
      <c r="C2419" s="21" t="s">
        <v>15481</v>
      </c>
      <c r="D2419" s="109" t="s">
        <v>13239</v>
      </c>
      <c r="E2419" s="109"/>
      <c r="F2419" s="391" t="s">
        <v>15479</v>
      </c>
      <c r="G2419" s="23" t="s">
        <v>14235</v>
      </c>
      <c r="H2419" s="23"/>
      <c r="I2419" s="23"/>
      <c r="J2419" s="23"/>
      <c r="K2419" s="23"/>
      <c r="L2419" s="350"/>
      <c r="M2419" s="351"/>
      <c r="N2419" s="267">
        <f t="shared" si="603"/>
        <v>0</v>
      </c>
      <c r="O2419" s="268">
        <f t="shared" si="604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8"/>
        <v>0</v>
      </c>
      <c r="AD2419" s="196">
        <f t="shared" si="599"/>
        <v>0</v>
      </c>
      <c r="AE2419" s="196">
        <f t="shared" si="600"/>
        <v>0</v>
      </c>
      <c r="AF2419" s="2">
        <f t="shared" si="601"/>
        <v>0</v>
      </c>
      <c r="AG2419" s="2">
        <f t="shared" si="602"/>
        <v>0</v>
      </c>
    </row>
    <row r="2420" spans="1:33">
      <c r="A2420" s="20" t="s">
        <v>2291</v>
      </c>
      <c r="B2420" s="150"/>
      <c r="C2420" s="21" t="s">
        <v>428</v>
      </c>
      <c r="D2420" s="109" t="s">
        <v>13207</v>
      </c>
      <c r="E2420" s="109"/>
      <c r="F2420" s="391" t="s">
        <v>15482</v>
      </c>
      <c r="G2420" s="23" t="s">
        <v>14059</v>
      </c>
      <c r="H2420" s="23"/>
      <c r="I2420" s="23"/>
      <c r="J2420" s="23"/>
      <c r="K2420" s="23"/>
      <c r="L2420" s="375" t="s">
        <v>7787</v>
      </c>
      <c r="M2420" s="351"/>
      <c r="N2420" s="267">
        <f t="shared" si="603"/>
        <v>0</v>
      </c>
      <c r="O2420" s="268">
        <f t="shared" si="604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79"/>
      <c r="AB2420" s="238"/>
      <c r="AC2420" s="196">
        <f t="shared" si="598"/>
        <v>0</v>
      </c>
      <c r="AD2420" s="196">
        <f t="shared" si="599"/>
        <v>0</v>
      </c>
      <c r="AE2420" s="196">
        <f t="shared" si="600"/>
        <v>0</v>
      </c>
      <c r="AF2420" s="2">
        <f t="shared" si="601"/>
        <v>0</v>
      </c>
      <c r="AG2420" s="2">
        <f t="shared" si="602"/>
        <v>0</v>
      </c>
    </row>
    <row r="2421" spans="1:33">
      <c r="A2421" s="20" t="s">
        <v>2290</v>
      </c>
      <c r="B2421" s="150"/>
      <c r="C2421" s="21" t="s">
        <v>428</v>
      </c>
      <c r="D2421" s="109" t="s">
        <v>14146</v>
      </c>
      <c r="E2421" s="109" t="s">
        <v>13210</v>
      </c>
      <c r="F2421" s="391" t="s">
        <v>15482</v>
      </c>
      <c r="G2421" s="23" t="s">
        <v>14059</v>
      </c>
      <c r="H2421" s="23"/>
      <c r="I2421" s="23"/>
      <c r="J2421" s="23"/>
      <c r="K2421" s="23"/>
      <c r="L2421" s="350"/>
      <c r="M2421" s="357" t="s">
        <v>7787</v>
      </c>
      <c r="N2421" s="267">
        <f t="shared" si="603"/>
        <v>0</v>
      </c>
      <c r="O2421" s="268">
        <f t="shared" si="604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79"/>
      <c r="AB2421" s="238"/>
      <c r="AC2421" s="196">
        <f t="shared" si="598"/>
        <v>0</v>
      </c>
      <c r="AD2421" s="196">
        <f t="shared" si="599"/>
        <v>0</v>
      </c>
      <c r="AE2421" s="196">
        <f t="shared" si="600"/>
        <v>0</v>
      </c>
      <c r="AF2421" s="2">
        <f t="shared" si="601"/>
        <v>0</v>
      </c>
      <c r="AG2421" s="2">
        <f t="shared" si="602"/>
        <v>0</v>
      </c>
    </row>
    <row r="2422" spans="1:33">
      <c r="A2422" s="20" t="s">
        <v>2292</v>
      </c>
      <c r="B2422" s="156"/>
      <c r="C2422" s="21" t="s">
        <v>429</v>
      </c>
      <c r="D2422" s="109" t="s">
        <v>14038</v>
      </c>
      <c r="E2422" s="109"/>
      <c r="F2422" s="391" t="s">
        <v>15483</v>
      </c>
      <c r="G2422" s="23" t="s">
        <v>13240</v>
      </c>
      <c r="H2422" s="23" t="s">
        <v>14190</v>
      </c>
      <c r="I2422" s="23" t="s">
        <v>14094</v>
      </c>
      <c r="J2422" s="23"/>
      <c r="K2422" s="23"/>
      <c r="L2422" s="350"/>
      <c r="M2422" s="351"/>
      <c r="N2422" s="267">
        <f t="shared" si="603"/>
        <v>0</v>
      </c>
      <c r="O2422" s="268">
        <f t="shared" si="604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40"/>
      <c r="AB2422" s="238"/>
      <c r="AC2422" s="196">
        <f t="shared" si="598"/>
        <v>0</v>
      </c>
      <c r="AD2422" s="196">
        <f t="shared" si="599"/>
        <v>0</v>
      </c>
      <c r="AE2422" s="196">
        <f t="shared" si="600"/>
        <v>0</v>
      </c>
      <c r="AF2422" s="2">
        <f t="shared" si="601"/>
        <v>0</v>
      </c>
      <c r="AG2422" s="2">
        <f t="shared" si="602"/>
        <v>0</v>
      </c>
    </row>
    <row r="2423" spans="1:33">
      <c r="A2423" s="20" t="s">
        <v>2293</v>
      </c>
      <c r="B2423" s="156"/>
      <c r="C2423" s="21" t="s">
        <v>429</v>
      </c>
      <c r="D2423" s="109" t="s">
        <v>14038</v>
      </c>
      <c r="E2423" s="109"/>
      <c r="F2423" s="391" t="s">
        <v>15484</v>
      </c>
      <c r="G2423" s="23" t="s">
        <v>14263</v>
      </c>
      <c r="H2423" s="23"/>
      <c r="I2423" s="23"/>
      <c r="J2423" s="23"/>
      <c r="K2423" s="23"/>
      <c r="L2423" s="350"/>
      <c r="M2423" s="351"/>
      <c r="N2423" s="267">
        <f t="shared" si="603"/>
        <v>0</v>
      </c>
      <c r="O2423" s="268">
        <f t="shared" si="604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40"/>
      <c r="AB2423" s="238"/>
      <c r="AC2423" s="196">
        <f t="shared" si="598"/>
        <v>0</v>
      </c>
      <c r="AD2423" s="196">
        <f t="shared" si="599"/>
        <v>0</v>
      </c>
      <c r="AE2423" s="196">
        <f t="shared" si="600"/>
        <v>0</v>
      </c>
      <c r="AF2423" s="2">
        <f t="shared" si="601"/>
        <v>0</v>
      </c>
      <c r="AG2423" s="2">
        <f t="shared" si="602"/>
        <v>0</v>
      </c>
    </row>
    <row r="2424" spans="1:33">
      <c r="A2424" s="20" t="s">
        <v>2294</v>
      </c>
      <c r="B2424" s="156"/>
      <c r="C2424" s="21" t="s">
        <v>429</v>
      </c>
      <c r="D2424" s="109" t="s">
        <v>14038</v>
      </c>
      <c r="E2424" s="109"/>
      <c r="F2424" s="391" t="s">
        <v>15485</v>
      </c>
      <c r="G2424" s="23" t="s">
        <v>14197</v>
      </c>
      <c r="H2424" s="23"/>
      <c r="I2424" s="23"/>
      <c r="J2424" s="23"/>
      <c r="K2424" s="23"/>
      <c r="L2424" s="350"/>
      <c r="M2424" s="351"/>
      <c r="N2424" s="267">
        <f t="shared" si="603"/>
        <v>0</v>
      </c>
      <c r="O2424" s="268">
        <f t="shared" si="604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8"/>
        <v>0</v>
      </c>
      <c r="AD2424" s="196">
        <f t="shared" si="599"/>
        <v>0</v>
      </c>
      <c r="AE2424" s="196">
        <f t="shared" si="600"/>
        <v>0</v>
      </c>
      <c r="AF2424" s="2">
        <f t="shared" si="601"/>
        <v>0</v>
      </c>
      <c r="AG2424" s="2">
        <f t="shared" si="602"/>
        <v>0</v>
      </c>
    </row>
    <row r="2425" spans="1:33">
      <c r="A2425" s="20" t="s">
        <v>2295</v>
      </c>
      <c r="B2425" s="150"/>
      <c r="C2425" s="21" t="s">
        <v>430</v>
      </c>
      <c r="D2425" s="109" t="s">
        <v>14038</v>
      </c>
      <c r="E2425" s="109"/>
      <c r="F2425" s="391" t="s">
        <v>15486</v>
      </c>
      <c r="G2425" s="23" t="s">
        <v>14263</v>
      </c>
      <c r="H2425" s="23"/>
      <c r="I2425" s="23"/>
      <c r="J2425" s="23"/>
      <c r="K2425" s="23"/>
      <c r="L2425" s="350"/>
      <c r="M2425" s="351"/>
      <c r="N2425" s="267">
        <f t="shared" si="603"/>
        <v>0</v>
      </c>
      <c r="O2425" s="268">
        <f t="shared" si="604"/>
        <v>0</v>
      </c>
      <c r="P2425" s="239"/>
      <c r="Q2425" s="239"/>
      <c r="R2425" s="239"/>
      <c r="S2425" s="239"/>
      <c r="T2425" s="239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8"/>
        <v>0</v>
      </c>
      <c r="AD2425" s="196">
        <f t="shared" si="599"/>
        <v>0</v>
      </c>
      <c r="AE2425" s="196">
        <f t="shared" si="600"/>
        <v>0</v>
      </c>
      <c r="AF2425" s="2">
        <f t="shared" si="601"/>
        <v>0</v>
      </c>
      <c r="AG2425" s="2">
        <f t="shared" si="602"/>
        <v>0</v>
      </c>
    </row>
    <row r="2426" spans="1:33">
      <c r="A2426" s="20" t="s">
        <v>2296</v>
      </c>
      <c r="B2426" s="165"/>
      <c r="C2426" s="21" t="s">
        <v>431</v>
      </c>
      <c r="D2426" s="109" t="s">
        <v>13228</v>
      </c>
      <c r="E2426" s="109"/>
      <c r="F2426" s="391" t="s">
        <v>15487</v>
      </c>
      <c r="G2426" s="23"/>
      <c r="H2426" s="23"/>
      <c r="I2426" s="23"/>
      <c r="J2426" s="23"/>
      <c r="K2426" s="23"/>
      <c r="L2426" s="350"/>
      <c r="M2426" s="351"/>
      <c r="N2426" s="267">
        <f t="shared" si="603"/>
        <v>0</v>
      </c>
      <c r="O2426" s="268">
        <f t="shared" si="604"/>
        <v>0</v>
      </c>
      <c r="P2426" s="239"/>
      <c r="Q2426" s="239"/>
      <c r="R2426" s="239"/>
      <c r="S2426" s="239"/>
      <c r="T2426" s="239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8"/>
        <v>0</v>
      </c>
      <c r="AD2426" s="196">
        <f t="shared" si="599"/>
        <v>0</v>
      </c>
      <c r="AE2426" s="196">
        <f t="shared" si="600"/>
        <v>0</v>
      </c>
      <c r="AF2426" s="2">
        <f t="shared" si="601"/>
        <v>0</v>
      </c>
      <c r="AG2426" s="2">
        <f t="shared" si="602"/>
        <v>0</v>
      </c>
    </row>
    <row r="2427" spans="1:33">
      <c r="A2427" s="20" t="s">
        <v>2297</v>
      </c>
      <c r="B2427" s="165" t="s">
        <v>15488</v>
      </c>
      <c r="C2427" s="21" t="s">
        <v>431</v>
      </c>
      <c r="D2427" s="109" t="s">
        <v>13207</v>
      </c>
      <c r="E2427" s="109" t="s">
        <v>24407</v>
      </c>
      <c r="F2427" s="391" t="s">
        <v>15489</v>
      </c>
      <c r="G2427" s="23" t="s">
        <v>13976</v>
      </c>
      <c r="H2427" s="23"/>
      <c r="I2427" s="23"/>
      <c r="J2427" s="23"/>
      <c r="K2427" s="23"/>
      <c r="L2427" s="350"/>
      <c r="M2427" s="351"/>
      <c r="N2427" s="267">
        <f t="shared" si="603"/>
        <v>0</v>
      </c>
      <c r="O2427" s="268">
        <f t="shared" si="604"/>
        <v>0</v>
      </c>
      <c r="P2427" s="237"/>
      <c r="Q2427" s="237"/>
      <c r="R2427" s="237"/>
      <c r="S2427" s="237"/>
      <c r="T2427" s="237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8"/>
        <v>0</v>
      </c>
      <c r="AD2427" s="196">
        <f t="shared" si="599"/>
        <v>0</v>
      </c>
      <c r="AE2427" s="196">
        <f t="shared" si="600"/>
        <v>0</v>
      </c>
      <c r="AF2427" s="2">
        <f t="shared" si="601"/>
        <v>0</v>
      </c>
      <c r="AG2427" s="2">
        <f t="shared" si="602"/>
        <v>0</v>
      </c>
    </row>
    <row r="2428" spans="1:33">
      <c r="A2428" s="20" t="s">
        <v>2298</v>
      </c>
      <c r="B2428" s="150"/>
      <c r="C2428" s="21" t="s">
        <v>431</v>
      </c>
      <c r="D2428" s="109" t="s">
        <v>13207</v>
      </c>
      <c r="E2428" s="109"/>
      <c r="F2428" s="391" t="s">
        <v>15487</v>
      </c>
      <c r="G2428" s="23" t="s">
        <v>13976</v>
      </c>
      <c r="H2428" s="23"/>
      <c r="I2428" s="23"/>
      <c r="J2428" s="23"/>
      <c r="K2428" s="23"/>
      <c r="L2428" s="350"/>
      <c r="M2428" s="351"/>
      <c r="N2428" s="267">
        <f t="shared" si="603"/>
        <v>0</v>
      </c>
      <c r="O2428" s="268">
        <f t="shared" si="604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8"/>
        <v>0</v>
      </c>
      <c r="AD2428" s="196">
        <f t="shared" si="599"/>
        <v>0</v>
      </c>
      <c r="AE2428" s="196">
        <f t="shared" si="600"/>
        <v>0</v>
      </c>
      <c r="AF2428" s="2">
        <f t="shared" si="601"/>
        <v>0</v>
      </c>
      <c r="AG2428" s="2">
        <f t="shared" si="602"/>
        <v>0</v>
      </c>
    </row>
    <row r="2429" spans="1:33">
      <c r="A2429" s="20" t="s">
        <v>2299</v>
      </c>
      <c r="B2429" s="150"/>
      <c r="C2429" s="21" t="s">
        <v>15490</v>
      </c>
      <c r="D2429" s="109" t="s">
        <v>13239</v>
      </c>
      <c r="E2429" s="109"/>
      <c r="F2429" s="391" t="s">
        <v>15491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603"/>
        <v>0</v>
      </c>
      <c r="O2429" s="268">
        <f t="shared" si="604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8"/>
        <v>0</v>
      </c>
      <c r="AD2429" s="196">
        <f t="shared" si="599"/>
        <v>0</v>
      </c>
      <c r="AE2429" s="196">
        <f t="shared" si="600"/>
        <v>0</v>
      </c>
      <c r="AF2429" s="2">
        <f t="shared" si="601"/>
        <v>0</v>
      </c>
      <c r="AG2429" s="2">
        <f t="shared" si="602"/>
        <v>0</v>
      </c>
    </row>
    <row r="2430" spans="1:33">
      <c r="A2430" s="20" t="s">
        <v>2300</v>
      </c>
      <c r="B2430" s="150"/>
      <c r="C2430" s="21" t="s">
        <v>4851</v>
      </c>
      <c r="D2430" s="109" t="s">
        <v>13239</v>
      </c>
      <c r="E2430" s="109"/>
      <c r="F2430" s="391" t="s">
        <v>15491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603"/>
        <v>0</v>
      </c>
      <c r="O2430" s="268">
        <f t="shared" si="604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8"/>
        <v>0</v>
      </c>
      <c r="AD2430" s="196">
        <f t="shared" si="599"/>
        <v>0</v>
      </c>
      <c r="AE2430" s="196">
        <f t="shared" si="600"/>
        <v>0</v>
      </c>
      <c r="AF2430" s="2">
        <f t="shared" si="601"/>
        <v>0</v>
      </c>
      <c r="AG2430" s="2">
        <f t="shared" si="602"/>
        <v>0</v>
      </c>
    </row>
    <row r="2431" spans="1:33">
      <c r="A2431" s="20" t="s">
        <v>2306</v>
      </c>
      <c r="B2431" s="150"/>
      <c r="C2431" s="21" t="s">
        <v>432</v>
      </c>
      <c r="D2431" s="109" t="s">
        <v>14233</v>
      </c>
      <c r="E2431" s="109" t="s">
        <v>13210</v>
      </c>
      <c r="F2431" s="391" t="s">
        <v>15492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603"/>
        <v>0</v>
      </c>
      <c r="O2431" s="268">
        <f t="shared" si="604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8"/>
        <v>0</v>
      </c>
      <c r="AD2431" s="196">
        <f t="shared" si="599"/>
        <v>0</v>
      </c>
      <c r="AE2431" s="196">
        <f t="shared" si="600"/>
        <v>0</v>
      </c>
      <c r="AF2431" s="2">
        <f t="shared" si="601"/>
        <v>0</v>
      </c>
      <c r="AG2431" s="2">
        <f t="shared" si="602"/>
        <v>0</v>
      </c>
    </row>
    <row r="2432" spans="1:33">
      <c r="A2432" s="20" t="s">
        <v>2301</v>
      </c>
      <c r="B2432" s="150"/>
      <c r="C2432" s="21" t="s">
        <v>15493</v>
      </c>
      <c r="D2432" s="109" t="s">
        <v>13239</v>
      </c>
      <c r="E2432" s="109"/>
      <c r="F2432" s="391" t="s">
        <v>15494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603"/>
        <v>0</v>
      </c>
      <c r="O2432" s="268">
        <f t="shared" si="604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8"/>
        <v>0</v>
      </c>
      <c r="AD2432" s="196">
        <f t="shared" si="599"/>
        <v>0</v>
      </c>
      <c r="AE2432" s="196">
        <f t="shared" si="600"/>
        <v>0</v>
      </c>
      <c r="AF2432" s="2">
        <f t="shared" si="601"/>
        <v>0</v>
      </c>
      <c r="AG2432" s="2">
        <f t="shared" si="602"/>
        <v>0</v>
      </c>
    </row>
    <row r="2433" spans="1:33">
      <c r="A2433" s="20" t="s">
        <v>2302</v>
      </c>
      <c r="B2433" s="150"/>
      <c r="C2433" s="21" t="s">
        <v>4854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603"/>
        <v>0</v>
      </c>
      <c r="O2433" s="268">
        <f t="shared" si="604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8"/>
        <v>0</v>
      </c>
      <c r="AD2433" s="196">
        <f t="shared" si="599"/>
        <v>0</v>
      </c>
      <c r="AE2433" s="196">
        <f t="shared" si="600"/>
        <v>0</v>
      </c>
      <c r="AF2433" s="2">
        <f t="shared" si="601"/>
        <v>0</v>
      </c>
      <c r="AG2433" s="2">
        <f t="shared" si="602"/>
        <v>0</v>
      </c>
    </row>
    <row r="2434" spans="1:33">
      <c r="A2434" s="20" t="s">
        <v>2303</v>
      </c>
      <c r="B2434" s="150"/>
      <c r="C2434" s="21" t="s">
        <v>4855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603"/>
        <v>0</v>
      </c>
      <c r="O2434" s="268">
        <f t="shared" si="604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8"/>
        <v>0</v>
      </c>
      <c r="AD2434" s="196">
        <f t="shared" si="599"/>
        <v>0</v>
      </c>
      <c r="AE2434" s="196">
        <f t="shared" si="600"/>
        <v>0</v>
      </c>
      <c r="AF2434" s="2">
        <f t="shared" si="601"/>
        <v>0</v>
      </c>
      <c r="AG2434" s="2">
        <f t="shared" si="602"/>
        <v>0</v>
      </c>
    </row>
    <row r="2435" spans="1:33">
      <c r="A2435" s="20" t="s">
        <v>2304</v>
      </c>
      <c r="B2435" s="161"/>
      <c r="C2435" s="21" t="s">
        <v>4856</v>
      </c>
      <c r="D2435" s="109" t="s">
        <v>13239</v>
      </c>
      <c r="E2435" s="109"/>
      <c r="F2435" s="391" t="s">
        <v>15492</v>
      </c>
      <c r="G2435" s="23" t="s">
        <v>14235</v>
      </c>
      <c r="H2435" s="23"/>
      <c r="I2435" s="23"/>
      <c r="J2435" s="23"/>
      <c r="K2435" s="23"/>
      <c r="L2435" s="350"/>
      <c r="M2435" s="351"/>
      <c r="N2435" s="267">
        <f t="shared" si="603"/>
        <v>0</v>
      </c>
      <c r="O2435" s="268">
        <f t="shared" si="604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8"/>
        <v>0</v>
      </c>
      <c r="AD2435" s="196">
        <f t="shared" si="599"/>
        <v>0</v>
      </c>
      <c r="AE2435" s="196">
        <f t="shared" si="600"/>
        <v>0</v>
      </c>
      <c r="AF2435" s="2">
        <f t="shared" si="601"/>
        <v>0</v>
      </c>
      <c r="AG2435" s="2">
        <f t="shared" si="602"/>
        <v>0</v>
      </c>
    </row>
    <row r="2436" spans="1:33">
      <c r="A2436" s="20" t="s">
        <v>2305</v>
      </c>
      <c r="B2436" s="161"/>
      <c r="C2436" s="21" t="s">
        <v>4857</v>
      </c>
      <c r="D2436" s="109" t="s">
        <v>13239</v>
      </c>
      <c r="E2436" s="109"/>
      <c r="F2436" s="391" t="s">
        <v>15492</v>
      </c>
      <c r="G2436" s="23" t="s">
        <v>14235</v>
      </c>
      <c r="H2436" s="23"/>
      <c r="I2436" s="23"/>
      <c r="J2436" s="23"/>
      <c r="K2436" s="23"/>
      <c r="L2436" s="350"/>
      <c r="M2436" s="351"/>
      <c r="N2436" s="267">
        <f t="shared" si="603"/>
        <v>0</v>
      </c>
      <c r="O2436" s="268">
        <f t="shared" si="604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8"/>
        <v>0</v>
      </c>
      <c r="AD2436" s="196">
        <f t="shared" si="599"/>
        <v>0</v>
      </c>
      <c r="AE2436" s="196">
        <f t="shared" si="600"/>
        <v>0</v>
      </c>
      <c r="AF2436" s="2">
        <f t="shared" si="601"/>
        <v>0</v>
      </c>
      <c r="AG2436" s="2">
        <f t="shared" si="602"/>
        <v>0</v>
      </c>
    </row>
    <row r="2437" spans="1:33">
      <c r="A2437" s="20" t="s">
        <v>2731</v>
      </c>
      <c r="B2437" s="161"/>
      <c r="C2437" s="21" t="s">
        <v>820</v>
      </c>
      <c r="D2437" s="109" t="s">
        <v>14004</v>
      </c>
      <c r="E2437" s="109" t="s">
        <v>13210</v>
      </c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603"/>
        <v>0</v>
      </c>
      <c r="O2437" s="268">
        <f t="shared" si="604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8"/>
        <v>0</v>
      </c>
      <c r="AD2437" s="196">
        <f t="shared" si="599"/>
        <v>0</v>
      </c>
      <c r="AE2437" s="196">
        <f t="shared" si="600"/>
        <v>0</v>
      </c>
      <c r="AF2437" s="2">
        <f t="shared" si="601"/>
        <v>0</v>
      </c>
      <c r="AG2437" s="2">
        <f t="shared" si="602"/>
        <v>0</v>
      </c>
    </row>
    <row r="2438" spans="1:33">
      <c r="A2438" s="20" t="s">
        <v>2733</v>
      </c>
      <c r="B2438" s="161"/>
      <c r="C2438" s="21" t="s">
        <v>820</v>
      </c>
      <c r="D2438" s="109" t="s">
        <v>14288</v>
      </c>
      <c r="E2438" s="109"/>
      <c r="F2438" s="391" t="s">
        <v>15495</v>
      </c>
      <c r="G2438" s="23"/>
      <c r="H2438" s="23"/>
      <c r="I2438" s="23"/>
      <c r="J2438" s="23"/>
      <c r="K2438" s="23"/>
      <c r="L2438" s="350"/>
      <c r="M2438" s="351"/>
      <c r="N2438" s="267">
        <f t="shared" si="603"/>
        <v>0</v>
      </c>
      <c r="O2438" s="268">
        <f t="shared" si="604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8"/>
        <v>0</v>
      </c>
      <c r="AD2438" s="196">
        <f t="shared" si="599"/>
        <v>0</v>
      </c>
      <c r="AE2438" s="196">
        <f t="shared" si="600"/>
        <v>0</v>
      </c>
      <c r="AF2438" s="2">
        <f t="shared" si="601"/>
        <v>0</v>
      </c>
      <c r="AG2438" s="2">
        <f t="shared" si="602"/>
        <v>0</v>
      </c>
    </row>
    <row r="2439" spans="1:33">
      <c r="A2439" s="20" t="s">
        <v>2732</v>
      </c>
      <c r="B2439" s="150"/>
      <c r="C2439" s="21" t="s">
        <v>820</v>
      </c>
      <c r="D2439" s="109" t="s">
        <v>13207</v>
      </c>
      <c r="E2439" s="109"/>
      <c r="F2439" s="391" t="s">
        <v>15495</v>
      </c>
      <c r="G2439" s="23"/>
      <c r="H2439" s="23"/>
      <c r="I2439" s="23"/>
      <c r="J2439" s="23"/>
      <c r="K2439" s="23"/>
      <c r="L2439" s="350"/>
      <c r="M2439" s="351"/>
      <c r="N2439" s="267">
        <f t="shared" si="603"/>
        <v>0</v>
      </c>
      <c r="O2439" s="268">
        <f t="shared" si="604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8"/>
        <v>0</v>
      </c>
      <c r="AD2439" s="196">
        <f t="shared" si="599"/>
        <v>0</v>
      </c>
      <c r="AE2439" s="196">
        <f t="shared" si="600"/>
        <v>0</v>
      </c>
      <c r="AF2439" s="2">
        <f t="shared" si="601"/>
        <v>0</v>
      </c>
      <c r="AG2439" s="2">
        <f t="shared" si="602"/>
        <v>0</v>
      </c>
    </row>
    <row r="2440" spans="1:33">
      <c r="A2440" s="20" t="s">
        <v>2307</v>
      </c>
      <c r="B2440" s="150"/>
      <c r="C2440" s="21" t="s">
        <v>15496</v>
      </c>
      <c r="D2440" s="109" t="s">
        <v>13239</v>
      </c>
      <c r="E2440" s="109"/>
      <c r="F2440" s="391" t="s">
        <v>15497</v>
      </c>
      <c r="G2440" s="23" t="s">
        <v>14235</v>
      </c>
      <c r="H2440" s="23"/>
      <c r="I2440" s="23"/>
      <c r="J2440" s="23"/>
      <c r="K2440" s="23"/>
      <c r="L2440" s="350"/>
      <c r="M2440" s="351"/>
      <c r="N2440" s="267">
        <f t="shared" si="603"/>
        <v>0</v>
      </c>
      <c r="O2440" s="268">
        <f t="shared" si="604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8"/>
        <v>0</v>
      </c>
      <c r="AD2440" s="196">
        <f t="shared" si="599"/>
        <v>0</v>
      </c>
      <c r="AE2440" s="196">
        <f t="shared" si="600"/>
        <v>0</v>
      </c>
      <c r="AF2440" s="2">
        <f t="shared" si="601"/>
        <v>0</v>
      </c>
      <c r="AG2440" s="2">
        <f t="shared" si="602"/>
        <v>0</v>
      </c>
    </row>
    <row r="2441" spans="1:33">
      <c r="A2441" s="20" t="s">
        <v>2308</v>
      </c>
      <c r="B2441" s="150"/>
      <c r="C2441" s="21" t="s">
        <v>4861</v>
      </c>
      <c r="D2441" s="109" t="s">
        <v>13239</v>
      </c>
      <c r="E2441" s="109"/>
      <c r="F2441" s="391" t="s">
        <v>15497</v>
      </c>
      <c r="G2441" s="23" t="s">
        <v>14235</v>
      </c>
      <c r="H2441" s="23"/>
      <c r="I2441" s="23"/>
      <c r="J2441" s="23"/>
      <c r="K2441" s="23"/>
      <c r="L2441" s="350"/>
      <c r="M2441" s="351"/>
      <c r="N2441" s="267">
        <f t="shared" si="603"/>
        <v>0</v>
      </c>
      <c r="O2441" s="268">
        <f t="shared" si="604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8"/>
        <v>0</v>
      </c>
      <c r="AD2441" s="196">
        <f t="shared" si="599"/>
        <v>0</v>
      </c>
      <c r="AE2441" s="196">
        <f t="shared" si="600"/>
        <v>0</v>
      </c>
      <c r="AF2441" s="2">
        <f t="shared" si="601"/>
        <v>0</v>
      </c>
      <c r="AG2441" s="2">
        <f t="shared" si="602"/>
        <v>0</v>
      </c>
    </row>
    <row r="2442" spans="1:33">
      <c r="A2442" s="20" t="s">
        <v>2309</v>
      </c>
      <c r="B2442" s="152" t="s">
        <v>15498</v>
      </c>
      <c r="C2442" s="21" t="s">
        <v>433</v>
      </c>
      <c r="D2442" s="109" t="s">
        <v>15428</v>
      </c>
      <c r="E2442" s="109"/>
      <c r="F2442" s="391" t="s">
        <v>15499</v>
      </c>
      <c r="G2442" s="23" t="s">
        <v>15429</v>
      </c>
      <c r="H2442" s="23"/>
      <c r="I2442" s="23"/>
      <c r="J2442" s="23"/>
      <c r="K2442" s="23"/>
      <c r="L2442" s="375" t="s">
        <v>7787</v>
      </c>
      <c r="M2442" s="351" t="s">
        <v>7787</v>
      </c>
      <c r="N2442" s="267">
        <f t="shared" si="603"/>
        <v>0</v>
      </c>
      <c r="O2442" s="268">
        <f t="shared" si="604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8"/>
        <v>0</v>
      </c>
      <c r="AD2442" s="196">
        <f t="shared" si="599"/>
        <v>0</v>
      </c>
      <c r="AE2442" s="196">
        <f t="shared" si="600"/>
        <v>0</v>
      </c>
      <c r="AF2442" s="2">
        <f t="shared" si="601"/>
        <v>0</v>
      </c>
      <c r="AG2442" s="2">
        <f t="shared" si="602"/>
        <v>0</v>
      </c>
    </row>
    <row r="2443" spans="1:33">
      <c r="A2443" s="20" t="s">
        <v>2310</v>
      </c>
      <c r="B2443" s="161"/>
      <c r="C2443" s="21" t="s">
        <v>434</v>
      </c>
      <c r="D2443" s="109" t="s">
        <v>13207</v>
      </c>
      <c r="E2443" s="109"/>
      <c r="F2443" s="391" t="s">
        <v>15500</v>
      </c>
      <c r="G2443" s="23"/>
      <c r="H2443" s="23"/>
      <c r="I2443" s="23"/>
      <c r="J2443" s="23"/>
      <c r="K2443" s="23"/>
      <c r="L2443" s="350"/>
      <c r="M2443" s="351"/>
      <c r="N2443" s="267">
        <f t="shared" si="603"/>
        <v>0</v>
      </c>
      <c r="O2443" s="268">
        <f t="shared" si="604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79"/>
      <c r="AB2443" s="238"/>
      <c r="AC2443" s="196">
        <f t="shared" si="598"/>
        <v>0</v>
      </c>
      <c r="AD2443" s="196">
        <f t="shared" si="599"/>
        <v>0</v>
      </c>
      <c r="AE2443" s="196">
        <f t="shared" si="600"/>
        <v>0</v>
      </c>
      <c r="AF2443" s="2">
        <f t="shared" si="601"/>
        <v>0</v>
      </c>
      <c r="AG2443" s="2">
        <f t="shared" si="602"/>
        <v>0</v>
      </c>
    </row>
    <row r="2444" spans="1:33">
      <c r="A2444" s="20" t="s">
        <v>2311</v>
      </c>
      <c r="B2444" s="161"/>
      <c r="C2444" s="21" t="s">
        <v>435</v>
      </c>
      <c r="D2444" s="109" t="s">
        <v>13239</v>
      </c>
      <c r="E2444" s="109"/>
      <c r="F2444" s="391" t="s">
        <v>15501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603"/>
        <v>0</v>
      </c>
      <c r="O2444" s="268">
        <f t="shared" si="604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79"/>
      <c r="AB2444" s="238"/>
      <c r="AC2444" s="196">
        <f t="shared" si="598"/>
        <v>0</v>
      </c>
      <c r="AD2444" s="196">
        <f t="shared" si="599"/>
        <v>0</v>
      </c>
      <c r="AE2444" s="196">
        <f t="shared" si="600"/>
        <v>0</v>
      </c>
      <c r="AF2444" s="2">
        <f t="shared" si="601"/>
        <v>0</v>
      </c>
      <c r="AG2444" s="2">
        <f t="shared" si="602"/>
        <v>0</v>
      </c>
    </row>
    <row r="2445" spans="1:33">
      <c r="A2445" s="20" t="s">
        <v>2317</v>
      </c>
      <c r="B2445" s="150"/>
      <c r="C2445" s="21" t="s">
        <v>15502</v>
      </c>
      <c r="D2445" s="109" t="s">
        <v>14233</v>
      </c>
      <c r="E2445" s="109" t="s">
        <v>13210</v>
      </c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603"/>
        <v>0</v>
      </c>
      <c r="O2445" s="268">
        <f t="shared" si="604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85"/>
      <c r="AB2445" s="238"/>
      <c r="AC2445" s="196">
        <f t="shared" si="598"/>
        <v>0</v>
      </c>
      <c r="AD2445" s="196">
        <f t="shared" si="599"/>
        <v>0</v>
      </c>
      <c r="AE2445" s="196">
        <f t="shared" si="600"/>
        <v>0</v>
      </c>
      <c r="AF2445" s="2">
        <f t="shared" si="601"/>
        <v>0</v>
      </c>
      <c r="AG2445" s="2">
        <f t="shared" si="602"/>
        <v>0</v>
      </c>
    </row>
    <row r="2446" spans="1:33">
      <c r="A2446" s="20" t="s">
        <v>2312</v>
      </c>
      <c r="B2446" s="161"/>
      <c r="C2446" s="21" t="s">
        <v>15502</v>
      </c>
      <c r="D2446" s="109" t="s">
        <v>13239</v>
      </c>
      <c r="E2446" s="109"/>
      <c r="F2446" s="391" t="s">
        <v>15503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603"/>
        <v>0</v>
      </c>
      <c r="O2446" s="268">
        <f t="shared" si="604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8"/>
        <v>0</v>
      </c>
      <c r="AD2446" s="196">
        <f t="shared" si="599"/>
        <v>0</v>
      </c>
      <c r="AE2446" s="196">
        <f t="shared" si="600"/>
        <v>0</v>
      </c>
      <c r="AF2446" s="2">
        <f t="shared" si="601"/>
        <v>0</v>
      </c>
      <c r="AG2446" s="2">
        <f t="shared" si="602"/>
        <v>0</v>
      </c>
    </row>
    <row r="2447" spans="1:33">
      <c r="A2447" s="20" t="s">
        <v>2313</v>
      </c>
      <c r="B2447" s="161"/>
      <c r="C2447" s="21" t="s">
        <v>15502</v>
      </c>
      <c r="D2447" s="109" t="s">
        <v>13239</v>
      </c>
      <c r="E2447" s="109"/>
      <c r="F2447" s="391" t="s">
        <v>15503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603"/>
        <v>0</v>
      </c>
      <c r="O2447" s="268">
        <f t="shared" si="604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8"/>
        <v>0</v>
      </c>
      <c r="AD2447" s="196">
        <f t="shared" si="599"/>
        <v>0</v>
      </c>
      <c r="AE2447" s="196">
        <f t="shared" si="600"/>
        <v>0</v>
      </c>
      <c r="AF2447" s="2">
        <f t="shared" si="601"/>
        <v>0</v>
      </c>
      <c r="AG2447" s="2">
        <f t="shared" si="602"/>
        <v>0</v>
      </c>
    </row>
    <row r="2448" spans="1:33">
      <c r="A2448" s="20" t="s">
        <v>2314</v>
      </c>
      <c r="B2448" s="150"/>
      <c r="C2448" s="21" t="s">
        <v>4867</v>
      </c>
      <c r="D2448" s="109" t="s">
        <v>13239</v>
      </c>
      <c r="E2448" s="109"/>
      <c r="F2448" s="391" t="s">
        <v>15504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603"/>
        <v>0</v>
      </c>
      <c r="O2448" s="268">
        <f t="shared" si="604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8"/>
        <v>0</v>
      </c>
      <c r="AD2448" s="196">
        <f t="shared" si="599"/>
        <v>0</v>
      </c>
      <c r="AE2448" s="196">
        <f t="shared" si="600"/>
        <v>0</v>
      </c>
      <c r="AF2448" s="2">
        <f t="shared" si="601"/>
        <v>0</v>
      </c>
      <c r="AG2448" s="2">
        <f t="shared" si="602"/>
        <v>0</v>
      </c>
    </row>
    <row r="2449" spans="1:33">
      <c r="A2449" s="20" t="s">
        <v>2315</v>
      </c>
      <c r="B2449" s="150"/>
      <c r="C2449" s="21" t="s">
        <v>4868</v>
      </c>
      <c r="D2449" s="109" t="s">
        <v>13239</v>
      </c>
      <c r="E2449" s="109"/>
      <c r="F2449" s="391" t="s">
        <v>15503</v>
      </c>
      <c r="G2449" s="23" t="s">
        <v>14235</v>
      </c>
      <c r="H2449" s="23"/>
      <c r="I2449" s="23"/>
      <c r="J2449" s="23"/>
      <c r="K2449" s="23"/>
      <c r="L2449" s="350"/>
      <c r="M2449" s="351"/>
      <c r="N2449" s="267">
        <f t="shared" si="603"/>
        <v>0</v>
      </c>
      <c r="O2449" s="268">
        <f t="shared" si="604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7"/>
      <c r="Z2449" s="237"/>
      <c r="AA2449" s="279"/>
      <c r="AB2449" s="238"/>
      <c r="AC2449" s="196">
        <f t="shared" si="598"/>
        <v>0</v>
      </c>
      <c r="AD2449" s="196">
        <f t="shared" si="599"/>
        <v>0</v>
      </c>
      <c r="AE2449" s="196">
        <f t="shared" si="600"/>
        <v>0</v>
      </c>
      <c r="AF2449" s="2">
        <f t="shared" si="601"/>
        <v>0</v>
      </c>
      <c r="AG2449" s="2">
        <f t="shared" si="602"/>
        <v>0</v>
      </c>
    </row>
    <row r="2450" spans="1:33">
      <c r="A2450" s="20" t="s">
        <v>2316</v>
      </c>
      <c r="B2450" s="150"/>
      <c r="C2450" s="21" t="s">
        <v>4869</v>
      </c>
      <c r="D2450" s="109" t="s">
        <v>13239</v>
      </c>
      <c r="E2450" s="109"/>
      <c r="F2450" s="391" t="s">
        <v>15504</v>
      </c>
      <c r="G2450" s="23" t="s">
        <v>14235</v>
      </c>
      <c r="H2450" s="23"/>
      <c r="I2450" s="23"/>
      <c r="J2450" s="23"/>
      <c r="K2450" s="23"/>
      <c r="L2450" s="350"/>
      <c r="M2450" s="351"/>
      <c r="N2450" s="267">
        <f t="shared" si="603"/>
        <v>0</v>
      </c>
      <c r="O2450" s="268">
        <f t="shared" si="604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7"/>
      <c r="Z2450" s="237"/>
      <c r="AA2450" s="279"/>
      <c r="AB2450" s="238"/>
      <c r="AC2450" s="196">
        <f t="shared" si="598"/>
        <v>0</v>
      </c>
      <c r="AD2450" s="196">
        <f t="shared" si="599"/>
        <v>0</v>
      </c>
      <c r="AE2450" s="196">
        <f t="shared" si="600"/>
        <v>0</v>
      </c>
      <c r="AF2450" s="2">
        <f t="shared" si="601"/>
        <v>0</v>
      </c>
      <c r="AG2450" s="2">
        <f t="shared" si="602"/>
        <v>0</v>
      </c>
    </row>
    <row r="2451" spans="1:33">
      <c r="A2451" s="20" t="s">
        <v>2318</v>
      </c>
      <c r="B2451" s="150"/>
      <c r="C2451" s="21" t="s">
        <v>436</v>
      </c>
      <c r="D2451" s="109" t="s">
        <v>13207</v>
      </c>
      <c r="E2451" s="109"/>
      <c r="F2451" s="391" t="s">
        <v>15505</v>
      </c>
      <c r="G2451" s="23" t="s">
        <v>14059</v>
      </c>
      <c r="H2451" s="23"/>
      <c r="I2451" s="23"/>
      <c r="J2451" s="23"/>
      <c r="K2451" s="23"/>
      <c r="L2451" s="375" t="s">
        <v>7787</v>
      </c>
      <c r="M2451" s="351"/>
      <c r="N2451" s="267">
        <f t="shared" si="603"/>
        <v>0</v>
      </c>
      <c r="O2451" s="268">
        <f t="shared" si="604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9"/>
      <c r="Z2451" s="237"/>
      <c r="AA2451" s="279"/>
      <c r="AB2451" s="238"/>
      <c r="AC2451" s="196">
        <f t="shared" si="598"/>
        <v>0</v>
      </c>
      <c r="AD2451" s="196">
        <f t="shared" si="599"/>
        <v>0</v>
      </c>
      <c r="AE2451" s="196">
        <f t="shared" si="600"/>
        <v>0</v>
      </c>
      <c r="AF2451" s="2">
        <f t="shared" si="601"/>
        <v>0</v>
      </c>
      <c r="AG2451" s="2">
        <f t="shared" si="602"/>
        <v>0</v>
      </c>
    </row>
    <row r="2452" spans="1:33">
      <c r="A2452" s="20" t="s">
        <v>17963</v>
      </c>
      <c r="B2452" s="150"/>
      <c r="C2452" s="21" t="s">
        <v>436</v>
      </c>
      <c r="D2452" s="109" t="s">
        <v>18094</v>
      </c>
      <c r="E2452" s="109" t="s">
        <v>18095</v>
      </c>
      <c r="F2452" s="391" t="s">
        <v>4872</v>
      </c>
      <c r="G2452" s="23" t="s">
        <v>18096</v>
      </c>
      <c r="H2452" s="23"/>
      <c r="I2452" s="23"/>
      <c r="J2452" s="23"/>
      <c r="K2452" s="23"/>
      <c r="L2452" s="375" t="s">
        <v>7787</v>
      </c>
      <c r="M2452" s="351" t="s">
        <v>7787</v>
      </c>
      <c r="N2452" s="267">
        <f t="shared" si="603"/>
        <v>0</v>
      </c>
      <c r="O2452" s="268">
        <f t="shared" si="604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8"/>
        <v>0</v>
      </c>
      <c r="AD2452" s="196">
        <f t="shared" si="599"/>
        <v>0</v>
      </c>
      <c r="AE2452" s="196">
        <f t="shared" si="600"/>
        <v>0</v>
      </c>
      <c r="AF2452" s="2">
        <f t="shared" si="601"/>
        <v>0</v>
      </c>
      <c r="AG2452" s="2">
        <f t="shared" si="602"/>
        <v>0</v>
      </c>
    </row>
    <row r="2453" spans="1:33">
      <c r="A2453" s="20" t="s">
        <v>2319</v>
      </c>
      <c r="B2453" s="150"/>
      <c r="C2453" s="21" t="s">
        <v>437</v>
      </c>
      <c r="D2453" s="109" t="s">
        <v>13239</v>
      </c>
      <c r="E2453" s="109"/>
      <c r="F2453" s="391" t="s">
        <v>15506</v>
      </c>
      <c r="G2453" s="23" t="s">
        <v>14235</v>
      </c>
      <c r="H2453" s="23" t="s">
        <v>14197</v>
      </c>
      <c r="I2453" s="23"/>
      <c r="J2453" s="23"/>
      <c r="K2453" s="23"/>
      <c r="L2453" s="350"/>
      <c r="M2453" s="351"/>
      <c r="N2453" s="267">
        <f t="shared" si="603"/>
        <v>0</v>
      </c>
      <c r="O2453" s="268">
        <f t="shared" si="604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79"/>
      <c r="AB2453" s="238"/>
      <c r="AC2453" s="196">
        <f t="shared" si="598"/>
        <v>0</v>
      </c>
      <c r="AD2453" s="196">
        <f t="shared" si="599"/>
        <v>0</v>
      </c>
      <c r="AE2453" s="196">
        <f t="shared" si="600"/>
        <v>0</v>
      </c>
      <c r="AF2453" s="2">
        <f t="shared" si="601"/>
        <v>0</v>
      </c>
      <c r="AG2453" s="2">
        <f t="shared" si="602"/>
        <v>0</v>
      </c>
    </row>
    <row r="2454" spans="1:33">
      <c r="A2454" s="20" t="s">
        <v>2320</v>
      </c>
      <c r="B2454" s="150"/>
      <c r="C2454" s="21" t="s">
        <v>437</v>
      </c>
      <c r="D2454" s="109" t="s">
        <v>13239</v>
      </c>
      <c r="E2454" s="109"/>
      <c r="F2454" s="391" t="s">
        <v>15507</v>
      </c>
      <c r="G2454" s="23" t="s">
        <v>14235</v>
      </c>
      <c r="H2454" s="23"/>
      <c r="I2454" s="23"/>
      <c r="J2454" s="23"/>
      <c r="K2454" s="23"/>
      <c r="L2454" s="350"/>
      <c r="M2454" s="351"/>
      <c r="N2454" s="267">
        <f t="shared" si="603"/>
        <v>0</v>
      </c>
      <c r="O2454" s="268">
        <f t="shared" si="604"/>
        <v>0</v>
      </c>
      <c r="P2454" s="239"/>
      <c r="Q2454" s="239"/>
      <c r="R2454" s="239"/>
      <c r="S2454" s="239"/>
      <c r="T2454" s="239"/>
      <c r="U2454" s="240"/>
      <c r="V2454" s="240"/>
      <c r="W2454" s="240"/>
      <c r="X2454" s="278"/>
      <c r="Y2454" s="237"/>
      <c r="Z2454" s="237"/>
      <c r="AA2454" s="279"/>
      <c r="AB2454" s="238"/>
      <c r="AC2454" s="196">
        <f t="shared" si="598"/>
        <v>0</v>
      </c>
      <c r="AD2454" s="196">
        <f t="shared" si="599"/>
        <v>0</v>
      </c>
      <c r="AE2454" s="196">
        <f t="shared" si="600"/>
        <v>0</v>
      </c>
      <c r="AF2454" s="2">
        <f t="shared" si="601"/>
        <v>0</v>
      </c>
      <c r="AG2454" s="2">
        <f t="shared" si="602"/>
        <v>0</v>
      </c>
    </row>
    <row r="2455" spans="1:33">
      <c r="A2455" s="20" t="s">
        <v>2321</v>
      </c>
      <c r="B2455" s="150"/>
      <c r="C2455" s="21" t="s">
        <v>438</v>
      </c>
      <c r="D2455" s="109" t="s">
        <v>14038</v>
      </c>
      <c r="E2455" s="109"/>
      <c r="F2455" s="391" t="s">
        <v>15508</v>
      </c>
      <c r="G2455" s="23" t="s">
        <v>14263</v>
      </c>
      <c r="H2455" s="23" t="s">
        <v>15509</v>
      </c>
      <c r="I2455" s="23"/>
      <c r="J2455" s="23"/>
      <c r="K2455" s="23"/>
      <c r="L2455" s="350"/>
      <c r="M2455" s="351"/>
      <c r="N2455" s="267">
        <f t="shared" si="603"/>
        <v>0</v>
      </c>
      <c r="O2455" s="268">
        <f t="shared" si="604"/>
        <v>0</v>
      </c>
      <c r="P2455" s="239"/>
      <c r="Q2455" s="239"/>
      <c r="R2455" s="239"/>
      <c r="S2455" s="239"/>
      <c r="T2455" s="239"/>
      <c r="U2455" s="240"/>
      <c r="V2455" s="240"/>
      <c r="W2455" s="240"/>
      <c r="X2455" s="278"/>
      <c r="Y2455" s="237"/>
      <c r="Z2455" s="237"/>
      <c r="AA2455" s="240"/>
      <c r="AB2455" s="238"/>
      <c r="AC2455" s="196">
        <f t="shared" si="598"/>
        <v>0</v>
      </c>
      <c r="AD2455" s="196">
        <f t="shared" si="599"/>
        <v>0</v>
      </c>
      <c r="AE2455" s="196">
        <f t="shared" si="600"/>
        <v>0</v>
      </c>
      <c r="AF2455" s="2">
        <f t="shared" si="601"/>
        <v>0</v>
      </c>
      <c r="AG2455" s="2">
        <f t="shared" si="602"/>
        <v>0</v>
      </c>
    </row>
    <row r="2456" spans="1:33">
      <c r="A2456" s="20" t="s">
        <v>8133</v>
      </c>
      <c r="B2456" s="150"/>
      <c r="C2456" s="21" t="s">
        <v>15510</v>
      </c>
      <c r="D2456" s="109" t="s">
        <v>15511</v>
      </c>
      <c r="E2456" s="109"/>
      <c r="F2456" s="391" t="s">
        <v>15512</v>
      </c>
      <c r="G2456" s="23" t="s">
        <v>13999</v>
      </c>
      <c r="H2456" s="23" t="s">
        <v>26818</v>
      </c>
      <c r="I2456" s="23"/>
      <c r="J2456" s="23"/>
      <c r="K2456" s="23"/>
      <c r="L2456" s="375" t="s">
        <v>45</v>
      </c>
      <c r="M2456" s="351"/>
      <c r="N2456" s="267">
        <f t="shared" si="603"/>
        <v>0</v>
      </c>
      <c r="O2456" s="268">
        <f t="shared" si="604"/>
        <v>100</v>
      </c>
      <c r="P2456" s="239"/>
      <c r="Q2456" s="239"/>
      <c r="R2456" s="239">
        <f>200-100</f>
        <v>100</v>
      </c>
      <c r="S2456" s="239"/>
      <c r="T2456" s="239"/>
      <c r="U2456" s="240"/>
      <c r="V2456" s="240"/>
      <c r="W2456" s="240"/>
      <c r="X2456" s="278"/>
      <c r="Y2456" s="237"/>
      <c r="Z2456" s="237"/>
      <c r="AA2456" s="239"/>
      <c r="AB2456" s="238" t="s">
        <v>26804</v>
      </c>
      <c r="AC2456" s="196">
        <f t="shared" si="598"/>
        <v>100</v>
      </c>
      <c r="AD2456" s="196">
        <f t="shared" si="599"/>
        <v>100</v>
      </c>
      <c r="AE2456" s="196">
        <f t="shared" si="600"/>
        <v>0</v>
      </c>
      <c r="AF2456" s="2">
        <f t="shared" si="601"/>
        <v>100</v>
      </c>
      <c r="AG2456" s="2">
        <f t="shared" si="602"/>
        <v>0</v>
      </c>
    </row>
    <row r="2457" spans="1:33">
      <c r="A2457" s="20" t="s">
        <v>2322</v>
      </c>
      <c r="B2457" s="150"/>
      <c r="C2457" s="21" t="s">
        <v>439</v>
      </c>
      <c r="D2457" s="109" t="s">
        <v>13207</v>
      </c>
      <c r="E2457" s="109"/>
      <c r="F2457" s="391" t="s">
        <v>15513</v>
      </c>
      <c r="G2457" s="23" t="s">
        <v>15514</v>
      </c>
      <c r="H2457" s="23" t="s">
        <v>13339</v>
      </c>
      <c r="I2457" s="23"/>
      <c r="J2457" s="23"/>
      <c r="K2457" s="23"/>
      <c r="L2457" s="375" t="s">
        <v>7787</v>
      </c>
      <c r="M2457" s="351" t="s">
        <v>7787</v>
      </c>
      <c r="N2457" s="267">
        <f t="shared" si="603"/>
        <v>0</v>
      </c>
      <c r="O2457" s="268">
        <f t="shared" si="604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8"/>
        <v>0</v>
      </c>
      <c r="AD2457" s="196">
        <f t="shared" si="599"/>
        <v>0</v>
      </c>
      <c r="AE2457" s="196">
        <f t="shared" si="600"/>
        <v>0</v>
      </c>
      <c r="AF2457" s="2">
        <f t="shared" si="601"/>
        <v>0</v>
      </c>
      <c r="AG2457" s="2">
        <f t="shared" si="602"/>
        <v>0</v>
      </c>
    </row>
    <row r="2458" spans="1:33">
      <c r="A2458" s="20" t="s">
        <v>2734</v>
      </c>
      <c r="B2458" s="150"/>
      <c r="C2458" s="21" t="s">
        <v>15515</v>
      </c>
      <c r="D2458" s="109" t="s">
        <v>13223</v>
      </c>
      <c r="E2458" s="109"/>
      <c r="F2458" s="391" t="s">
        <v>15495</v>
      </c>
      <c r="G2458" s="23"/>
      <c r="H2458" s="23"/>
      <c r="I2458" s="23"/>
      <c r="J2458" s="23"/>
      <c r="K2458" s="23"/>
      <c r="L2458" s="350"/>
      <c r="M2458" s="351"/>
      <c r="N2458" s="267">
        <f t="shared" si="603"/>
        <v>0</v>
      </c>
      <c r="O2458" s="268">
        <f t="shared" si="604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8"/>
        <v>0</v>
      </c>
      <c r="AD2458" s="196">
        <f t="shared" si="599"/>
        <v>0</v>
      </c>
      <c r="AE2458" s="196">
        <f t="shared" si="600"/>
        <v>0</v>
      </c>
      <c r="AF2458" s="2">
        <f t="shared" si="601"/>
        <v>0</v>
      </c>
      <c r="AG2458" s="2">
        <f t="shared" si="602"/>
        <v>0</v>
      </c>
    </row>
    <row r="2459" spans="1:33">
      <c r="A2459" s="20" t="s">
        <v>7780</v>
      </c>
      <c r="B2459" s="150"/>
      <c r="C2459" s="21" t="s">
        <v>440</v>
      </c>
      <c r="D2459" s="109" t="s">
        <v>13228</v>
      </c>
      <c r="E2459" s="109"/>
      <c r="F2459" s="391" t="s">
        <v>15516</v>
      </c>
      <c r="G2459" s="23" t="s">
        <v>14269</v>
      </c>
      <c r="H2459" s="23" t="s">
        <v>13214</v>
      </c>
      <c r="I2459" s="23"/>
      <c r="J2459" s="23"/>
      <c r="K2459" s="23"/>
      <c r="L2459" s="375"/>
      <c r="M2459" s="351"/>
      <c r="N2459" s="267">
        <f t="shared" si="603"/>
        <v>0</v>
      </c>
      <c r="O2459" s="268">
        <f t="shared" si="604"/>
        <v>0</v>
      </c>
      <c r="P2459" s="239"/>
      <c r="Q2459" s="239"/>
      <c r="R2459" s="239"/>
      <c r="S2459" s="239"/>
      <c r="T2459" s="239"/>
      <c r="U2459" s="240"/>
      <c r="V2459" s="240"/>
      <c r="W2459" s="240"/>
      <c r="X2459" s="278"/>
      <c r="Y2459" s="237"/>
      <c r="Z2459" s="237"/>
      <c r="AA2459" s="279"/>
      <c r="AB2459" s="238"/>
      <c r="AC2459" s="196">
        <f t="shared" si="598"/>
        <v>0</v>
      </c>
      <c r="AD2459" s="196">
        <f t="shared" si="599"/>
        <v>0</v>
      </c>
      <c r="AE2459" s="196">
        <f t="shared" si="600"/>
        <v>0</v>
      </c>
      <c r="AF2459" s="2">
        <f t="shared" si="601"/>
        <v>0</v>
      </c>
      <c r="AG2459" s="2">
        <f t="shared" si="602"/>
        <v>0</v>
      </c>
    </row>
    <row r="2460" spans="1:33">
      <c r="A2460" s="20" t="s">
        <v>2324</v>
      </c>
      <c r="B2460" s="150"/>
      <c r="C2460" s="21" t="s">
        <v>440</v>
      </c>
      <c r="D2460" s="109" t="s">
        <v>13991</v>
      </c>
      <c r="E2460" s="109" t="s">
        <v>14075</v>
      </c>
      <c r="F2460" s="391" t="s">
        <v>15516</v>
      </c>
      <c r="G2460" s="23" t="s">
        <v>13215</v>
      </c>
      <c r="H2460" s="23"/>
      <c r="I2460" s="23"/>
      <c r="J2460" s="23"/>
      <c r="K2460" s="23"/>
      <c r="L2460" s="350"/>
      <c r="M2460" s="351"/>
      <c r="N2460" s="267">
        <f t="shared" si="603"/>
        <v>0</v>
      </c>
      <c r="O2460" s="268">
        <f t="shared" si="604"/>
        <v>0</v>
      </c>
      <c r="P2460" s="239"/>
      <c r="Q2460" s="239"/>
      <c r="R2460" s="239"/>
      <c r="S2460" s="239"/>
      <c r="T2460" s="239"/>
      <c r="U2460" s="240"/>
      <c r="V2460" s="240"/>
      <c r="W2460" s="240"/>
      <c r="X2460" s="278"/>
      <c r="Y2460" s="237"/>
      <c r="Z2460" s="237"/>
      <c r="AA2460" s="279"/>
      <c r="AB2460" s="238"/>
      <c r="AC2460" s="196">
        <f t="shared" si="598"/>
        <v>0</v>
      </c>
      <c r="AD2460" s="196">
        <f t="shared" si="599"/>
        <v>0</v>
      </c>
      <c r="AE2460" s="196">
        <f t="shared" si="600"/>
        <v>0</v>
      </c>
      <c r="AF2460" s="2">
        <f t="shared" si="601"/>
        <v>0</v>
      </c>
      <c r="AG2460" s="2">
        <f t="shared" si="602"/>
        <v>0</v>
      </c>
    </row>
    <row r="2461" spans="1:33">
      <c r="A2461" s="20" t="s">
        <v>2323</v>
      </c>
      <c r="B2461" s="162" t="s">
        <v>5853</v>
      </c>
      <c r="C2461" s="21" t="s">
        <v>440</v>
      </c>
      <c r="D2461" s="109" t="s">
        <v>13207</v>
      </c>
      <c r="E2461" s="109"/>
      <c r="F2461" s="391" t="s">
        <v>15516</v>
      </c>
      <c r="G2461" s="23" t="s">
        <v>13215</v>
      </c>
      <c r="H2461" s="23" t="s">
        <v>15517</v>
      </c>
      <c r="I2461" s="23" t="s">
        <v>18699</v>
      </c>
      <c r="J2461" s="23"/>
      <c r="K2461" s="23"/>
      <c r="L2461" s="375" t="s">
        <v>45</v>
      </c>
      <c r="M2461" s="351" t="s">
        <v>45</v>
      </c>
      <c r="N2461" s="267">
        <f t="shared" si="603"/>
        <v>0</v>
      </c>
      <c r="O2461" s="268">
        <f t="shared" si="604"/>
        <v>150</v>
      </c>
      <c r="P2461" s="239"/>
      <c r="Q2461" s="239">
        <f>250-50-50</f>
        <v>150</v>
      </c>
      <c r="R2461" s="241"/>
      <c r="S2461" s="241"/>
      <c r="T2461" s="239"/>
      <c r="U2461" s="240"/>
      <c r="V2461" s="240"/>
      <c r="W2461" s="240"/>
      <c r="X2461" s="278"/>
      <c r="Y2461" s="239"/>
      <c r="Z2461" s="237"/>
      <c r="AA2461" s="279"/>
      <c r="AB2461" s="238" t="s">
        <v>25533</v>
      </c>
      <c r="AC2461" s="196">
        <f t="shared" si="598"/>
        <v>150</v>
      </c>
      <c r="AD2461" s="196">
        <f t="shared" si="599"/>
        <v>150</v>
      </c>
      <c r="AE2461" s="196">
        <f t="shared" si="600"/>
        <v>0</v>
      </c>
      <c r="AF2461" s="2">
        <f t="shared" si="601"/>
        <v>150</v>
      </c>
      <c r="AG2461" s="2">
        <f t="shared" si="602"/>
        <v>0</v>
      </c>
    </row>
    <row r="2462" spans="1:33" ht="18" customHeight="1">
      <c r="A2462" s="20" t="s">
        <v>6845</v>
      </c>
      <c r="B2462" s="162"/>
      <c r="C2462" s="21" t="s">
        <v>440</v>
      </c>
      <c r="D2462" s="109" t="s">
        <v>13207</v>
      </c>
      <c r="E2462" s="109" t="s">
        <v>26279</v>
      </c>
      <c r="F2462" s="391" t="s">
        <v>15516</v>
      </c>
      <c r="G2462" s="23" t="s">
        <v>15518</v>
      </c>
      <c r="H2462" s="23"/>
      <c r="I2462" s="23"/>
      <c r="J2462" s="23"/>
      <c r="K2462" s="23"/>
      <c r="L2462" s="375" t="s">
        <v>7787</v>
      </c>
      <c r="M2462" s="351" t="s">
        <v>7787</v>
      </c>
      <c r="N2462" s="267">
        <f t="shared" si="603"/>
        <v>0</v>
      </c>
      <c r="O2462" s="268">
        <f t="shared" si="604"/>
        <v>0</v>
      </c>
      <c r="P2462" s="239"/>
      <c r="Q2462" s="239"/>
      <c r="R2462" s="239"/>
      <c r="S2462" s="239"/>
      <c r="T2462" s="239"/>
      <c r="U2462" s="240"/>
      <c r="V2462" s="240"/>
      <c r="W2462" s="240"/>
      <c r="X2462" s="278"/>
      <c r="Y2462" s="237"/>
      <c r="Z2462" s="237"/>
      <c r="AA2462" s="279"/>
      <c r="AB2462" s="238"/>
      <c r="AC2462" s="196">
        <f t="shared" si="598"/>
        <v>0</v>
      </c>
      <c r="AD2462" s="196">
        <f t="shared" si="599"/>
        <v>0</v>
      </c>
      <c r="AE2462" s="196">
        <f t="shared" si="600"/>
        <v>0</v>
      </c>
      <c r="AF2462" s="2">
        <f t="shared" si="601"/>
        <v>0</v>
      </c>
      <c r="AG2462" s="2">
        <f t="shared" si="602"/>
        <v>0</v>
      </c>
    </row>
    <row r="2463" spans="1:33">
      <c r="A2463" s="20" t="s">
        <v>2325</v>
      </c>
      <c r="B2463" s="152" t="s">
        <v>5854</v>
      </c>
      <c r="C2463" s="21" t="s">
        <v>441</v>
      </c>
      <c r="D2463" s="109" t="s">
        <v>13228</v>
      </c>
      <c r="E2463" s="109" t="s">
        <v>25762</v>
      </c>
      <c r="F2463" s="391" t="s">
        <v>15519</v>
      </c>
      <c r="G2463" s="23" t="s">
        <v>15517</v>
      </c>
      <c r="H2463" s="23" t="s">
        <v>25123</v>
      </c>
      <c r="I2463" s="23"/>
      <c r="J2463" s="23"/>
      <c r="K2463" s="23"/>
      <c r="L2463" s="350"/>
      <c r="M2463" s="351"/>
      <c r="N2463" s="267">
        <f t="shared" si="603"/>
        <v>0</v>
      </c>
      <c r="O2463" s="268">
        <f t="shared" si="604"/>
        <v>0</v>
      </c>
      <c r="P2463" s="239"/>
      <c r="Q2463" s="239"/>
      <c r="R2463" s="239"/>
      <c r="S2463" s="239"/>
      <c r="T2463" s="239"/>
      <c r="U2463" s="240"/>
      <c r="V2463" s="240"/>
      <c r="W2463" s="240"/>
      <c r="X2463" s="278"/>
      <c r="Y2463" s="237"/>
      <c r="Z2463" s="237"/>
      <c r="AA2463" s="279"/>
      <c r="AB2463" s="238"/>
      <c r="AC2463" s="196">
        <f t="shared" si="598"/>
        <v>0</v>
      </c>
      <c r="AD2463" s="196">
        <f t="shared" si="599"/>
        <v>0</v>
      </c>
      <c r="AE2463" s="196">
        <f t="shared" si="600"/>
        <v>0</v>
      </c>
      <c r="AF2463" s="2">
        <f t="shared" si="601"/>
        <v>0</v>
      </c>
      <c r="AG2463" s="2">
        <f t="shared" si="602"/>
        <v>0</v>
      </c>
    </row>
    <row r="2464" spans="1:33">
      <c r="A2464" s="20" t="s">
        <v>21562</v>
      </c>
      <c r="B2464" s="152" t="s">
        <v>5854</v>
      </c>
      <c r="C2464" s="157" t="s">
        <v>441</v>
      </c>
      <c r="D2464" s="158" t="s">
        <v>13228</v>
      </c>
      <c r="E2464" s="158" t="s">
        <v>15520</v>
      </c>
      <c r="F2464" s="398" t="s">
        <v>15519</v>
      </c>
      <c r="G2464" s="318" t="s">
        <v>13215</v>
      </c>
      <c r="H2464" s="318" t="s">
        <v>15521</v>
      </c>
      <c r="I2464" s="318" t="s">
        <v>20264</v>
      </c>
      <c r="J2464" s="203"/>
      <c r="K2464" s="203"/>
      <c r="L2464" s="375" t="s">
        <v>27591</v>
      </c>
      <c r="M2464" s="383" t="s">
        <v>45</v>
      </c>
      <c r="N2464" s="267">
        <f t="shared" si="603"/>
        <v>0</v>
      </c>
      <c r="O2464" s="268">
        <f t="shared" si="604"/>
        <v>250</v>
      </c>
      <c r="P2464" s="239"/>
      <c r="Q2464" s="239">
        <f>250-200+800-100-200-100-100-100</f>
        <v>250</v>
      </c>
      <c r="R2464" s="239"/>
      <c r="S2464" s="239"/>
      <c r="T2464" s="239"/>
      <c r="U2464" s="240"/>
      <c r="V2464" s="240"/>
      <c r="W2464" s="240"/>
      <c r="X2464" s="278"/>
      <c r="Y2464" s="239"/>
      <c r="Z2464" s="239"/>
      <c r="AA2464" s="279"/>
      <c r="AB2464" s="238" t="s">
        <v>27583</v>
      </c>
      <c r="AC2464" s="196">
        <f t="shared" si="598"/>
        <v>250</v>
      </c>
      <c r="AD2464" s="196">
        <f t="shared" si="599"/>
        <v>250</v>
      </c>
      <c r="AE2464" s="196">
        <f t="shared" si="600"/>
        <v>0</v>
      </c>
      <c r="AF2464" s="2">
        <f t="shared" si="601"/>
        <v>250</v>
      </c>
      <c r="AG2464" s="2">
        <f t="shared" si="602"/>
        <v>0</v>
      </c>
    </row>
    <row r="2465" spans="1:33">
      <c r="A2465" s="20" t="s">
        <v>2326</v>
      </c>
      <c r="B2465" s="150"/>
      <c r="C2465" s="21" t="s">
        <v>442</v>
      </c>
      <c r="D2465" s="109" t="s">
        <v>14038</v>
      </c>
      <c r="E2465" s="109"/>
      <c r="F2465" s="391" t="s">
        <v>15522</v>
      </c>
      <c r="G2465" s="23" t="s">
        <v>14263</v>
      </c>
      <c r="H2465" s="23"/>
      <c r="I2465" s="23"/>
      <c r="J2465" s="23"/>
      <c r="K2465" s="23"/>
      <c r="L2465" s="350"/>
      <c r="M2465" s="351"/>
      <c r="N2465" s="267">
        <f t="shared" si="603"/>
        <v>0</v>
      </c>
      <c r="O2465" s="268">
        <f t="shared" si="604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7"/>
      <c r="Z2465" s="237"/>
      <c r="AA2465" s="279"/>
      <c r="AB2465" s="238"/>
      <c r="AC2465" s="196">
        <f t="shared" si="598"/>
        <v>0</v>
      </c>
      <c r="AD2465" s="196">
        <f t="shared" si="599"/>
        <v>0</v>
      </c>
      <c r="AE2465" s="196">
        <f t="shared" si="600"/>
        <v>0</v>
      </c>
      <c r="AF2465" s="2">
        <f t="shared" si="601"/>
        <v>0</v>
      </c>
      <c r="AG2465" s="2">
        <f t="shared" si="602"/>
        <v>0</v>
      </c>
    </row>
    <row r="2466" spans="1:33">
      <c r="A2466" s="20" t="s">
        <v>2327</v>
      </c>
      <c r="B2466" s="150"/>
      <c r="C2466" s="21" t="s">
        <v>443</v>
      </c>
      <c r="D2466" s="109" t="s">
        <v>13228</v>
      </c>
      <c r="E2466" s="109"/>
      <c r="F2466" s="391" t="s">
        <v>15523</v>
      </c>
      <c r="G2466" s="23"/>
      <c r="H2466" s="23"/>
      <c r="I2466" s="23"/>
      <c r="J2466" s="23"/>
      <c r="K2466" s="23"/>
      <c r="L2466" s="350"/>
      <c r="M2466" s="351"/>
      <c r="N2466" s="267">
        <f t="shared" si="603"/>
        <v>0</v>
      </c>
      <c r="O2466" s="268">
        <f t="shared" si="604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7"/>
      <c r="Z2466" s="237"/>
      <c r="AA2466" s="279"/>
      <c r="AB2466" s="238"/>
      <c r="AC2466" s="196">
        <f t="shared" si="598"/>
        <v>0</v>
      </c>
      <c r="AD2466" s="196">
        <f t="shared" si="599"/>
        <v>0</v>
      </c>
      <c r="AE2466" s="196">
        <f t="shared" si="600"/>
        <v>0</v>
      </c>
      <c r="AF2466" s="2">
        <f t="shared" si="601"/>
        <v>0</v>
      </c>
      <c r="AG2466" s="2">
        <f t="shared" si="602"/>
        <v>0</v>
      </c>
    </row>
    <row r="2467" spans="1:33">
      <c r="A2467" s="20" t="s">
        <v>2328</v>
      </c>
      <c r="B2467" s="150"/>
      <c r="C2467" s="21" t="s">
        <v>443</v>
      </c>
      <c r="D2467" s="109" t="s">
        <v>13228</v>
      </c>
      <c r="E2467" s="109"/>
      <c r="F2467" s="391" t="s">
        <v>15523</v>
      </c>
      <c r="G2467" s="23" t="s">
        <v>13986</v>
      </c>
      <c r="H2467" s="23" t="s">
        <v>13999</v>
      </c>
      <c r="I2467" s="23"/>
      <c r="J2467" s="23"/>
      <c r="K2467" s="23"/>
      <c r="L2467" s="350"/>
      <c r="M2467" s="351"/>
      <c r="N2467" s="267">
        <f t="shared" si="603"/>
        <v>0</v>
      </c>
      <c r="O2467" s="268">
        <f t="shared" si="604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9"/>
      <c r="Z2467" s="237"/>
      <c r="AA2467" s="279"/>
      <c r="AB2467" s="238"/>
      <c r="AC2467" s="196">
        <f t="shared" ref="AC2467:AC2532" si="605">SUM(P2467:AA2467)</f>
        <v>0</v>
      </c>
      <c r="AD2467" s="196">
        <f t="shared" ref="AD2467:AD2532" si="606">SUM(P2467:AB2467)</f>
        <v>0</v>
      </c>
      <c r="AE2467" s="196">
        <f t="shared" ref="AE2467:AE2532" si="607">SUM(AC2467-AD2467)</f>
        <v>0</v>
      </c>
      <c r="AF2467" s="2">
        <f t="shared" ref="AF2467:AF2532" si="608">+AC2467</f>
        <v>0</v>
      </c>
      <c r="AG2467" s="2">
        <f t="shared" ref="AG2467:AG2532" si="609">+AC2467-AF2467</f>
        <v>0</v>
      </c>
    </row>
    <row r="2468" spans="1:33">
      <c r="A2468" s="20" t="s">
        <v>2329</v>
      </c>
      <c r="B2468" s="162"/>
      <c r="C2468" s="21" t="s">
        <v>444</v>
      </c>
      <c r="D2468" s="109" t="s">
        <v>13239</v>
      </c>
      <c r="E2468" s="109"/>
      <c r="F2468" s="391" t="s">
        <v>15524</v>
      </c>
      <c r="G2468" s="23" t="s">
        <v>13240</v>
      </c>
      <c r="H2468" s="23"/>
      <c r="I2468" s="23"/>
      <c r="J2468" s="23"/>
      <c r="K2468" s="23"/>
      <c r="L2468" s="375"/>
      <c r="M2468" s="351"/>
      <c r="N2468" s="267">
        <f t="shared" si="603"/>
        <v>0</v>
      </c>
      <c r="O2468" s="268">
        <f t="shared" si="604"/>
        <v>0</v>
      </c>
      <c r="P2468" s="239"/>
      <c r="Q2468" s="239"/>
      <c r="R2468" s="239"/>
      <c r="S2468" s="239"/>
      <c r="T2468" s="239"/>
      <c r="U2468" s="240"/>
      <c r="V2468" s="240"/>
      <c r="W2468" s="240"/>
      <c r="X2468" s="278"/>
      <c r="Y2468" s="239"/>
      <c r="Z2468" s="237"/>
      <c r="AA2468" s="279"/>
      <c r="AB2468" s="238"/>
      <c r="AC2468" s="196">
        <f t="shared" si="605"/>
        <v>0</v>
      </c>
      <c r="AD2468" s="196">
        <f t="shared" si="606"/>
        <v>0</v>
      </c>
      <c r="AE2468" s="196">
        <f t="shared" si="607"/>
        <v>0</v>
      </c>
      <c r="AF2468" s="2">
        <f t="shared" si="608"/>
        <v>0</v>
      </c>
      <c r="AG2468" s="2">
        <f t="shared" si="609"/>
        <v>0</v>
      </c>
    </row>
    <row r="2469" spans="1:33">
      <c r="A2469" s="20" t="s">
        <v>2330</v>
      </c>
      <c r="B2469" s="162"/>
      <c r="C2469" s="21" t="s">
        <v>444</v>
      </c>
      <c r="D2469" s="109" t="s">
        <v>13239</v>
      </c>
      <c r="E2469" s="109"/>
      <c r="F2469" s="391" t="s">
        <v>15525</v>
      </c>
      <c r="G2469" s="23" t="s">
        <v>13240</v>
      </c>
      <c r="H2469" s="23"/>
      <c r="I2469" s="23"/>
      <c r="J2469" s="23"/>
      <c r="K2469" s="23"/>
      <c r="L2469" s="375" t="s">
        <v>7787</v>
      </c>
      <c r="M2469" s="351"/>
      <c r="N2469" s="267">
        <f t="shared" si="603"/>
        <v>0</v>
      </c>
      <c r="O2469" s="268">
        <f t="shared" si="604"/>
        <v>0</v>
      </c>
      <c r="P2469" s="239"/>
      <c r="Q2469" s="239"/>
      <c r="R2469" s="239"/>
      <c r="S2469" s="239"/>
      <c r="T2469" s="239"/>
      <c r="U2469" s="240"/>
      <c r="V2469" s="240"/>
      <c r="W2469" s="240"/>
      <c r="X2469" s="278"/>
      <c r="Y2469" s="237"/>
      <c r="Z2469" s="237"/>
      <c r="AA2469" s="279"/>
      <c r="AB2469" s="238"/>
      <c r="AC2469" s="196">
        <f t="shared" si="605"/>
        <v>0</v>
      </c>
      <c r="AD2469" s="196">
        <f t="shared" si="606"/>
        <v>0</v>
      </c>
      <c r="AE2469" s="196">
        <f t="shared" si="607"/>
        <v>0</v>
      </c>
      <c r="AF2469" s="2">
        <f t="shared" si="608"/>
        <v>0</v>
      </c>
      <c r="AG2469" s="2">
        <f t="shared" si="609"/>
        <v>0</v>
      </c>
    </row>
    <row r="2470" spans="1:33">
      <c r="A2470" s="20" t="s">
        <v>11115</v>
      </c>
      <c r="B2470" s="162"/>
      <c r="C2470" s="21" t="s">
        <v>444</v>
      </c>
      <c r="D2470" s="109" t="s">
        <v>15457</v>
      </c>
      <c r="E2470" s="109"/>
      <c r="F2470" s="391" t="s">
        <v>15524</v>
      </c>
      <c r="G2470" s="23" t="s">
        <v>14235</v>
      </c>
      <c r="H2470" s="23" t="s">
        <v>13571</v>
      </c>
      <c r="I2470" s="23" t="s">
        <v>13301</v>
      </c>
      <c r="J2470" s="23" t="s">
        <v>15719</v>
      </c>
      <c r="K2470" s="23" t="s">
        <v>19069</v>
      </c>
      <c r="L2470" s="375">
        <f>910</f>
        <v>910</v>
      </c>
      <c r="M2470" s="351" t="s">
        <v>45</v>
      </c>
      <c r="N2470" s="267">
        <f t="shared" si="603"/>
        <v>910</v>
      </c>
      <c r="O2470" s="268">
        <f t="shared" si="604"/>
        <v>4900</v>
      </c>
      <c r="P2470" s="239"/>
      <c r="Q2470" s="239"/>
      <c r="R2470" s="239"/>
      <c r="S2470" s="239"/>
      <c r="T2470" s="239"/>
      <c r="U2470" s="240"/>
      <c r="V2470" s="240">
        <f>2500-1000+700-300-1000+3600-1500+1900</f>
        <v>4900</v>
      </c>
      <c r="W2470" s="240"/>
      <c r="X2470" s="278"/>
      <c r="Y2470" s="240"/>
      <c r="Z2470" s="237"/>
      <c r="AA2470" s="279"/>
      <c r="AB2470" s="238" t="s">
        <v>28028</v>
      </c>
      <c r="AC2470" s="196">
        <f t="shared" si="605"/>
        <v>4900</v>
      </c>
      <c r="AD2470" s="196">
        <f t="shared" si="606"/>
        <v>4900</v>
      </c>
      <c r="AE2470" s="196">
        <f t="shared" si="607"/>
        <v>0</v>
      </c>
      <c r="AF2470" s="2">
        <f t="shared" si="608"/>
        <v>4900</v>
      </c>
      <c r="AG2470" s="2">
        <f t="shared" si="609"/>
        <v>0</v>
      </c>
    </row>
    <row r="2471" spans="1:33">
      <c r="A2471" s="20" t="s">
        <v>2331</v>
      </c>
      <c r="B2471" s="150"/>
      <c r="C2471" s="21" t="s">
        <v>445</v>
      </c>
      <c r="D2471" s="109" t="s">
        <v>14004</v>
      </c>
      <c r="E2471" s="109" t="s">
        <v>13210</v>
      </c>
      <c r="F2471" s="391" t="s">
        <v>15526</v>
      </c>
      <c r="G2471" s="23" t="s">
        <v>13999</v>
      </c>
      <c r="H2471" s="23"/>
      <c r="I2471" s="23"/>
      <c r="J2471" s="23"/>
      <c r="K2471" s="23"/>
      <c r="L2471" s="375"/>
      <c r="M2471" s="351"/>
      <c r="N2471" s="267">
        <f t="shared" si="603"/>
        <v>0</v>
      </c>
      <c r="O2471" s="268">
        <f t="shared" si="604"/>
        <v>0</v>
      </c>
      <c r="P2471" s="239"/>
      <c r="Q2471" s="239"/>
      <c r="R2471" s="239"/>
      <c r="S2471" s="239"/>
      <c r="T2471" s="239"/>
      <c r="U2471" s="240"/>
      <c r="V2471" s="240"/>
      <c r="W2471" s="240"/>
      <c r="X2471" s="278"/>
      <c r="Y2471" s="249"/>
      <c r="Z2471" s="237"/>
      <c r="AA2471" s="285"/>
      <c r="AB2471" s="238"/>
      <c r="AC2471" s="196">
        <f t="shared" si="605"/>
        <v>0</v>
      </c>
      <c r="AD2471" s="196">
        <f t="shared" si="606"/>
        <v>0</v>
      </c>
      <c r="AE2471" s="196">
        <f t="shared" si="607"/>
        <v>0</v>
      </c>
      <c r="AF2471" s="2">
        <f t="shared" si="608"/>
        <v>0</v>
      </c>
      <c r="AG2471" s="2">
        <f t="shared" si="609"/>
        <v>0</v>
      </c>
    </row>
    <row r="2472" spans="1:33">
      <c r="A2472" s="377" t="s">
        <v>2334</v>
      </c>
      <c r="B2472" s="162" t="s">
        <v>5855</v>
      </c>
      <c r="C2472" s="213" t="s">
        <v>445</v>
      </c>
      <c r="D2472" s="109" t="s">
        <v>13228</v>
      </c>
      <c r="E2472" s="109" t="s">
        <v>14270</v>
      </c>
      <c r="F2472" s="393" t="s">
        <v>15526</v>
      </c>
      <c r="G2472" s="380" t="s">
        <v>13215</v>
      </c>
      <c r="H2472" s="380" t="s">
        <v>15527</v>
      </c>
      <c r="I2472" s="380"/>
      <c r="J2472" s="380"/>
      <c r="K2472" s="380"/>
      <c r="L2472" s="375" t="s">
        <v>7787</v>
      </c>
      <c r="M2472" s="351" t="s">
        <v>7787</v>
      </c>
      <c r="N2472" s="267">
        <f t="shared" si="603"/>
        <v>0</v>
      </c>
      <c r="O2472" s="268">
        <f t="shared" si="604"/>
        <v>0</v>
      </c>
      <c r="P2472" s="249"/>
      <c r="Q2472" s="249"/>
      <c r="R2472" s="249"/>
      <c r="S2472" s="249"/>
      <c r="T2472" s="239"/>
      <c r="U2472" s="240"/>
      <c r="V2472" s="240"/>
      <c r="W2472" s="240"/>
      <c r="X2472" s="278"/>
      <c r="Y2472" s="249"/>
      <c r="Z2472" s="240"/>
      <c r="AA2472" s="292"/>
      <c r="AB2472" s="389" t="s">
        <v>21249</v>
      </c>
      <c r="AC2472" s="196">
        <f t="shared" si="605"/>
        <v>0</v>
      </c>
      <c r="AD2472" s="196">
        <f t="shared" si="606"/>
        <v>0</v>
      </c>
      <c r="AE2472" s="196">
        <f t="shared" si="607"/>
        <v>0</v>
      </c>
      <c r="AF2472" s="2">
        <f t="shared" si="608"/>
        <v>0</v>
      </c>
      <c r="AG2472" s="2">
        <f t="shared" si="609"/>
        <v>0</v>
      </c>
    </row>
    <row r="2473" spans="1:33">
      <c r="A2473" s="262" t="s">
        <v>2334</v>
      </c>
      <c r="B2473" s="162" t="s">
        <v>5855</v>
      </c>
      <c r="C2473" s="21" t="s">
        <v>445</v>
      </c>
      <c r="D2473" s="109" t="s">
        <v>13228</v>
      </c>
      <c r="E2473" s="109" t="s">
        <v>25298</v>
      </c>
      <c r="F2473" s="399" t="s">
        <v>15526</v>
      </c>
      <c r="G2473" s="23" t="s">
        <v>13214</v>
      </c>
      <c r="H2473" s="23" t="s">
        <v>14094</v>
      </c>
      <c r="I2473" s="23" t="s">
        <v>13236</v>
      </c>
      <c r="J2473" s="23" t="s">
        <v>13339</v>
      </c>
      <c r="K2473" s="23" t="s">
        <v>26956</v>
      </c>
      <c r="L2473" s="375"/>
      <c r="M2473" s="351"/>
      <c r="N2473" s="267">
        <f t="shared" si="603"/>
        <v>0</v>
      </c>
      <c r="O2473" s="268">
        <f t="shared" si="604"/>
        <v>200</v>
      </c>
      <c r="P2473" s="256"/>
      <c r="Q2473" s="256"/>
      <c r="R2473" s="256"/>
      <c r="S2473" s="256"/>
      <c r="T2473" s="239">
        <f>2400-500-300-200-100-200-300-400-200</f>
        <v>200</v>
      </c>
      <c r="U2473" s="294"/>
      <c r="V2473" s="294"/>
      <c r="W2473" s="294"/>
      <c r="X2473" s="295"/>
      <c r="Y2473" s="256"/>
      <c r="Z2473" s="294"/>
      <c r="AA2473" s="296"/>
      <c r="AB2473" s="257" t="s">
        <v>25299</v>
      </c>
      <c r="AC2473" s="196">
        <f t="shared" si="605"/>
        <v>200</v>
      </c>
      <c r="AD2473" s="196">
        <f t="shared" si="606"/>
        <v>200</v>
      </c>
      <c r="AE2473" s="196">
        <f t="shared" si="607"/>
        <v>0</v>
      </c>
      <c r="AF2473" s="2">
        <f t="shared" si="608"/>
        <v>200</v>
      </c>
      <c r="AG2473" s="2">
        <f t="shared" si="609"/>
        <v>0</v>
      </c>
    </row>
    <row r="2474" spans="1:33">
      <c r="A2474" s="20" t="s">
        <v>2336</v>
      </c>
      <c r="B2474" s="150"/>
      <c r="C2474" s="21" t="s">
        <v>445</v>
      </c>
      <c r="D2474" s="109" t="s">
        <v>4059</v>
      </c>
      <c r="E2474" s="109" t="s">
        <v>15528</v>
      </c>
      <c r="F2474" s="391" t="s">
        <v>4883</v>
      </c>
      <c r="G2474" s="23" t="s">
        <v>5563</v>
      </c>
      <c r="H2474" s="23"/>
      <c r="I2474" s="23"/>
      <c r="J2474" s="23"/>
      <c r="K2474" s="23"/>
      <c r="L2474" s="375" t="s">
        <v>7787</v>
      </c>
      <c r="M2474" s="351" t="s">
        <v>7787</v>
      </c>
      <c r="N2474" s="267">
        <f t="shared" si="603"/>
        <v>0</v>
      </c>
      <c r="O2474" s="268">
        <f t="shared" si="604"/>
        <v>0</v>
      </c>
      <c r="P2474" s="239"/>
      <c r="Q2474" s="239"/>
      <c r="R2474" s="239"/>
      <c r="S2474" s="239"/>
      <c r="T2474" s="239"/>
      <c r="U2474" s="240"/>
      <c r="V2474" s="239"/>
      <c r="W2474" s="240"/>
      <c r="X2474" s="278"/>
      <c r="Y2474" s="237"/>
      <c r="Z2474" s="237"/>
      <c r="AA2474" s="279"/>
      <c r="AB2474" s="238"/>
      <c r="AC2474" s="196">
        <f t="shared" si="605"/>
        <v>0</v>
      </c>
      <c r="AD2474" s="196">
        <f t="shared" si="606"/>
        <v>0</v>
      </c>
      <c r="AE2474" s="196">
        <f t="shared" si="607"/>
        <v>0</v>
      </c>
      <c r="AF2474" s="2">
        <f t="shared" si="608"/>
        <v>0</v>
      </c>
      <c r="AG2474" s="2">
        <f t="shared" si="609"/>
        <v>0</v>
      </c>
    </row>
    <row r="2475" spans="1:33">
      <c r="A2475" s="20" t="s">
        <v>2335</v>
      </c>
      <c r="B2475" s="156" t="s">
        <v>5856</v>
      </c>
      <c r="C2475" s="21" t="s">
        <v>445</v>
      </c>
      <c r="D2475" s="109" t="s">
        <v>13207</v>
      </c>
      <c r="E2475" s="109"/>
      <c r="F2475" s="391" t="s">
        <v>15526</v>
      </c>
      <c r="G2475" s="23" t="s">
        <v>14197</v>
      </c>
      <c r="H2475" s="23" t="s">
        <v>15527</v>
      </c>
      <c r="I2475" s="23"/>
      <c r="J2475" s="23"/>
      <c r="K2475" s="23"/>
      <c r="L2475" s="375" t="s">
        <v>7787</v>
      </c>
      <c r="M2475" s="351" t="s">
        <v>7787</v>
      </c>
      <c r="N2475" s="267">
        <f t="shared" si="603"/>
        <v>0</v>
      </c>
      <c r="O2475" s="268">
        <f t="shared" si="604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79"/>
      <c r="AB2475" s="238"/>
      <c r="AC2475" s="196">
        <f t="shared" si="605"/>
        <v>0</v>
      </c>
      <c r="AD2475" s="196">
        <f t="shared" si="606"/>
        <v>0</v>
      </c>
      <c r="AE2475" s="196">
        <f t="shared" si="607"/>
        <v>0</v>
      </c>
      <c r="AF2475" s="2">
        <f t="shared" si="608"/>
        <v>0</v>
      </c>
      <c r="AG2475" s="2">
        <f t="shared" si="609"/>
        <v>0</v>
      </c>
    </row>
    <row r="2476" spans="1:33">
      <c r="A2476" s="20" t="s">
        <v>2332</v>
      </c>
      <c r="B2476" s="150"/>
      <c r="C2476" s="21" t="s">
        <v>446</v>
      </c>
      <c r="D2476" s="109" t="s">
        <v>14004</v>
      </c>
      <c r="E2476" s="109" t="s">
        <v>13210</v>
      </c>
      <c r="F2476" s="391" t="s">
        <v>15529</v>
      </c>
      <c r="G2476" s="23" t="s">
        <v>14047</v>
      </c>
      <c r="H2476" s="23"/>
      <c r="I2476" s="23"/>
      <c r="J2476" s="23"/>
      <c r="K2476" s="23"/>
      <c r="L2476" s="350"/>
      <c r="M2476" s="351"/>
      <c r="N2476" s="267">
        <f t="shared" si="603"/>
        <v>0</v>
      </c>
      <c r="O2476" s="268">
        <f t="shared" si="604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85"/>
      <c r="AB2476" s="238"/>
      <c r="AC2476" s="196">
        <f t="shared" si="605"/>
        <v>0</v>
      </c>
      <c r="AD2476" s="196">
        <f t="shared" si="606"/>
        <v>0</v>
      </c>
      <c r="AE2476" s="196">
        <f t="shared" si="607"/>
        <v>0</v>
      </c>
      <c r="AF2476" s="2">
        <f t="shared" si="608"/>
        <v>0</v>
      </c>
      <c r="AG2476" s="2">
        <f t="shared" si="609"/>
        <v>0</v>
      </c>
    </row>
    <row r="2477" spans="1:33">
      <c r="A2477" s="20" t="s">
        <v>2333</v>
      </c>
      <c r="B2477" s="156" t="s">
        <v>15530</v>
      </c>
      <c r="C2477" s="21" t="s">
        <v>446</v>
      </c>
      <c r="D2477" s="109" t="s">
        <v>13207</v>
      </c>
      <c r="E2477" s="109"/>
      <c r="F2477" s="391" t="s">
        <v>15531</v>
      </c>
      <c r="G2477" s="23" t="s">
        <v>14195</v>
      </c>
      <c r="H2477" s="23" t="s">
        <v>15532</v>
      </c>
      <c r="I2477" s="23" t="s">
        <v>15533</v>
      </c>
      <c r="J2477" s="23"/>
      <c r="K2477" s="23"/>
      <c r="L2477" s="350"/>
      <c r="M2477" s="351"/>
      <c r="N2477" s="267">
        <f t="shared" si="603"/>
        <v>0</v>
      </c>
      <c r="O2477" s="268">
        <f t="shared" si="604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85"/>
      <c r="AB2477" s="238"/>
      <c r="AC2477" s="196">
        <f t="shared" si="605"/>
        <v>0</v>
      </c>
      <c r="AD2477" s="196">
        <f t="shared" si="606"/>
        <v>0</v>
      </c>
      <c r="AE2477" s="196">
        <f t="shared" si="607"/>
        <v>0</v>
      </c>
      <c r="AF2477" s="2">
        <f t="shared" si="608"/>
        <v>0</v>
      </c>
      <c r="AG2477" s="2">
        <f t="shared" si="609"/>
        <v>0</v>
      </c>
    </row>
    <row r="2478" spans="1:33">
      <c r="A2478" s="20" t="s">
        <v>2338</v>
      </c>
      <c r="B2478" s="150"/>
      <c r="C2478" s="21" t="s">
        <v>447</v>
      </c>
      <c r="D2478" s="109" t="s">
        <v>14041</v>
      </c>
      <c r="E2478" s="109" t="s">
        <v>13210</v>
      </c>
      <c r="F2478" s="391" t="s">
        <v>15534</v>
      </c>
      <c r="G2478" s="23" t="s">
        <v>14069</v>
      </c>
      <c r="H2478" s="23"/>
      <c r="I2478" s="23"/>
      <c r="J2478" s="23"/>
      <c r="K2478" s="23"/>
      <c r="L2478" s="350"/>
      <c r="M2478" s="351"/>
      <c r="N2478" s="267">
        <f t="shared" si="603"/>
        <v>0</v>
      </c>
      <c r="O2478" s="268">
        <f t="shared" si="604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7"/>
      <c r="Z2478" s="237"/>
      <c r="AA2478" s="279"/>
      <c r="AB2478" s="238"/>
      <c r="AC2478" s="196">
        <f t="shared" si="605"/>
        <v>0</v>
      </c>
      <c r="AD2478" s="196">
        <f t="shared" si="606"/>
        <v>0</v>
      </c>
      <c r="AE2478" s="196">
        <f t="shared" si="607"/>
        <v>0</v>
      </c>
      <c r="AF2478" s="2">
        <f t="shared" si="608"/>
        <v>0</v>
      </c>
      <c r="AG2478" s="2">
        <f t="shared" si="609"/>
        <v>0</v>
      </c>
    </row>
    <row r="2479" spans="1:33">
      <c r="A2479" s="20" t="s">
        <v>2337</v>
      </c>
      <c r="B2479" s="151" t="s">
        <v>15535</v>
      </c>
      <c r="C2479" s="21" t="s">
        <v>447</v>
      </c>
      <c r="D2479" s="109" t="s">
        <v>13228</v>
      </c>
      <c r="E2479" s="109"/>
      <c r="F2479" s="391" t="s">
        <v>20351</v>
      </c>
      <c r="G2479" s="23" t="s">
        <v>14069</v>
      </c>
      <c r="H2479" s="23" t="s">
        <v>13986</v>
      </c>
      <c r="I2479" s="23"/>
      <c r="J2479" s="23"/>
      <c r="K2479" s="23"/>
      <c r="L2479" s="350"/>
      <c r="M2479" s="351" t="s">
        <v>7787</v>
      </c>
      <c r="N2479" s="267">
        <f t="shared" si="603"/>
        <v>0</v>
      </c>
      <c r="O2479" s="268">
        <f t="shared" si="604"/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7"/>
      <c r="Z2479" s="237"/>
      <c r="AA2479" s="279"/>
      <c r="AB2479" s="238"/>
      <c r="AC2479" s="196">
        <f t="shared" si="605"/>
        <v>0</v>
      </c>
      <c r="AD2479" s="196">
        <f t="shared" si="606"/>
        <v>0</v>
      </c>
      <c r="AE2479" s="196">
        <f t="shared" si="607"/>
        <v>0</v>
      </c>
      <c r="AF2479" s="2">
        <f t="shared" si="608"/>
        <v>0</v>
      </c>
      <c r="AG2479" s="2">
        <f t="shared" si="609"/>
        <v>0</v>
      </c>
    </row>
    <row r="2480" spans="1:33">
      <c r="A2480" s="20" t="s">
        <v>2339</v>
      </c>
      <c r="B2480" s="151" t="s">
        <v>15536</v>
      </c>
      <c r="C2480" s="21" t="s">
        <v>448</v>
      </c>
      <c r="D2480" s="109" t="s">
        <v>14038</v>
      </c>
      <c r="E2480" s="109"/>
      <c r="F2480" s="391" t="s">
        <v>15537</v>
      </c>
      <c r="G2480" s="23" t="s">
        <v>14263</v>
      </c>
      <c r="H2480" s="23"/>
      <c r="I2480" s="23"/>
      <c r="J2480" s="23"/>
      <c r="K2480" s="23"/>
      <c r="L2480" s="375" t="s">
        <v>7787</v>
      </c>
      <c r="M2480" s="351"/>
      <c r="N2480" s="267">
        <f t="shared" si="603"/>
        <v>0</v>
      </c>
      <c r="O2480" s="268">
        <f t="shared" si="604"/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9"/>
      <c r="Z2480" s="237"/>
      <c r="AA2480" s="279"/>
      <c r="AB2480" s="238"/>
      <c r="AC2480" s="196">
        <f t="shared" si="605"/>
        <v>0</v>
      </c>
      <c r="AD2480" s="196">
        <f t="shared" si="606"/>
        <v>0</v>
      </c>
      <c r="AE2480" s="196">
        <f t="shared" si="607"/>
        <v>0</v>
      </c>
      <c r="AF2480" s="2">
        <f t="shared" si="608"/>
        <v>0</v>
      </c>
      <c r="AG2480" s="2">
        <f t="shared" si="609"/>
        <v>0</v>
      </c>
    </row>
    <row r="2481" spans="1:33">
      <c r="A2481" s="20" t="s">
        <v>2340</v>
      </c>
      <c r="B2481" s="150"/>
      <c r="C2481" s="21" t="s">
        <v>449</v>
      </c>
      <c r="D2481" s="109" t="s">
        <v>14038</v>
      </c>
      <c r="E2481" s="109"/>
      <c r="F2481" s="391" t="s">
        <v>15538</v>
      </c>
      <c r="G2481" s="23" t="s">
        <v>14263</v>
      </c>
      <c r="H2481" s="23"/>
      <c r="I2481" s="23"/>
      <c r="J2481" s="23"/>
      <c r="K2481" s="23"/>
      <c r="L2481" s="350"/>
      <c r="M2481" s="351"/>
      <c r="N2481" s="267">
        <f t="shared" ref="N2481:N2547" si="610">SUM(L2481:M2481)</f>
        <v>0</v>
      </c>
      <c r="O2481" s="268">
        <f t="shared" ref="O2481:O2547" si="611">SUM(P2481:Z2481)</f>
        <v>0</v>
      </c>
      <c r="P2481" s="239"/>
      <c r="Q2481" s="239"/>
      <c r="R2481" s="239"/>
      <c r="S2481" s="239"/>
      <c r="T2481" s="239"/>
      <c r="U2481" s="240"/>
      <c r="V2481" s="240"/>
      <c r="W2481" s="240"/>
      <c r="X2481" s="278"/>
      <c r="Y2481" s="237"/>
      <c r="Z2481" s="237"/>
      <c r="AA2481" s="285"/>
      <c r="AB2481" s="238"/>
      <c r="AC2481" s="196">
        <f t="shared" si="605"/>
        <v>0</v>
      </c>
      <c r="AD2481" s="196">
        <f t="shared" si="606"/>
        <v>0</v>
      </c>
      <c r="AE2481" s="196">
        <f t="shared" si="607"/>
        <v>0</v>
      </c>
      <c r="AF2481" s="2">
        <f t="shared" si="608"/>
        <v>0</v>
      </c>
      <c r="AG2481" s="2">
        <f t="shared" si="609"/>
        <v>0</v>
      </c>
    </row>
    <row r="2482" spans="1:33">
      <c r="A2482" s="20" t="s">
        <v>2341</v>
      </c>
      <c r="B2482" s="151" t="s">
        <v>15539</v>
      </c>
      <c r="C2482" s="21" t="s">
        <v>450</v>
      </c>
      <c r="D2482" s="109" t="s">
        <v>13228</v>
      </c>
      <c r="E2482" s="109"/>
      <c r="F2482" s="391" t="s">
        <v>15540</v>
      </c>
      <c r="G2482" s="23" t="s">
        <v>17563</v>
      </c>
      <c r="H2482" s="23" t="s">
        <v>15541</v>
      </c>
      <c r="I2482" s="23" t="s">
        <v>14014</v>
      </c>
      <c r="J2482" s="23" t="s">
        <v>14015</v>
      </c>
      <c r="K2482" s="23" t="s">
        <v>15071</v>
      </c>
      <c r="L2482" s="375"/>
      <c r="M2482" s="351" t="s">
        <v>7787</v>
      </c>
      <c r="N2482" s="267">
        <f t="shared" si="610"/>
        <v>0</v>
      </c>
      <c r="O2482" s="268">
        <f t="shared" si="611"/>
        <v>0</v>
      </c>
      <c r="P2482" s="239"/>
      <c r="Q2482" s="239"/>
      <c r="R2482" s="239"/>
      <c r="S2482" s="239"/>
      <c r="T2482" s="239"/>
      <c r="U2482" s="240"/>
      <c r="V2482" s="240"/>
      <c r="W2482" s="240"/>
      <c r="X2482" s="278"/>
      <c r="Y2482" s="237"/>
      <c r="Z2482" s="237"/>
      <c r="AA2482" s="279"/>
      <c r="AB2482" s="238"/>
      <c r="AC2482" s="196">
        <f t="shared" si="605"/>
        <v>0</v>
      </c>
      <c r="AD2482" s="196">
        <f t="shared" si="606"/>
        <v>0</v>
      </c>
      <c r="AE2482" s="196">
        <f t="shared" si="607"/>
        <v>0</v>
      </c>
      <c r="AF2482" s="2">
        <f t="shared" si="608"/>
        <v>0</v>
      </c>
      <c r="AG2482" s="2">
        <f t="shared" si="609"/>
        <v>0</v>
      </c>
    </row>
    <row r="2483" spans="1:33">
      <c r="A2483" s="20" t="s">
        <v>2341</v>
      </c>
      <c r="B2483" s="151" t="s">
        <v>6293</v>
      </c>
      <c r="C2483" s="21" t="s">
        <v>450</v>
      </c>
      <c r="D2483" s="109" t="s">
        <v>3101</v>
      </c>
      <c r="E2483" s="109" t="s">
        <v>18092</v>
      </c>
      <c r="F2483" s="391" t="s">
        <v>4890</v>
      </c>
      <c r="G2483" s="23" t="s">
        <v>17563</v>
      </c>
      <c r="H2483" s="23" t="s">
        <v>13903</v>
      </c>
      <c r="I2483" s="23" t="s">
        <v>13370</v>
      </c>
      <c r="J2483" s="23" t="s">
        <v>13495</v>
      </c>
      <c r="K2483" s="23" t="s">
        <v>15071</v>
      </c>
      <c r="L2483" s="375"/>
      <c r="M2483" s="351" t="s">
        <v>7787</v>
      </c>
      <c r="N2483" s="267">
        <f t="shared" si="610"/>
        <v>0</v>
      </c>
      <c r="O2483" s="268">
        <f t="shared" si="611"/>
        <v>0</v>
      </c>
      <c r="P2483" s="239"/>
      <c r="Q2483" s="239"/>
      <c r="R2483" s="239"/>
      <c r="S2483" s="239"/>
      <c r="T2483" s="239"/>
      <c r="U2483" s="240"/>
      <c r="V2483" s="239"/>
      <c r="W2483" s="240"/>
      <c r="X2483" s="278"/>
      <c r="Y2483" s="237"/>
      <c r="Z2483" s="237"/>
      <c r="AA2483" s="279"/>
      <c r="AB2483" s="238"/>
      <c r="AC2483" s="196">
        <f t="shared" si="605"/>
        <v>0</v>
      </c>
      <c r="AD2483" s="196">
        <f t="shared" si="606"/>
        <v>0</v>
      </c>
      <c r="AE2483" s="196">
        <f t="shared" si="607"/>
        <v>0</v>
      </c>
      <c r="AF2483" s="2">
        <f t="shared" si="608"/>
        <v>0</v>
      </c>
      <c r="AG2483" s="2">
        <f t="shared" si="609"/>
        <v>0</v>
      </c>
    </row>
    <row r="2484" spans="1:33">
      <c r="A2484" s="20" t="s">
        <v>6846</v>
      </c>
      <c r="B2484" s="156"/>
      <c r="C2484" s="21" t="s">
        <v>450</v>
      </c>
      <c r="D2484" s="109" t="s">
        <v>13207</v>
      </c>
      <c r="E2484" s="109"/>
      <c r="F2484" s="391" t="s">
        <v>15540</v>
      </c>
      <c r="G2484" s="23" t="s">
        <v>15542</v>
      </c>
      <c r="H2484" s="23" t="s">
        <v>15543</v>
      </c>
      <c r="I2484" s="23" t="s">
        <v>25844</v>
      </c>
      <c r="J2484" s="23"/>
      <c r="K2484" s="23"/>
      <c r="L2484" s="375" t="s">
        <v>27862</v>
      </c>
      <c r="M2484" s="351" t="s">
        <v>27849</v>
      </c>
      <c r="N2484" s="267">
        <f t="shared" si="610"/>
        <v>0</v>
      </c>
      <c r="O2484" s="268">
        <f t="shared" si="611"/>
        <v>3500</v>
      </c>
      <c r="P2484" s="239"/>
      <c r="Q2484" s="239"/>
      <c r="R2484" s="239">
        <f>3600+4300-4400</f>
        <v>3500</v>
      </c>
      <c r="S2484" s="239"/>
      <c r="T2484" s="239"/>
      <c r="U2484" s="240"/>
      <c r="V2484" s="240"/>
      <c r="W2484" s="240"/>
      <c r="X2484" s="278"/>
      <c r="Y2484" s="237"/>
      <c r="Z2484" s="237"/>
      <c r="AA2484" s="279"/>
      <c r="AB2484" s="238" t="s">
        <v>27857</v>
      </c>
      <c r="AC2484" s="196">
        <f t="shared" si="605"/>
        <v>3500</v>
      </c>
      <c r="AD2484" s="196">
        <f t="shared" si="606"/>
        <v>3500</v>
      </c>
      <c r="AE2484" s="196">
        <f t="shared" si="607"/>
        <v>0</v>
      </c>
      <c r="AF2484" s="2">
        <f t="shared" si="608"/>
        <v>3500</v>
      </c>
      <c r="AG2484" s="2">
        <f t="shared" si="609"/>
        <v>0</v>
      </c>
    </row>
    <row r="2485" spans="1:33">
      <c r="A2485" s="20" t="s">
        <v>2342</v>
      </c>
      <c r="B2485" s="156" t="s">
        <v>15544</v>
      </c>
      <c r="C2485" s="21" t="s">
        <v>451</v>
      </c>
      <c r="D2485" s="109" t="s">
        <v>13207</v>
      </c>
      <c r="E2485" s="109" t="s">
        <v>13969</v>
      </c>
      <c r="F2485" s="391" t="s">
        <v>15545</v>
      </c>
      <c r="G2485" s="23" t="s">
        <v>14023</v>
      </c>
      <c r="H2485" s="23" t="s">
        <v>14361</v>
      </c>
      <c r="I2485" s="23" t="s">
        <v>14056</v>
      </c>
      <c r="J2485" s="23"/>
      <c r="K2485" s="23"/>
      <c r="L2485" s="375"/>
      <c r="M2485" s="351" t="s">
        <v>7787</v>
      </c>
      <c r="N2485" s="267">
        <f t="shared" si="610"/>
        <v>0</v>
      </c>
      <c r="O2485" s="268">
        <f t="shared" si="611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85"/>
      <c r="AB2485" s="238"/>
      <c r="AC2485" s="196">
        <f t="shared" si="605"/>
        <v>0</v>
      </c>
      <c r="AD2485" s="196">
        <f t="shared" si="606"/>
        <v>0</v>
      </c>
      <c r="AE2485" s="196">
        <f t="shared" si="607"/>
        <v>0</v>
      </c>
      <c r="AF2485" s="2">
        <f t="shared" si="608"/>
        <v>0</v>
      </c>
      <c r="AG2485" s="2">
        <f t="shared" si="609"/>
        <v>0</v>
      </c>
    </row>
    <row r="2486" spans="1:33">
      <c r="A2486" s="20" t="s">
        <v>2346</v>
      </c>
      <c r="B2486" s="150"/>
      <c r="C2486" s="21" t="s">
        <v>452</v>
      </c>
      <c r="D2486" s="109" t="s">
        <v>14038</v>
      </c>
      <c r="E2486" s="109"/>
      <c r="F2486" s="391" t="s">
        <v>15546</v>
      </c>
      <c r="G2486" s="23" t="s">
        <v>14263</v>
      </c>
      <c r="H2486" s="23" t="s">
        <v>15547</v>
      </c>
      <c r="I2486" s="23"/>
      <c r="J2486" s="23"/>
      <c r="K2486" s="23"/>
      <c r="L2486" s="375" t="s">
        <v>7787</v>
      </c>
      <c r="M2486" s="351"/>
      <c r="N2486" s="267">
        <f t="shared" si="610"/>
        <v>0</v>
      </c>
      <c r="O2486" s="268">
        <f t="shared" si="611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5"/>
        <v>0</v>
      </c>
      <c r="AD2486" s="196">
        <f t="shared" si="606"/>
        <v>0</v>
      </c>
      <c r="AE2486" s="196">
        <f t="shared" si="607"/>
        <v>0</v>
      </c>
      <c r="AF2486" s="2">
        <f t="shared" si="608"/>
        <v>0</v>
      </c>
      <c r="AG2486" s="2">
        <f t="shared" si="609"/>
        <v>0</v>
      </c>
    </row>
    <row r="2487" spans="1:33">
      <c r="A2487" s="20" t="s">
        <v>2343</v>
      </c>
      <c r="B2487" s="156"/>
      <c r="C2487" s="21" t="s">
        <v>15548</v>
      </c>
      <c r="D2487" s="109" t="s">
        <v>14038</v>
      </c>
      <c r="E2487" s="109" t="s">
        <v>15549</v>
      </c>
      <c r="F2487" s="391" t="s">
        <v>15550</v>
      </c>
      <c r="G2487" s="23" t="s">
        <v>14263</v>
      </c>
      <c r="H2487" s="23" t="s">
        <v>15547</v>
      </c>
      <c r="I2487" s="23"/>
      <c r="J2487" s="23"/>
      <c r="K2487" s="23"/>
      <c r="L2487" s="350"/>
      <c r="M2487" s="351"/>
      <c r="N2487" s="267">
        <f t="shared" si="610"/>
        <v>0</v>
      </c>
      <c r="O2487" s="268">
        <f t="shared" si="611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79"/>
      <c r="AB2487" s="238"/>
      <c r="AC2487" s="196">
        <f t="shared" si="605"/>
        <v>0</v>
      </c>
      <c r="AD2487" s="196">
        <f t="shared" si="606"/>
        <v>0</v>
      </c>
      <c r="AE2487" s="196">
        <f t="shared" si="607"/>
        <v>0</v>
      </c>
      <c r="AF2487" s="2">
        <f t="shared" si="608"/>
        <v>0</v>
      </c>
      <c r="AG2487" s="2">
        <f t="shared" si="609"/>
        <v>0</v>
      </c>
    </row>
    <row r="2488" spans="1:33">
      <c r="A2488" s="20" t="s">
        <v>2344</v>
      </c>
      <c r="B2488" s="161"/>
      <c r="C2488" s="21" t="s">
        <v>15551</v>
      </c>
      <c r="D2488" s="109" t="s">
        <v>14038</v>
      </c>
      <c r="E2488" s="109"/>
      <c r="F2488" s="391" t="s">
        <v>15550</v>
      </c>
      <c r="G2488" s="23" t="s">
        <v>15547</v>
      </c>
      <c r="H2488" s="23"/>
      <c r="I2488" s="23"/>
      <c r="J2488" s="23"/>
      <c r="K2488" s="23"/>
      <c r="L2488" s="350"/>
      <c r="M2488" s="351"/>
      <c r="N2488" s="267">
        <f t="shared" si="610"/>
        <v>0</v>
      </c>
      <c r="O2488" s="268">
        <f t="shared" si="611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79"/>
      <c r="AB2488" s="238"/>
      <c r="AC2488" s="196">
        <f t="shared" si="605"/>
        <v>0</v>
      </c>
      <c r="AD2488" s="196">
        <f t="shared" si="606"/>
        <v>0</v>
      </c>
      <c r="AE2488" s="196">
        <f t="shared" si="607"/>
        <v>0</v>
      </c>
      <c r="AF2488" s="2">
        <f t="shared" si="608"/>
        <v>0</v>
      </c>
      <c r="AG2488" s="2">
        <f t="shared" si="609"/>
        <v>0</v>
      </c>
    </row>
    <row r="2489" spans="1:33">
      <c r="A2489" s="20" t="s">
        <v>2345</v>
      </c>
      <c r="B2489" s="151"/>
      <c r="C2489" s="21" t="s">
        <v>15552</v>
      </c>
      <c r="D2489" s="109" t="s">
        <v>4071</v>
      </c>
      <c r="E2489" s="109"/>
      <c r="F2489" s="391" t="s">
        <v>5405</v>
      </c>
      <c r="G2489" s="23" t="s">
        <v>5439</v>
      </c>
      <c r="H2489" s="23" t="s">
        <v>5445</v>
      </c>
      <c r="I2489" s="23" t="s">
        <v>15509</v>
      </c>
      <c r="J2489" s="23"/>
      <c r="K2489" s="23"/>
      <c r="L2489" s="375" t="s">
        <v>7787</v>
      </c>
      <c r="M2489" s="351" t="s">
        <v>7787</v>
      </c>
      <c r="N2489" s="267">
        <f t="shared" si="610"/>
        <v>0</v>
      </c>
      <c r="O2489" s="268">
        <f t="shared" si="611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37"/>
      <c r="AB2489" s="238"/>
      <c r="AC2489" s="196">
        <f t="shared" si="605"/>
        <v>0</v>
      </c>
      <c r="AD2489" s="196">
        <f t="shared" si="606"/>
        <v>0</v>
      </c>
      <c r="AE2489" s="196">
        <f t="shared" si="607"/>
        <v>0</v>
      </c>
      <c r="AF2489" s="2">
        <f t="shared" si="608"/>
        <v>0</v>
      </c>
      <c r="AG2489" s="2">
        <f t="shared" si="609"/>
        <v>0</v>
      </c>
    </row>
    <row r="2490" spans="1:33">
      <c r="A2490" s="20" t="s">
        <v>6847</v>
      </c>
      <c r="B2490" s="156"/>
      <c r="C2490" s="213" t="s">
        <v>15553</v>
      </c>
      <c r="D2490" s="109" t="s">
        <v>4071</v>
      </c>
      <c r="E2490" s="109" t="s">
        <v>15554</v>
      </c>
      <c r="F2490" s="391" t="s">
        <v>5405</v>
      </c>
      <c r="G2490" s="23"/>
      <c r="H2490" s="23"/>
      <c r="I2490" s="23"/>
      <c r="J2490" s="23"/>
      <c r="K2490" s="23"/>
      <c r="L2490" s="350"/>
      <c r="M2490" s="351"/>
      <c r="N2490" s="267">
        <f t="shared" si="610"/>
        <v>0</v>
      </c>
      <c r="O2490" s="268">
        <f t="shared" si="611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5"/>
        <v>0</v>
      </c>
      <c r="AD2490" s="196">
        <f t="shared" si="606"/>
        <v>0</v>
      </c>
      <c r="AE2490" s="196">
        <f t="shared" si="607"/>
        <v>0</v>
      </c>
      <c r="AF2490" s="2">
        <f t="shared" si="608"/>
        <v>0</v>
      </c>
      <c r="AG2490" s="2">
        <f t="shared" si="609"/>
        <v>0</v>
      </c>
    </row>
    <row r="2491" spans="1:33">
      <c r="A2491" s="20" t="s">
        <v>2347</v>
      </c>
      <c r="B2491" s="156"/>
      <c r="C2491" s="21" t="s">
        <v>453</v>
      </c>
      <c r="D2491" s="109" t="s">
        <v>14038</v>
      </c>
      <c r="E2491" s="109"/>
      <c r="F2491" s="391" t="s">
        <v>15555</v>
      </c>
      <c r="G2491" s="23" t="s">
        <v>14263</v>
      </c>
      <c r="H2491" s="23"/>
      <c r="I2491" s="23"/>
      <c r="J2491" s="23"/>
      <c r="K2491" s="23"/>
      <c r="L2491" s="350"/>
      <c r="M2491" s="351"/>
      <c r="N2491" s="267">
        <f t="shared" si="610"/>
        <v>0</v>
      </c>
      <c r="O2491" s="268">
        <f t="shared" si="611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5"/>
        <v>0</v>
      </c>
      <c r="AD2491" s="196">
        <f t="shared" si="606"/>
        <v>0</v>
      </c>
      <c r="AE2491" s="196">
        <f t="shared" si="607"/>
        <v>0</v>
      </c>
      <c r="AF2491" s="2">
        <f t="shared" si="608"/>
        <v>0</v>
      </c>
      <c r="AG2491" s="2">
        <f t="shared" si="609"/>
        <v>0</v>
      </c>
    </row>
    <row r="2492" spans="1:33">
      <c r="A2492" s="20" t="s">
        <v>2348</v>
      </c>
      <c r="B2492" s="156"/>
      <c r="C2492" s="21" t="s">
        <v>453</v>
      </c>
      <c r="D2492" s="109" t="s">
        <v>14038</v>
      </c>
      <c r="E2492" s="109"/>
      <c r="F2492" s="391" t="s">
        <v>15556</v>
      </c>
      <c r="G2492" s="23" t="s">
        <v>14263</v>
      </c>
      <c r="H2492" s="23"/>
      <c r="I2492" s="23"/>
      <c r="J2492" s="23"/>
      <c r="K2492" s="23"/>
      <c r="L2492" s="350"/>
      <c r="M2492" s="351"/>
      <c r="N2492" s="267">
        <f t="shared" si="610"/>
        <v>0</v>
      </c>
      <c r="O2492" s="268">
        <f t="shared" si="611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5"/>
        <v>0</v>
      </c>
      <c r="AD2492" s="196">
        <f t="shared" si="606"/>
        <v>0</v>
      </c>
      <c r="AE2492" s="196">
        <f t="shared" si="607"/>
        <v>0</v>
      </c>
      <c r="AF2492" s="2">
        <f t="shared" si="608"/>
        <v>0</v>
      </c>
      <c r="AG2492" s="2">
        <f t="shared" si="609"/>
        <v>0</v>
      </c>
    </row>
    <row r="2493" spans="1:33">
      <c r="A2493" s="20" t="s">
        <v>2348</v>
      </c>
      <c r="B2493" s="156"/>
      <c r="C2493" s="21" t="s">
        <v>15557</v>
      </c>
      <c r="D2493" s="109" t="s">
        <v>14038</v>
      </c>
      <c r="E2493" s="109"/>
      <c r="F2493" s="391" t="s">
        <v>15555</v>
      </c>
      <c r="G2493" s="23" t="s">
        <v>14263</v>
      </c>
      <c r="H2493" s="23"/>
      <c r="I2493" s="23"/>
      <c r="J2493" s="23"/>
      <c r="K2493" s="23"/>
      <c r="L2493" s="375" t="s">
        <v>7787</v>
      </c>
      <c r="M2493" s="351"/>
      <c r="N2493" s="267">
        <f t="shared" si="610"/>
        <v>0</v>
      </c>
      <c r="O2493" s="268">
        <f t="shared" si="611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5"/>
        <v>0</v>
      </c>
      <c r="AD2493" s="196">
        <f t="shared" si="606"/>
        <v>0</v>
      </c>
      <c r="AE2493" s="196">
        <f t="shared" si="607"/>
        <v>0</v>
      </c>
      <c r="AF2493" s="2">
        <f t="shared" si="608"/>
        <v>0</v>
      </c>
      <c r="AG2493" s="2">
        <f t="shared" si="609"/>
        <v>0</v>
      </c>
    </row>
    <row r="2494" spans="1:33">
      <c r="A2494" s="377" t="s">
        <v>2348</v>
      </c>
      <c r="B2494" s="156"/>
      <c r="C2494" s="213" t="s">
        <v>7149</v>
      </c>
      <c r="D2494" s="109" t="s">
        <v>4071</v>
      </c>
      <c r="E2494" s="109" t="s">
        <v>15520</v>
      </c>
      <c r="F2494" s="391" t="s">
        <v>7150</v>
      </c>
      <c r="G2494" s="23" t="s">
        <v>5439</v>
      </c>
      <c r="H2494" s="23" t="s">
        <v>14248</v>
      </c>
      <c r="I2494" s="23" t="s">
        <v>15419</v>
      </c>
      <c r="J2494" s="23"/>
      <c r="K2494" s="23"/>
      <c r="L2494" s="375" t="s">
        <v>45</v>
      </c>
      <c r="M2494" s="351" t="s">
        <v>7787</v>
      </c>
      <c r="N2494" s="267">
        <f t="shared" si="610"/>
        <v>0</v>
      </c>
      <c r="O2494" s="268">
        <f t="shared" si="611"/>
        <v>0</v>
      </c>
      <c r="P2494" s="239"/>
      <c r="Q2494" s="239"/>
      <c r="R2494" s="239"/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/>
      <c r="AC2494" s="196">
        <f t="shared" si="605"/>
        <v>0</v>
      </c>
      <c r="AD2494" s="196">
        <f t="shared" si="606"/>
        <v>0</v>
      </c>
      <c r="AE2494" s="196">
        <f t="shared" si="607"/>
        <v>0</v>
      </c>
      <c r="AF2494" s="2">
        <f t="shared" si="608"/>
        <v>0</v>
      </c>
      <c r="AG2494" s="2">
        <f t="shared" si="609"/>
        <v>0</v>
      </c>
    </row>
    <row r="2495" spans="1:33">
      <c r="A2495" s="20" t="s">
        <v>12917</v>
      </c>
      <c r="B2495" s="156"/>
      <c r="C2495" s="21" t="s">
        <v>12945</v>
      </c>
      <c r="D2495" s="109" t="s">
        <v>15558</v>
      </c>
      <c r="E2495" s="109"/>
      <c r="F2495" s="391" t="s">
        <v>15559</v>
      </c>
      <c r="G2495" s="23"/>
      <c r="H2495" s="23"/>
      <c r="I2495" s="23"/>
      <c r="J2495" s="23"/>
      <c r="K2495" s="23"/>
      <c r="L2495" s="375" t="s">
        <v>7787</v>
      </c>
      <c r="M2495" s="351"/>
      <c r="N2495" s="267">
        <f t="shared" si="610"/>
        <v>0</v>
      </c>
      <c r="O2495" s="268">
        <f t="shared" si="611"/>
        <v>0</v>
      </c>
      <c r="P2495" s="239"/>
      <c r="Q2495" s="239"/>
      <c r="R2495" s="239"/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/>
      <c r="AC2495" s="196">
        <f t="shared" si="605"/>
        <v>0</v>
      </c>
      <c r="AD2495" s="196">
        <f t="shared" si="606"/>
        <v>0</v>
      </c>
      <c r="AE2495" s="196">
        <f t="shared" si="607"/>
        <v>0</v>
      </c>
      <c r="AF2495" s="2">
        <f t="shared" si="608"/>
        <v>0</v>
      </c>
      <c r="AG2495" s="2">
        <f t="shared" si="609"/>
        <v>0</v>
      </c>
    </row>
    <row r="2496" spans="1:33">
      <c r="A2496" s="20" t="s">
        <v>2349</v>
      </c>
      <c r="B2496" s="151" t="s">
        <v>15560</v>
      </c>
      <c r="C2496" s="21" t="s">
        <v>454</v>
      </c>
      <c r="D2496" s="109" t="s">
        <v>13207</v>
      </c>
      <c r="E2496" s="109"/>
      <c r="F2496" s="391" t="s">
        <v>15561</v>
      </c>
      <c r="G2496" s="23" t="s">
        <v>15514</v>
      </c>
      <c r="H2496" s="23" t="s">
        <v>15562</v>
      </c>
      <c r="I2496" s="23" t="s">
        <v>18852</v>
      </c>
      <c r="J2496" s="23"/>
      <c r="K2496" s="23"/>
      <c r="L2496" s="375" t="s">
        <v>45</v>
      </c>
      <c r="M2496" s="351" t="s">
        <v>45</v>
      </c>
      <c r="N2496" s="267">
        <f t="shared" si="610"/>
        <v>0</v>
      </c>
      <c r="O2496" s="268">
        <f t="shared" si="611"/>
        <v>2100</v>
      </c>
      <c r="P2496" s="239"/>
      <c r="Q2496" s="239"/>
      <c r="R2496" s="239">
        <f>3250-500-150-500</f>
        <v>2100</v>
      </c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 t="s">
        <v>26661</v>
      </c>
      <c r="AC2496" s="196">
        <f t="shared" si="605"/>
        <v>2100</v>
      </c>
      <c r="AD2496" s="196">
        <f t="shared" si="606"/>
        <v>2100</v>
      </c>
      <c r="AE2496" s="196">
        <f t="shared" si="607"/>
        <v>0</v>
      </c>
      <c r="AF2496" s="2">
        <f t="shared" si="608"/>
        <v>2100</v>
      </c>
      <c r="AG2496" s="2">
        <f t="shared" si="609"/>
        <v>0</v>
      </c>
    </row>
    <row r="2497" spans="1:33">
      <c r="A2497" s="20" t="s">
        <v>2351</v>
      </c>
      <c r="B2497" s="161"/>
      <c r="C2497" s="21" t="s">
        <v>455</v>
      </c>
      <c r="D2497" s="109" t="s">
        <v>13228</v>
      </c>
      <c r="E2497" s="109"/>
      <c r="F2497" s="391" t="s">
        <v>15563</v>
      </c>
      <c r="G2497" s="23" t="s">
        <v>15564</v>
      </c>
      <c r="H2497" s="23"/>
      <c r="I2497" s="23"/>
      <c r="J2497" s="23"/>
      <c r="K2497" s="23"/>
      <c r="L2497" s="350"/>
      <c r="M2497" s="369"/>
      <c r="N2497" s="267">
        <f t="shared" si="610"/>
        <v>0</v>
      </c>
      <c r="O2497" s="268">
        <f t="shared" si="611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79"/>
      <c r="AB2497" s="238"/>
      <c r="AC2497" s="196">
        <f t="shared" si="605"/>
        <v>0</v>
      </c>
      <c r="AD2497" s="196">
        <f t="shared" si="606"/>
        <v>0</v>
      </c>
      <c r="AE2497" s="196">
        <f t="shared" si="607"/>
        <v>0</v>
      </c>
      <c r="AF2497" s="2">
        <f t="shared" si="608"/>
        <v>0</v>
      </c>
      <c r="AG2497" s="2">
        <f t="shared" si="609"/>
        <v>0</v>
      </c>
    </row>
    <row r="2498" spans="1:33">
      <c r="A2498" s="20" t="s">
        <v>2350</v>
      </c>
      <c r="B2498" s="161"/>
      <c r="C2498" s="21" t="s">
        <v>455</v>
      </c>
      <c r="D2498" s="109" t="s">
        <v>15428</v>
      </c>
      <c r="E2498" s="109"/>
      <c r="F2498" s="391" t="s">
        <v>15563</v>
      </c>
      <c r="G2498" s="23" t="s">
        <v>15429</v>
      </c>
      <c r="H2498" s="23"/>
      <c r="I2498" s="23"/>
      <c r="J2498" s="23"/>
      <c r="K2498" s="23"/>
      <c r="L2498" s="350"/>
      <c r="M2498" s="351"/>
      <c r="N2498" s="267">
        <f t="shared" si="610"/>
        <v>0</v>
      </c>
      <c r="O2498" s="268">
        <f t="shared" si="611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79"/>
      <c r="AB2498" s="238"/>
      <c r="AC2498" s="196">
        <f t="shared" si="605"/>
        <v>0</v>
      </c>
      <c r="AD2498" s="196">
        <f t="shared" si="606"/>
        <v>0</v>
      </c>
      <c r="AE2498" s="196">
        <f t="shared" si="607"/>
        <v>0</v>
      </c>
      <c r="AF2498" s="2">
        <f t="shared" si="608"/>
        <v>0</v>
      </c>
      <c r="AG2498" s="2">
        <f t="shared" si="609"/>
        <v>0</v>
      </c>
    </row>
    <row r="2499" spans="1:33">
      <c r="A2499" s="20" t="s">
        <v>2352</v>
      </c>
      <c r="B2499" s="150"/>
      <c r="C2499" s="21" t="s">
        <v>456</v>
      </c>
      <c r="D2499" s="109" t="s">
        <v>13228</v>
      </c>
      <c r="E2499" s="109"/>
      <c r="F2499" s="391" t="s">
        <v>15565</v>
      </c>
      <c r="G2499" s="23" t="s">
        <v>15429</v>
      </c>
      <c r="H2499" s="23"/>
      <c r="I2499" s="23"/>
      <c r="J2499" s="23"/>
      <c r="K2499" s="23"/>
      <c r="L2499" s="350"/>
      <c r="M2499" s="351"/>
      <c r="N2499" s="267">
        <f t="shared" si="610"/>
        <v>0</v>
      </c>
      <c r="O2499" s="268">
        <f t="shared" si="611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85"/>
      <c r="AB2499" s="238"/>
      <c r="AC2499" s="196">
        <f t="shared" si="605"/>
        <v>0</v>
      </c>
      <c r="AD2499" s="196">
        <f t="shared" si="606"/>
        <v>0</v>
      </c>
      <c r="AE2499" s="196">
        <f t="shared" si="607"/>
        <v>0</v>
      </c>
      <c r="AF2499" s="2">
        <f t="shared" si="608"/>
        <v>0</v>
      </c>
      <c r="AG2499" s="2">
        <f t="shared" si="609"/>
        <v>0</v>
      </c>
    </row>
    <row r="2500" spans="1:33">
      <c r="A2500" s="20" t="s">
        <v>2353</v>
      </c>
      <c r="B2500" s="150"/>
      <c r="C2500" s="21" t="s">
        <v>457</v>
      </c>
      <c r="D2500" s="109" t="s">
        <v>14038</v>
      </c>
      <c r="E2500" s="109"/>
      <c r="F2500" s="391" t="s">
        <v>15566</v>
      </c>
      <c r="G2500" s="23" t="s">
        <v>14263</v>
      </c>
      <c r="H2500" s="23"/>
      <c r="I2500" s="23"/>
      <c r="J2500" s="23"/>
      <c r="K2500" s="23"/>
      <c r="L2500" s="350"/>
      <c r="M2500" s="351"/>
      <c r="N2500" s="267">
        <f t="shared" si="610"/>
        <v>0</v>
      </c>
      <c r="O2500" s="268">
        <f t="shared" si="611"/>
        <v>0</v>
      </c>
      <c r="P2500" s="239"/>
      <c r="Q2500" s="239"/>
      <c r="R2500" s="239"/>
      <c r="S2500" s="239"/>
      <c r="T2500" s="239"/>
      <c r="U2500" s="240"/>
      <c r="V2500" s="240"/>
      <c r="W2500" s="240"/>
      <c r="X2500" s="278"/>
      <c r="Y2500" s="237"/>
      <c r="Z2500" s="237"/>
      <c r="AA2500" s="279"/>
      <c r="AB2500" s="238"/>
      <c r="AC2500" s="196">
        <f t="shared" si="605"/>
        <v>0</v>
      </c>
      <c r="AD2500" s="196">
        <f t="shared" si="606"/>
        <v>0</v>
      </c>
      <c r="AE2500" s="196">
        <f t="shared" si="607"/>
        <v>0</v>
      </c>
      <c r="AF2500" s="2">
        <f t="shared" si="608"/>
        <v>0</v>
      </c>
      <c r="AG2500" s="2">
        <f t="shared" si="609"/>
        <v>0</v>
      </c>
    </row>
    <row r="2501" spans="1:33">
      <c r="A2501" s="20" t="s">
        <v>2354</v>
      </c>
      <c r="B2501" s="150"/>
      <c r="C2501" s="21" t="s">
        <v>457</v>
      </c>
      <c r="D2501" s="109" t="s">
        <v>14038</v>
      </c>
      <c r="E2501" s="109"/>
      <c r="F2501" s="391" t="s">
        <v>15567</v>
      </c>
      <c r="G2501" s="23" t="s">
        <v>14263</v>
      </c>
      <c r="H2501" s="23"/>
      <c r="I2501" s="23"/>
      <c r="J2501" s="23"/>
      <c r="K2501" s="23"/>
      <c r="L2501" s="350"/>
      <c r="M2501" s="351"/>
      <c r="N2501" s="267">
        <f t="shared" si="610"/>
        <v>0</v>
      </c>
      <c r="O2501" s="268">
        <f t="shared" si="611"/>
        <v>0</v>
      </c>
      <c r="P2501" s="239"/>
      <c r="Q2501" s="239"/>
      <c r="R2501" s="239"/>
      <c r="S2501" s="239"/>
      <c r="T2501" s="239"/>
      <c r="U2501" s="240"/>
      <c r="V2501" s="240"/>
      <c r="W2501" s="240"/>
      <c r="X2501" s="278"/>
      <c r="Y2501" s="237"/>
      <c r="Z2501" s="237"/>
      <c r="AA2501" s="279"/>
      <c r="AB2501" s="238"/>
      <c r="AC2501" s="196">
        <f t="shared" si="605"/>
        <v>0</v>
      </c>
      <c r="AD2501" s="196">
        <f t="shared" si="606"/>
        <v>0</v>
      </c>
      <c r="AE2501" s="196">
        <f t="shared" si="607"/>
        <v>0</v>
      </c>
      <c r="AF2501" s="2">
        <f t="shared" si="608"/>
        <v>0</v>
      </c>
      <c r="AG2501" s="2">
        <f t="shared" si="609"/>
        <v>0</v>
      </c>
    </row>
    <row r="2502" spans="1:33">
      <c r="A2502" s="20" t="s">
        <v>2355</v>
      </c>
      <c r="B2502" s="161"/>
      <c r="C2502" s="21" t="s">
        <v>15568</v>
      </c>
      <c r="D2502" s="109" t="s">
        <v>13239</v>
      </c>
      <c r="E2502" s="109"/>
      <c r="F2502" s="391" t="s">
        <v>15569</v>
      </c>
      <c r="G2502" s="23" t="s">
        <v>14235</v>
      </c>
      <c r="H2502" s="23"/>
      <c r="I2502" s="23"/>
      <c r="J2502" s="23"/>
      <c r="K2502" s="23"/>
      <c r="L2502" s="350"/>
      <c r="M2502" s="351"/>
      <c r="N2502" s="267">
        <f t="shared" si="610"/>
        <v>0</v>
      </c>
      <c r="O2502" s="268">
        <f t="shared" si="611"/>
        <v>0</v>
      </c>
      <c r="P2502" s="239"/>
      <c r="Q2502" s="239"/>
      <c r="R2502" s="239"/>
      <c r="S2502" s="239"/>
      <c r="T2502" s="239"/>
      <c r="U2502" s="240">
        <v>0</v>
      </c>
      <c r="V2502" s="240"/>
      <c r="W2502" s="240"/>
      <c r="X2502" s="278"/>
      <c r="Y2502" s="237"/>
      <c r="Z2502" s="237"/>
      <c r="AA2502" s="279"/>
      <c r="AB2502" s="238"/>
      <c r="AC2502" s="196">
        <f t="shared" si="605"/>
        <v>0</v>
      </c>
      <c r="AD2502" s="196">
        <f t="shared" si="606"/>
        <v>0</v>
      </c>
      <c r="AE2502" s="196">
        <f t="shared" si="607"/>
        <v>0</v>
      </c>
      <c r="AF2502" s="2">
        <f t="shared" si="608"/>
        <v>0</v>
      </c>
      <c r="AG2502" s="2">
        <f t="shared" si="609"/>
        <v>0</v>
      </c>
    </row>
    <row r="2503" spans="1:33">
      <c r="A2503" s="20" t="s">
        <v>2356</v>
      </c>
      <c r="B2503" s="150"/>
      <c r="C2503" s="21" t="s">
        <v>4900</v>
      </c>
      <c r="D2503" s="109" t="s">
        <v>13239</v>
      </c>
      <c r="E2503" s="109"/>
      <c r="F2503" s="391" t="s">
        <v>15570</v>
      </c>
      <c r="G2503" s="23" t="s">
        <v>14235</v>
      </c>
      <c r="H2503" s="23"/>
      <c r="I2503" s="23"/>
      <c r="J2503" s="23"/>
      <c r="K2503" s="23"/>
      <c r="L2503" s="350"/>
      <c r="M2503" s="351"/>
      <c r="N2503" s="267">
        <f t="shared" si="610"/>
        <v>0</v>
      </c>
      <c r="O2503" s="268">
        <f t="shared" si="611"/>
        <v>0</v>
      </c>
      <c r="P2503" s="239"/>
      <c r="Q2503" s="239"/>
      <c r="R2503" s="239"/>
      <c r="S2503" s="239"/>
      <c r="T2503" s="239"/>
      <c r="U2503" s="240">
        <v>0</v>
      </c>
      <c r="V2503" s="240"/>
      <c r="W2503" s="240"/>
      <c r="X2503" s="278"/>
      <c r="Y2503" s="237"/>
      <c r="Z2503" s="237"/>
      <c r="AA2503" s="279"/>
      <c r="AB2503" s="238"/>
      <c r="AC2503" s="196">
        <f t="shared" si="605"/>
        <v>0</v>
      </c>
      <c r="AD2503" s="196">
        <f t="shared" si="606"/>
        <v>0</v>
      </c>
      <c r="AE2503" s="196">
        <f t="shared" si="607"/>
        <v>0</v>
      </c>
      <c r="AF2503" s="2">
        <f t="shared" si="608"/>
        <v>0</v>
      </c>
      <c r="AG2503" s="2">
        <f t="shared" si="609"/>
        <v>0</v>
      </c>
    </row>
    <row r="2504" spans="1:33">
      <c r="A2504" s="20" t="s">
        <v>2357</v>
      </c>
      <c r="B2504" s="161"/>
      <c r="C2504" s="21" t="s">
        <v>459</v>
      </c>
      <c r="D2504" s="109" t="s">
        <v>13239</v>
      </c>
      <c r="E2504" s="109"/>
      <c r="F2504" s="391" t="s">
        <v>15571</v>
      </c>
      <c r="G2504" s="23" t="s">
        <v>14235</v>
      </c>
      <c r="H2504" s="23"/>
      <c r="I2504" s="23"/>
      <c r="J2504" s="23"/>
      <c r="K2504" s="23"/>
      <c r="L2504" s="350"/>
      <c r="M2504" s="351" t="s">
        <v>7787</v>
      </c>
      <c r="N2504" s="267">
        <f t="shared" si="610"/>
        <v>0</v>
      </c>
      <c r="O2504" s="268">
        <f t="shared" si="611"/>
        <v>0</v>
      </c>
      <c r="P2504" s="239"/>
      <c r="Q2504" s="239"/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/>
      <c r="AC2504" s="196">
        <f t="shared" si="605"/>
        <v>0</v>
      </c>
      <c r="AD2504" s="196">
        <f t="shared" si="606"/>
        <v>0</v>
      </c>
      <c r="AE2504" s="196">
        <f t="shared" si="607"/>
        <v>0</v>
      </c>
      <c r="AF2504" s="2">
        <f t="shared" si="608"/>
        <v>0</v>
      </c>
      <c r="AG2504" s="2">
        <f t="shared" si="609"/>
        <v>0</v>
      </c>
    </row>
    <row r="2505" spans="1:33">
      <c r="A2505" s="20" t="s">
        <v>7104</v>
      </c>
      <c r="B2505" s="152" t="s">
        <v>6378</v>
      </c>
      <c r="C2505" s="21" t="s">
        <v>460</v>
      </c>
      <c r="D2505" s="109" t="s">
        <v>14126</v>
      </c>
      <c r="E2505" s="109"/>
      <c r="F2505" s="391" t="s">
        <v>15572</v>
      </c>
      <c r="G2505" s="23" t="s">
        <v>14144</v>
      </c>
      <c r="H2505" s="23" t="s">
        <v>14014</v>
      </c>
      <c r="I2505" s="23" t="s">
        <v>15071</v>
      </c>
      <c r="J2505" s="23" t="s">
        <v>17487</v>
      </c>
      <c r="K2505" s="23" t="s">
        <v>24114</v>
      </c>
      <c r="L2505" s="375" t="s">
        <v>27620</v>
      </c>
      <c r="M2505" s="351" t="s">
        <v>45</v>
      </c>
      <c r="N2505" s="267">
        <f t="shared" si="610"/>
        <v>0</v>
      </c>
      <c r="O2505" s="268">
        <f t="shared" si="611"/>
        <v>1700</v>
      </c>
      <c r="P2505" s="239"/>
      <c r="Q2505" s="239">
        <f>1800-350-300+2700-150-200-100-50-750-300-100-500</f>
        <v>1700</v>
      </c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 t="s">
        <v>27616</v>
      </c>
      <c r="AC2505" s="196">
        <f t="shared" si="605"/>
        <v>1700</v>
      </c>
      <c r="AD2505" s="196">
        <f t="shared" si="606"/>
        <v>1700</v>
      </c>
      <c r="AE2505" s="196">
        <f t="shared" si="607"/>
        <v>0</v>
      </c>
      <c r="AF2505" s="2">
        <f t="shared" si="608"/>
        <v>1700</v>
      </c>
      <c r="AG2505" s="2">
        <f t="shared" si="609"/>
        <v>0</v>
      </c>
    </row>
    <row r="2506" spans="1:33">
      <c r="A2506" s="20" t="s">
        <v>2358</v>
      </c>
      <c r="B2506" s="152"/>
      <c r="C2506" s="21" t="s">
        <v>460</v>
      </c>
      <c r="D2506" s="109" t="s">
        <v>5790</v>
      </c>
      <c r="E2506" s="109" t="s">
        <v>25574</v>
      </c>
      <c r="F2506" s="391" t="s">
        <v>15572</v>
      </c>
      <c r="G2506" s="23" t="s">
        <v>14023</v>
      </c>
      <c r="H2506" s="23" t="s">
        <v>13972</v>
      </c>
      <c r="I2506" s="23" t="s">
        <v>17682</v>
      </c>
      <c r="J2506" s="23"/>
      <c r="K2506" s="23"/>
      <c r="L2506" s="375"/>
      <c r="M2506" s="351" t="s">
        <v>7787</v>
      </c>
      <c r="N2506" s="267">
        <f t="shared" si="610"/>
        <v>0</v>
      </c>
      <c r="O2506" s="268">
        <f t="shared" si="611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5"/>
        <v>0</v>
      </c>
      <c r="AD2506" s="196">
        <f t="shared" si="606"/>
        <v>0</v>
      </c>
      <c r="AE2506" s="196">
        <f t="shared" si="607"/>
        <v>0</v>
      </c>
      <c r="AF2506" s="2">
        <f t="shared" si="608"/>
        <v>0</v>
      </c>
      <c r="AG2506" s="2">
        <f t="shared" si="609"/>
        <v>0</v>
      </c>
    </row>
    <row r="2507" spans="1:33">
      <c r="A2507" s="20" t="s">
        <v>2362</v>
      </c>
      <c r="B2507" s="161"/>
      <c r="C2507" s="21" t="s">
        <v>461</v>
      </c>
      <c r="D2507" s="109" t="s">
        <v>13991</v>
      </c>
      <c r="E2507" s="109" t="s">
        <v>14043</v>
      </c>
      <c r="F2507" s="391" t="s">
        <v>15573</v>
      </c>
      <c r="G2507" s="23" t="s">
        <v>7850</v>
      </c>
      <c r="H2507" s="23"/>
      <c r="I2507" s="23"/>
      <c r="J2507" s="23"/>
      <c r="K2507" s="23"/>
      <c r="L2507" s="375"/>
      <c r="M2507" s="351"/>
      <c r="N2507" s="267">
        <f t="shared" si="610"/>
        <v>0</v>
      </c>
      <c r="O2507" s="268">
        <f t="shared" si="611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5"/>
        <v>0</v>
      </c>
      <c r="AD2507" s="196">
        <f t="shared" si="606"/>
        <v>0</v>
      </c>
      <c r="AE2507" s="196">
        <f t="shared" si="607"/>
        <v>0</v>
      </c>
      <c r="AF2507" s="2">
        <f t="shared" si="608"/>
        <v>0</v>
      </c>
      <c r="AG2507" s="2">
        <f t="shared" si="609"/>
        <v>0</v>
      </c>
    </row>
    <row r="2508" spans="1:33">
      <c r="A2508" s="20" t="s">
        <v>2359</v>
      </c>
      <c r="B2508" s="150"/>
      <c r="C2508" s="21" t="s">
        <v>461</v>
      </c>
      <c r="D2508" s="109" t="s">
        <v>14004</v>
      </c>
      <c r="E2508" s="109" t="s">
        <v>13210</v>
      </c>
      <c r="F2508" s="391" t="s">
        <v>15573</v>
      </c>
      <c r="G2508" s="23" t="s">
        <v>15574</v>
      </c>
      <c r="H2508" s="23"/>
      <c r="I2508" s="23"/>
      <c r="J2508" s="23"/>
      <c r="K2508" s="23"/>
      <c r="L2508" s="350"/>
      <c r="M2508" s="351"/>
      <c r="N2508" s="267">
        <f t="shared" si="610"/>
        <v>0</v>
      </c>
      <c r="O2508" s="268">
        <f t="shared" si="611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5"/>
        <v>0</v>
      </c>
      <c r="AD2508" s="196">
        <f t="shared" si="606"/>
        <v>0</v>
      </c>
      <c r="AE2508" s="196">
        <f t="shared" si="607"/>
        <v>0</v>
      </c>
      <c r="AF2508" s="2">
        <f t="shared" si="608"/>
        <v>0</v>
      </c>
      <c r="AG2508" s="2">
        <f t="shared" si="609"/>
        <v>0</v>
      </c>
    </row>
    <row r="2509" spans="1:33">
      <c r="A2509" s="20" t="s">
        <v>9861</v>
      </c>
      <c r="B2509" s="150"/>
      <c r="C2509" s="21" t="s">
        <v>461</v>
      </c>
      <c r="D2509" s="109" t="s">
        <v>15297</v>
      </c>
      <c r="E2509" s="109" t="s">
        <v>13210</v>
      </c>
      <c r="F2509" s="391" t="s">
        <v>15573</v>
      </c>
      <c r="G2509" s="23" t="s">
        <v>15574</v>
      </c>
      <c r="H2509" s="23"/>
      <c r="I2509" s="23"/>
      <c r="J2509" s="23"/>
      <c r="K2509" s="23"/>
      <c r="L2509" s="375" t="s">
        <v>7787</v>
      </c>
      <c r="M2509" s="351" t="s">
        <v>7787</v>
      </c>
      <c r="N2509" s="267">
        <f t="shared" si="610"/>
        <v>0</v>
      </c>
      <c r="O2509" s="268">
        <f t="shared" si="611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5"/>
        <v>0</v>
      </c>
      <c r="AD2509" s="196">
        <f t="shared" si="606"/>
        <v>0</v>
      </c>
      <c r="AE2509" s="196">
        <f t="shared" si="607"/>
        <v>0</v>
      </c>
      <c r="AF2509" s="2">
        <f t="shared" si="608"/>
        <v>0</v>
      </c>
      <c r="AG2509" s="2">
        <f t="shared" si="609"/>
        <v>0</v>
      </c>
    </row>
    <row r="2510" spans="1:33">
      <c r="A2510" s="20" t="s">
        <v>11548</v>
      </c>
      <c r="B2510" s="150"/>
      <c r="C2510" s="21" t="s">
        <v>461</v>
      </c>
      <c r="D2510" s="109" t="s">
        <v>15575</v>
      </c>
      <c r="E2510" s="109" t="s">
        <v>13210</v>
      </c>
      <c r="F2510" s="391" t="s">
        <v>15573</v>
      </c>
      <c r="G2510" s="23" t="s">
        <v>15576</v>
      </c>
      <c r="H2510" s="23"/>
      <c r="I2510" s="23"/>
      <c r="J2510" s="23"/>
      <c r="K2510" s="23"/>
      <c r="L2510" s="375" t="s">
        <v>7787</v>
      </c>
      <c r="M2510" s="351"/>
      <c r="N2510" s="267">
        <f t="shared" si="610"/>
        <v>0</v>
      </c>
      <c r="O2510" s="268">
        <f t="shared" si="611"/>
        <v>0</v>
      </c>
      <c r="P2510" s="239"/>
      <c r="Q2510" s="239"/>
      <c r="R2510" s="239"/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/>
      <c r="AC2510" s="196">
        <f t="shared" si="605"/>
        <v>0</v>
      </c>
      <c r="AD2510" s="196">
        <f t="shared" si="606"/>
        <v>0</v>
      </c>
      <c r="AE2510" s="196">
        <f t="shared" si="607"/>
        <v>0</v>
      </c>
      <c r="AF2510" s="2">
        <f t="shared" si="608"/>
        <v>0</v>
      </c>
      <c r="AG2510" s="2">
        <f t="shared" si="609"/>
        <v>0</v>
      </c>
    </row>
    <row r="2511" spans="1:33">
      <c r="A2511" s="20" t="s">
        <v>9770</v>
      </c>
      <c r="B2511" s="150"/>
      <c r="C2511" s="21" t="s">
        <v>461</v>
      </c>
      <c r="D2511" s="109" t="s">
        <v>14126</v>
      </c>
      <c r="E2511" s="109"/>
      <c r="F2511" s="391" t="s">
        <v>15573</v>
      </c>
      <c r="G2511" s="23" t="s">
        <v>25389</v>
      </c>
      <c r="H2511" s="23" t="s">
        <v>13970</v>
      </c>
      <c r="I2511" s="23" t="s">
        <v>13495</v>
      </c>
      <c r="J2511" s="23" t="s">
        <v>13353</v>
      </c>
      <c r="K2511" s="23" t="s">
        <v>23861</v>
      </c>
      <c r="L2511" s="375" t="s">
        <v>45</v>
      </c>
      <c r="M2511" s="351" t="s">
        <v>45</v>
      </c>
      <c r="N2511" s="267">
        <f t="shared" si="610"/>
        <v>0</v>
      </c>
      <c r="O2511" s="268">
        <f t="shared" si="611"/>
        <v>0</v>
      </c>
      <c r="P2511" s="239"/>
      <c r="Q2511" s="239"/>
      <c r="R2511" s="239"/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/>
      <c r="AC2511" s="196">
        <f t="shared" si="605"/>
        <v>0</v>
      </c>
      <c r="AD2511" s="196">
        <f t="shared" si="606"/>
        <v>0</v>
      </c>
      <c r="AE2511" s="196">
        <f t="shared" si="607"/>
        <v>0</v>
      </c>
      <c r="AF2511" s="2">
        <f t="shared" si="608"/>
        <v>0</v>
      </c>
      <c r="AG2511" s="2">
        <f t="shared" si="609"/>
        <v>0</v>
      </c>
    </row>
    <row r="2512" spans="1:33">
      <c r="A2512" s="20" t="s">
        <v>26104</v>
      </c>
      <c r="B2512" s="150"/>
      <c r="C2512" s="21" t="s">
        <v>461</v>
      </c>
      <c r="D2512" s="109" t="s">
        <v>4070</v>
      </c>
      <c r="E2512" s="109" t="s">
        <v>24177</v>
      </c>
      <c r="F2512" s="391" t="s">
        <v>25631</v>
      </c>
      <c r="G2512" s="23" t="s">
        <v>25632</v>
      </c>
      <c r="H2512" s="23" t="s">
        <v>7858</v>
      </c>
      <c r="I2512" s="23" t="s">
        <v>25633</v>
      </c>
      <c r="J2512" s="23" t="s">
        <v>25634</v>
      </c>
      <c r="K2512" s="23" t="s">
        <v>25882</v>
      </c>
      <c r="L2512" s="375" t="s">
        <v>7787</v>
      </c>
      <c r="M2512" s="351" t="s">
        <v>7787</v>
      </c>
      <c r="N2512" s="267">
        <f t="shared" ref="N2512" si="612">SUM(L2512:M2512)</f>
        <v>0</v>
      </c>
      <c r="O2512" s="268">
        <f t="shared" ref="O2512" si="613">SUM(P2512:Z2512)</f>
        <v>250</v>
      </c>
      <c r="P2512" s="239"/>
      <c r="Q2512" s="239"/>
      <c r="R2512" s="239">
        <f>1000-150-200-300-100</f>
        <v>250</v>
      </c>
      <c r="S2512" s="239"/>
      <c r="T2512" s="239"/>
      <c r="U2512" s="240"/>
      <c r="V2512" s="240"/>
      <c r="W2512" s="240"/>
      <c r="X2512" s="278"/>
      <c r="Y2512" s="237"/>
      <c r="Z2512" s="237"/>
      <c r="AA2512" s="279"/>
      <c r="AB2512" s="238" t="s">
        <v>26144</v>
      </c>
      <c r="AC2512" s="196">
        <f t="shared" si="605"/>
        <v>250</v>
      </c>
      <c r="AD2512" s="196">
        <f t="shared" si="606"/>
        <v>250</v>
      </c>
      <c r="AE2512" s="196">
        <f t="shared" si="607"/>
        <v>0</v>
      </c>
      <c r="AF2512" s="2">
        <f t="shared" si="608"/>
        <v>250</v>
      </c>
      <c r="AG2512" s="2">
        <f t="shared" si="609"/>
        <v>0</v>
      </c>
    </row>
    <row r="2513" spans="1:33">
      <c r="A2513" s="20" t="s">
        <v>17723</v>
      </c>
      <c r="B2513" s="150"/>
      <c r="C2513" s="21" t="s">
        <v>461</v>
      </c>
      <c r="D2513" s="109" t="s">
        <v>17721</v>
      </c>
      <c r="E2513" s="109"/>
      <c r="F2513" s="391" t="s">
        <v>4905</v>
      </c>
      <c r="G2513" s="23" t="s">
        <v>17836</v>
      </c>
      <c r="H2513" s="23"/>
      <c r="I2513" s="23"/>
      <c r="J2513" s="23"/>
      <c r="K2513" s="23"/>
      <c r="L2513" s="375" t="s">
        <v>7787</v>
      </c>
      <c r="M2513" s="351"/>
      <c r="N2513" s="267">
        <f t="shared" ref="N2513" si="614">SUM(L2513:M2513)</f>
        <v>0</v>
      </c>
      <c r="O2513" s="268">
        <f t="shared" ref="O2513" si="615">SUM(P2513:Z2513)</f>
        <v>0</v>
      </c>
      <c r="P2513" s="239"/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/>
      <c r="AC2513" s="196">
        <f t="shared" si="605"/>
        <v>0</v>
      </c>
      <c r="AD2513" s="196">
        <f t="shared" si="606"/>
        <v>0</v>
      </c>
      <c r="AE2513" s="196">
        <f t="shared" si="607"/>
        <v>0</v>
      </c>
      <c r="AF2513" s="2">
        <f t="shared" si="608"/>
        <v>0</v>
      </c>
      <c r="AG2513" s="2">
        <f t="shared" si="609"/>
        <v>0</v>
      </c>
    </row>
    <row r="2514" spans="1:33">
      <c r="A2514" s="20" t="s">
        <v>2360</v>
      </c>
      <c r="B2514" s="151" t="s">
        <v>15577</v>
      </c>
      <c r="C2514" s="21" t="s">
        <v>461</v>
      </c>
      <c r="D2514" s="109" t="s">
        <v>13207</v>
      </c>
      <c r="E2514" s="109" t="s">
        <v>26100</v>
      </c>
      <c r="F2514" s="391" t="s">
        <v>15573</v>
      </c>
      <c r="G2514" s="23" t="s">
        <v>14016</v>
      </c>
      <c r="H2514" s="23" t="s">
        <v>14002</v>
      </c>
      <c r="I2514" s="23" t="s">
        <v>13970</v>
      </c>
      <c r="J2514" s="23" t="s">
        <v>14175</v>
      </c>
      <c r="K2514" s="23" t="s">
        <v>25359</v>
      </c>
      <c r="L2514" s="375" t="s">
        <v>45</v>
      </c>
      <c r="M2514" s="351" t="s">
        <v>7787</v>
      </c>
      <c r="N2514" s="267">
        <f t="shared" si="610"/>
        <v>0</v>
      </c>
      <c r="O2514" s="268">
        <f t="shared" si="611"/>
        <v>0</v>
      </c>
      <c r="P2514" s="239"/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/>
      <c r="AC2514" s="196">
        <f t="shared" si="605"/>
        <v>0</v>
      </c>
      <c r="AD2514" s="196">
        <f t="shared" si="606"/>
        <v>0</v>
      </c>
      <c r="AE2514" s="196">
        <f t="shared" si="607"/>
        <v>0</v>
      </c>
      <c r="AF2514" s="2">
        <f t="shared" si="608"/>
        <v>0</v>
      </c>
      <c r="AG2514" s="2">
        <f t="shared" si="609"/>
        <v>0</v>
      </c>
    </row>
    <row r="2515" spans="1:33">
      <c r="A2515" s="20" t="s">
        <v>27128</v>
      </c>
      <c r="B2515" s="151"/>
      <c r="C2515" s="21" t="s">
        <v>461</v>
      </c>
      <c r="D2515" s="109" t="s">
        <v>4059</v>
      </c>
      <c r="E2515" s="109" t="s">
        <v>25555</v>
      </c>
      <c r="F2515" s="391" t="s">
        <v>25631</v>
      </c>
      <c r="G2515" s="23" t="s">
        <v>25893</v>
      </c>
      <c r="H2515" s="23"/>
      <c r="I2515" s="23"/>
      <c r="J2515" s="23"/>
      <c r="K2515" s="23"/>
      <c r="L2515" s="375" t="s">
        <v>7787</v>
      </c>
      <c r="M2515" s="351" t="s">
        <v>7787</v>
      </c>
      <c r="N2515" s="267">
        <f t="shared" ref="N2515" si="616">SUM(L2515:M2515)</f>
        <v>0</v>
      </c>
      <c r="O2515" s="268">
        <f t="shared" ref="O2515" si="617">SUM(P2515:Z2515)</f>
        <v>750</v>
      </c>
      <c r="P2515" s="239">
        <f>1000-250+3000-2500+1000-1000+1000+2000-2000+1000-2500</f>
        <v>750</v>
      </c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 t="s">
        <v>27478</v>
      </c>
      <c r="AC2515" s="196">
        <f t="shared" ref="AC2515" si="618">SUM(P2515:AA2515)</f>
        <v>750</v>
      </c>
      <c r="AD2515" s="196">
        <f t="shared" ref="AD2515" si="619">SUM(P2515:AB2515)</f>
        <v>750</v>
      </c>
      <c r="AE2515" s="196">
        <f t="shared" ref="AE2515" si="620">SUM(AC2515-AD2515)</f>
        <v>0</v>
      </c>
      <c r="AF2515" s="2">
        <f t="shared" ref="AF2515" si="621">+AC2515</f>
        <v>750</v>
      </c>
      <c r="AG2515" s="2">
        <f t="shared" ref="AG2515" si="622">+AC2515-AF2515</f>
        <v>0</v>
      </c>
    </row>
    <row r="2516" spans="1:33">
      <c r="A2516" s="20" t="s">
        <v>11299</v>
      </c>
      <c r="B2516" s="152"/>
      <c r="C2516" s="21" t="s">
        <v>461</v>
      </c>
      <c r="D2516" s="109" t="s">
        <v>13232</v>
      </c>
      <c r="E2516" s="109"/>
      <c r="F2516" s="391" t="s">
        <v>15572</v>
      </c>
      <c r="G2516" s="23" t="s">
        <v>14059</v>
      </c>
      <c r="H2516" s="23" t="s">
        <v>13353</v>
      </c>
      <c r="I2516" s="23"/>
      <c r="J2516" s="23"/>
      <c r="K2516" s="23"/>
      <c r="L2516" s="375" t="s">
        <v>7787</v>
      </c>
      <c r="M2516" s="351" t="s">
        <v>7787</v>
      </c>
      <c r="N2516" s="267">
        <f t="shared" si="610"/>
        <v>0</v>
      </c>
      <c r="O2516" s="268">
        <f t="shared" si="611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5"/>
        <v>0</v>
      </c>
      <c r="AD2516" s="196">
        <f t="shared" si="606"/>
        <v>0</v>
      </c>
      <c r="AE2516" s="196">
        <f t="shared" si="607"/>
        <v>0</v>
      </c>
      <c r="AF2516" s="2">
        <f t="shared" si="608"/>
        <v>0</v>
      </c>
      <c r="AG2516" s="2">
        <f t="shared" si="609"/>
        <v>0</v>
      </c>
    </row>
    <row r="2517" spans="1:33">
      <c r="A2517" s="20" t="s">
        <v>2361</v>
      </c>
      <c r="B2517" s="150"/>
      <c r="C2517" s="21" t="s">
        <v>461</v>
      </c>
      <c r="D2517" s="109" t="s">
        <v>14177</v>
      </c>
      <c r="E2517" s="109" t="s">
        <v>3126</v>
      </c>
      <c r="F2517" s="391" t="s">
        <v>15573</v>
      </c>
      <c r="G2517" s="23" t="s">
        <v>14218</v>
      </c>
      <c r="H2517" s="23"/>
      <c r="I2517" s="23"/>
      <c r="J2517" s="23"/>
      <c r="K2517" s="23"/>
      <c r="L2517" s="375" t="s">
        <v>7787</v>
      </c>
      <c r="M2517" s="351" t="s">
        <v>7787</v>
      </c>
      <c r="N2517" s="267">
        <f t="shared" si="610"/>
        <v>0</v>
      </c>
      <c r="O2517" s="268">
        <f t="shared" si="611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5"/>
        <v>0</v>
      </c>
      <c r="AD2517" s="196">
        <f t="shared" si="606"/>
        <v>0</v>
      </c>
      <c r="AE2517" s="196">
        <f t="shared" si="607"/>
        <v>0</v>
      </c>
      <c r="AF2517" s="2">
        <f t="shared" si="608"/>
        <v>0</v>
      </c>
      <c r="AG2517" s="2">
        <f t="shared" si="609"/>
        <v>0</v>
      </c>
    </row>
    <row r="2518" spans="1:33">
      <c r="A2518" s="20" t="s">
        <v>7318</v>
      </c>
      <c r="B2518" s="150" t="s">
        <v>15578</v>
      </c>
      <c r="C2518" s="21" t="s">
        <v>461</v>
      </c>
      <c r="D2518" s="109" t="s">
        <v>14142</v>
      </c>
      <c r="E2518" s="109"/>
      <c r="F2518" s="391" t="s">
        <v>15573</v>
      </c>
      <c r="G2518" s="23" t="s">
        <v>13240</v>
      </c>
      <c r="H2518" s="23"/>
      <c r="I2518" s="23"/>
      <c r="J2518" s="23"/>
      <c r="K2518" s="23"/>
      <c r="L2518" s="375"/>
      <c r="M2518" s="351"/>
      <c r="N2518" s="267">
        <f t="shared" si="610"/>
        <v>0</v>
      </c>
      <c r="O2518" s="268">
        <f t="shared" si="611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5"/>
        <v>0</v>
      </c>
      <c r="AD2518" s="196">
        <f t="shared" si="606"/>
        <v>0</v>
      </c>
      <c r="AE2518" s="196">
        <f t="shared" si="607"/>
        <v>0</v>
      </c>
      <c r="AF2518" s="2">
        <f t="shared" si="608"/>
        <v>0</v>
      </c>
      <c r="AG2518" s="2">
        <f t="shared" si="609"/>
        <v>0</v>
      </c>
    </row>
    <row r="2519" spans="1:33">
      <c r="A2519" s="20" t="s">
        <v>2363</v>
      </c>
      <c r="B2519" s="161"/>
      <c r="C2519" s="21" t="s">
        <v>462</v>
      </c>
      <c r="D2519" s="109" t="s">
        <v>14233</v>
      </c>
      <c r="E2519" s="109" t="s">
        <v>13203</v>
      </c>
      <c r="F2519" s="391" t="s">
        <v>15579</v>
      </c>
      <c r="G2519" s="23" t="s">
        <v>15547</v>
      </c>
      <c r="H2519" s="23"/>
      <c r="I2519" s="23"/>
      <c r="J2519" s="23"/>
      <c r="K2519" s="23"/>
      <c r="L2519" s="350"/>
      <c r="M2519" s="351"/>
      <c r="N2519" s="267">
        <f t="shared" si="610"/>
        <v>0</v>
      </c>
      <c r="O2519" s="268">
        <f t="shared" si="611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5"/>
        <v>0</v>
      </c>
      <c r="AD2519" s="196">
        <f t="shared" si="606"/>
        <v>0</v>
      </c>
      <c r="AE2519" s="196">
        <f t="shared" si="607"/>
        <v>0</v>
      </c>
      <c r="AF2519" s="2">
        <f t="shared" si="608"/>
        <v>0</v>
      </c>
      <c r="AG2519" s="2">
        <f t="shared" si="609"/>
        <v>0</v>
      </c>
    </row>
    <row r="2520" spans="1:33">
      <c r="A2520" s="20" t="s">
        <v>2364</v>
      </c>
      <c r="B2520" s="161"/>
      <c r="C2520" s="21" t="s">
        <v>462</v>
      </c>
      <c r="D2520" s="109" t="s">
        <v>14233</v>
      </c>
      <c r="E2520" s="109" t="s">
        <v>14064</v>
      </c>
      <c r="F2520" s="391" t="s">
        <v>15580</v>
      </c>
      <c r="G2520" s="23" t="s">
        <v>15547</v>
      </c>
      <c r="H2520" s="23"/>
      <c r="I2520" s="23"/>
      <c r="J2520" s="23"/>
      <c r="K2520" s="23"/>
      <c r="L2520" s="350"/>
      <c r="M2520" s="351"/>
      <c r="N2520" s="267">
        <f t="shared" si="610"/>
        <v>0</v>
      </c>
      <c r="O2520" s="268">
        <f t="shared" si="611"/>
        <v>0</v>
      </c>
      <c r="P2520" s="239"/>
      <c r="Q2520" s="239"/>
      <c r="R2520" s="239"/>
      <c r="S2520" s="239"/>
      <c r="T2520" s="239"/>
      <c r="U2520" s="240"/>
      <c r="V2520" s="240"/>
      <c r="W2520" s="240"/>
      <c r="X2520" s="278"/>
      <c r="Y2520" s="237"/>
      <c r="Z2520" s="237"/>
      <c r="AA2520" s="279"/>
      <c r="AB2520" s="238"/>
      <c r="AC2520" s="196">
        <f t="shared" si="605"/>
        <v>0</v>
      </c>
      <c r="AD2520" s="196">
        <f t="shared" si="606"/>
        <v>0</v>
      </c>
      <c r="AE2520" s="196">
        <f t="shared" si="607"/>
        <v>0</v>
      </c>
      <c r="AF2520" s="2">
        <f t="shared" si="608"/>
        <v>0</v>
      </c>
      <c r="AG2520" s="2">
        <f t="shared" si="609"/>
        <v>0</v>
      </c>
    </row>
    <row r="2521" spans="1:33">
      <c r="A2521" s="20" t="s">
        <v>2365</v>
      </c>
      <c r="B2521" s="161"/>
      <c r="C2521" s="21" t="s">
        <v>15581</v>
      </c>
      <c r="D2521" s="109" t="s">
        <v>14038</v>
      </c>
      <c r="E2521" s="109"/>
      <c r="F2521" s="391" t="s">
        <v>15579</v>
      </c>
      <c r="G2521" s="23" t="s">
        <v>14263</v>
      </c>
      <c r="H2521" s="23"/>
      <c r="I2521" s="23"/>
      <c r="J2521" s="23"/>
      <c r="K2521" s="23"/>
      <c r="L2521" s="350"/>
      <c r="M2521" s="351"/>
      <c r="N2521" s="267">
        <f t="shared" si="610"/>
        <v>0</v>
      </c>
      <c r="O2521" s="268">
        <f t="shared" si="611"/>
        <v>0</v>
      </c>
      <c r="P2521" s="239"/>
      <c r="Q2521" s="239"/>
      <c r="R2521" s="239"/>
      <c r="S2521" s="239"/>
      <c r="T2521" s="239"/>
      <c r="U2521" s="240"/>
      <c r="V2521" s="240"/>
      <c r="W2521" s="240"/>
      <c r="X2521" s="278"/>
      <c r="Y2521" s="237"/>
      <c r="Z2521" s="237"/>
      <c r="AA2521" s="279"/>
      <c r="AB2521" s="238"/>
      <c r="AC2521" s="196">
        <f t="shared" si="605"/>
        <v>0</v>
      </c>
      <c r="AD2521" s="196">
        <f t="shared" si="606"/>
        <v>0</v>
      </c>
      <c r="AE2521" s="196">
        <f t="shared" si="607"/>
        <v>0</v>
      </c>
      <c r="AF2521" s="2">
        <f t="shared" si="608"/>
        <v>0</v>
      </c>
      <c r="AG2521" s="2">
        <f t="shared" si="609"/>
        <v>0</v>
      </c>
    </row>
    <row r="2522" spans="1:33">
      <c r="A2522" s="20" t="s">
        <v>2366</v>
      </c>
      <c r="B2522" s="156"/>
      <c r="C2522" s="21" t="s">
        <v>15581</v>
      </c>
      <c r="D2522" s="109" t="s">
        <v>14038</v>
      </c>
      <c r="E2522" s="109" t="s">
        <v>26066</v>
      </c>
      <c r="F2522" s="391" t="s">
        <v>15582</v>
      </c>
      <c r="G2522" s="23" t="s">
        <v>14263</v>
      </c>
      <c r="H2522" s="23" t="s">
        <v>13226</v>
      </c>
      <c r="I2522" s="23"/>
      <c r="J2522" s="23"/>
      <c r="K2522" s="23"/>
      <c r="L2522" s="350"/>
      <c r="M2522" s="351"/>
      <c r="N2522" s="267">
        <f t="shared" si="610"/>
        <v>0</v>
      </c>
      <c r="O2522" s="268">
        <f t="shared" si="611"/>
        <v>29000</v>
      </c>
      <c r="P2522" s="239"/>
      <c r="Q2522" s="239"/>
      <c r="R2522" s="239"/>
      <c r="S2522" s="239"/>
      <c r="T2522" s="239"/>
      <c r="U2522" s="239">
        <f>9600+19200-4800+14400-30000+14400-6000-14400+43200-15600-1000</f>
        <v>29000</v>
      </c>
      <c r="V2522" s="240"/>
      <c r="W2522" s="240"/>
      <c r="X2522" s="278"/>
      <c r="Y2522" s="237"/>
      <c r="Z2522" s="237"/>
      <c r="AA2522" s="279"/>
      <c r="AB2522" s="238"/>
      <c r="AC2522" s="196">
        <f t="shared" si="605"/>
        <v>29000</v>
      </c>
      <c r="AD2522" s="196">
        <f t="shared" si="606"/>
        <v>29000</v>
      </c>
      <c r="AE2522" s="196">
        <f t="shared" si="607"/>
        <v>0</v>
      </c>
      <c r="AF2522" s="2">
        <f t="shared" si="608"/>
        <v>29000</v>
      </c>
      <c r="AG2522" s="2">
        <f t="shared" si="609"/>
        <v>0</v>
      </c>
    </row>
    <row r="2523" spans="1:33">
      <c r="A2523" s="20" t="s">
        <v>2367</v>
      </c>
      <c r="B2523" s="156"/>
      <c r="C2523" s="21" t="s">
        <v>4908</v>
      </c>
      <c r="D2523" s="109" t="s">
        <v>14038</v>
      </c>
      <c r="E2523" s="109" t="s">
        <v>26066</v>
      </c>
      <c r="F2523" s="391" t="s">
        <v>15582</v>
      </c>
      <c r="G2523" s="23" t="s">
        <v>14263</v>
      </c>
      <c r="H2523" s="23" t="s">
        <v>13226</v>
      </c>
      <c r="I2523" s="23"/>
      <c r="J2523" s="23"/>
      <c r="K2523" s="23"/>
      <c r="L2523" s="350"/>
      <c r="M2523" s="351"/>
      <c r="N2523" s="267">
        <f t="shared" si="610"/>
        <v>0</v>
      </c>
      <c r="O2523" s="268">
        <f t="shared" si="611"/>
        <v>0</v>
      </c>
      <c r="P2523" s="239"/>
      <c r="Q2523" s="239"/>
      <c r="R2523" s="239"/>
      <c r="S2523" s="239"/>
      <c r="T2523" s="239"/>
      <c r="U2523" s="239"/>
      <c r="V2523" s="240"/>
      <c r="W2523" s="240"/>
      <c r="X2523" s="278"/>
      <c r="Y2523" s="240"/>
      <c r="Z2523" s="237"/>
      <c r="AA2523" s="279"/>
      <c r="AB2523" s="238"/>
      <c r="AC2523" s="196">
        <f t="shared" si="605"/>
        <v>0</v>
      </c>
      <c r="AD2523" s="196">
        <f t="shared" si="606"/>
        <v>0</v>
      </c>
      <c r="AE2523" s="196">
        <f t="shared" si="607"/>
        <v>0</v>
      </c>
      <c r="AF2523" s="2">
        <f t="shared" si="608"/>
        <v>0</v>
      </c>
      <c r="AG2523" s="2">
        <f t="shared" si="609"/>
        <v>0</v>
      </c>
    </row>
    <row r="2524" spans="1:33">
      <c r="A2524" s="20" t="s">
        <v>2368</v>
      </c>
      <c r="B2524" s="156"/>
      <c r="C2524" s="21" t="s">
        <v>4909</v>
      </c>
      <c r="D2524" s="109" t="s">
        <v>14038</v>
      </c>
      <c r="E2524" s="109"/>
      <c r="F2524" s="391" t="s">
        <v>15579</v>
      </c>
      <c r="G2524" s="23" t="s">
        <v>14263</v>
      </c>
      <c r="H2524" s="23" t="s">
        <v>13226</v>
      </c>
      <c r="I2524" s="23" t="s">
        <v>15509</v>
      </c>
      <c r="J2524" s="23"/>
      <c r="K2524" s="23"/>
      <c r="L2524" s="375" t="s">
        <v>7787</v>
      </c>
      <c r="M2524" s="351" t="s">
        <v>45</v>
      </c>
      <c r="N2524" s="267">
        <f t="shared" si="610"/>
        <v>0</v>
      </c>
      <c r="O2524" s="268">
        <f t="shared" si="611"/>
        <v>0</v>
      </c>
      <c r="P2524" s="239"/>
      <c r="Q2524" s="239"/>
      <c r="R2524" s="239"/>
      <c r="S2524" s="239"/>
      <c r="T2524" s="239"/>
      <c r="U2524" s="239"/>
      <c r="V2524" s="240"/>
      <c r="W2524" s="240"/>
      <c r="X2524" s="278"/>
      <c r="Y2524" s="240"/>
      <c r="Z2524" s="237"/>
      <c r="AA2524" s="239"/>
      <c r="AB2524" s="389"/>
      <c r="AC2524" s="196">
        <f t="shared" si="605"/>
        <v>0</v>
      </c>
      <c r="AD2524" s="196">
        <f t="shared" si="606"/>
        <v>0</v>
      </c>
      <c r="AE2524" s="196">
        <f t="shared" si="607"/>
        <v>0</v>
      </c>
      <c r="AF2524" s="2">
        <f t="shared" si="608"/>
        <v>0</v>
      </c>
      <c r="AG2524" s="2">
        <f t="shared" si="609"/>
        <v>0</v>
      </c>
    </row>
    <row r="2525" spans="1:33">
      <c r="A2525" s="20" t="s">
        <v>11839</v>
      </c>
      <c r="B2525" s="156"/>
      <c r="C2525" s="213" t="s">
        <v>15583</v>
      </c>
      <c r="D2525" s="109" t="s">
        <v>14038</v>
      </c>
      <c r="E2525" s="109"/>
      <c r="F2525" s="393" t="s">
        <v>15579</v>
      </c>
      <c r="G2525" s="380" t="s">
        <v>13706</v>
      </c>
      <c r="H2525" s="380"/>
      <c r="I2525" s="380"/>
      <c r="J2525" s="380"/>
      <c r="K2525" s="380"/>
      <c r="L2525" s="375" t="s">
        <v>7787</v>
      </c>
      <c r="M2525" s="351" t="s">
        <v>7787</v>
      </c>
      <c r="N2525" s="267">
        <f t="shared" si="610"/>
        <v>0</v>
      </c>
      <c r="O2525" s="268">
        <f t="shared" si="611"/>
        <v>0</v>
      </c>
      <c r="P2525" s="248"/>
      <c r="Q2525" s="248"/>
      <c r="R2525" s="248"/>
      <c r="S2525" s="248"/>
      <c r="T2525" s="248"/>
      <c r="U2525" s="240"/>
      <c r="V2525" s="240"/>
      <c r="W2525" s="240"/>
      <c r="X2525" s="278"/>
      <c r="Y2525" s="240"/>
      <c r="Z2525" s="240"/>
      <c r="AA2525" s="292"/>
      <c r="AB2525" s="389"/>
      <c r="AC2525" s="196">
        <f t="shared" si="605"/>
        <v>0</v>
      </c>
      <c r="AD2525" s="196">
        <f t="shared" si="606"/>
        <v>0</v>
      </c>
      <c r="AE2525" s="196">
        <f t="shared" si="607"/>
        <v>0</v>
      </c>
      <c r="AF2525" s="2">
        <f t="shared" si="608"/>
        <v>0</v>
      </c>
      <c r="AG2525" s="2">
        <f t="shared" si="609"/>
        <v>0</v>
      </c>
    </row>
    <row r="2526" spans="1:33">
      <c r="A2526" s="20" t="s">
        <v>19915</v>
      </c>
      <c r="B2526" s="156"/>
      <c r="C2526" s="21" t="s">
        <v>19368</v>
      </c>
      <c r="D2526" s="109" t="s">
        <v>3927</v>
      </c>
      <c r="E2526" s="109" t="s">
        <v>19369</v>
      </c>
      <c r="F2526" s="391" t="s">
        <v>4906</v>
      </c>
      <c r="G2526" s="23" t="s">
        <v>13610</v>
      </c>
      <c r="H2526" s="23" t="s">
        <v>13226</v>
      </c>
      <c r="I2526" s="23" t="s">
        <v>15509</v>
      </c>
      <c r="J2526" s="380"/>
      <c r="K2526" s="380"/>
      <c r="L2526" s="375" t="s">
        <v>7787</v>
      </c>
      <c r="M2526" s="351" t="s">
        <v>7787</v>
      </c>
      <c r="N2526" s="267">
        <f t="shared" si="610"/>
        <v>0</v>
      </c>
      <c r="O2526" s="268">
        <f t="shared" si="611"/>
        <v>14000</v>
      </c>
      <c r="P2526" s="248"/>
      <c r="Q2526" s="248"/>
      <c r="R2526" s="248"/>
      <c r="S2526" s="248"/>
      <c r="T2526" s="248"/>
      <c r="U2526" s="239">
        <f>2000+2400-100+2600+3200+2600+3100+2600+2800+3000-100-400-9600-100</f>
        <v>14000</v>
      </c>
      <c r="V2526" s="240"/>
      <c r="W2526" s="240"/>
      <c r="X2526" s="278"/>
      <c r="Y2526" s="240"/>
      <c r="Z2526" s="240"/>
      <c r="AA2526" s="292"/>
      <c r="AB2526" s="389" t="s">
        <v>27326</v>
      </c>
      <c r="AC2526" s="196">
        <f t="shared" si="605"/>
        <v>14000</v>
      </c>
      <c r="AD2526" s="196">
        <f t="shared" si="606"/>
        <v>14000</v>
      </c>
      <c r="AE2526" s="196">
        <f t="shared" si="607"/>
        <v>0</v>
      </c>
      <c r="AF2526" s="2">
        <f t="shared" si="608"/>
        <v>14000</v>
      </c>
      <c r="AG2526" s="2">
        <f t="shared" si="609"/>
        <v>0</v>
      </c>
    </row>
    <row r="2527" spans="1:33">
      <c r="A2527" s="20" t="s">
        <v>19916</v>
      </c>
      <c r="B2527" s="156"/>
      <c r="C2527" s="21" t="s">
        <v>19816</v>
      </c>
      <c r="D2527" s="109" t="s">
        <v>4071</v>
      </c>
      <c r="E2527" s="109" t="s">
        <v>19817</v>
      </c>
      <c r="F2527" s="391" t="s">
        <v>4911</v>
      </c>
      <c r="G2527" s="23" t="s">
        <v>13888</v>
      </c>
      <c r="H2527" s="23"/>
      <c r="I2527" s="23"/>
      <c r="J2527" s="380"/>
      <c r="K2527" s="380"/>
      <c r="L2527" s="375" t="s">
        <v>7787</v>
      </c>
      <c r="M2527" s="351" t="s">
        <v>7787</v>
      </c>
      <c r="N2527" s="267">
        <f t="shared" si="610"/>
        <v>0</v>
      </c>
      <c r="O2527" s="268">
        <f t="shared" si="611"/>
        <v>0</v>
      </c>
      <c r="P2527" s="248"/>
      <c r="Q2527" s="248"/>
      <c r="R2527" s="248"/>
      <c r="S2527" s="248"/>
      <c r="T2527" s="248"/>
      <c r="U2527" s="239"/>
      <c r="V2527" s="240"/>
      <c r="W2527" s="240"/>
      <c r="X2527" s="278"/>
      <c r="Y2527" s="239"/>
      <c r="Z2527" s="240"/>
      <c r="AA2527" s="292"/>
      <c r="AB2527" s="389"/>
      <c r="AC2527" s="196">
        <f t="shared" si="605"/>
        <v>0</v>
      </c>
      <c r="AD2527" s="196">
        <f t="shared" si="606"/>
        <v>0</v>
      </c>
      <c r="AE2527" s="196">
        <f t="shared" si="607"/>
        <v>0</v>
      </c>
      <c r="AF2527" s="2">
        <f t="shared" si="608"/>
        <v>0</v>
      </c>
      <c r="AG2527" s="2">
        <f t="shared" si="609"/>
        <v>0</v>
      </c>
    </row>
    <row r="2528" spans="1:33">
      <c r="A2528" s="20" t="s">
        <v>2369</v>
      </c>
      <c r="B2528" s="150"/>
      <c r="C2528" s="21" t="s">
        <v>4910</v>
      </c>
      <c r="D2528" s="109" t="s">
        <v>14038</v>
      </c>
      <c r="E2528" s="109" t="s">
        <v>24217</v>
      </c>
      <c r="F2528" s="391" t="s">
        <v>15582</v>
      </c>
      <c r="G2528" s="23" t="s">
        <v>14263</v>
      </c>
      <c r="H2528" s="23" t="s">
        <v>13226</v>
      </c>
      <c r="I2528" s="23"/>
      <c r="J2528" s="23"/>
      <c r="K2528" s="23"/>
      <c r="L2528" s="350"/>
      <c r="M2528" s="351"/>
      <c r="N2528" s="267">
        <f t="shared" si="610"/>
        <v>0</v>
      </c>
      <c r="O2528" s="268">
        <f t="shared" si="611"/>
        <v>17800</v>
      </c>
      <c r="P2528" s="239"/>
      <c r="Q2528" s="239"/>
      <c r="R2528" s="239"/>
      <c r="S2528" s="239"/>
      <c r="T2528" s="239"/>
      <c r="U2528" s="239">
        <f>14400+19200-6000+14400-33000+19200-4800+33600-20000-9600-9600</f>
        <v>17800</v>
      </c>
      <c r="V2528" s="240"/>
      <c r="W2528" s="240"/>
      <c r="X2528" s="278"/>
      <c r="Y2528" s="239"/>
      <c r="Z2528" s="237"/>
      <c r="AA2528" s="279"/>
      <c r="AB2528" s="238"/>
      <c r="AC2528" s="196">
        <f t="shared" si="605"/>
        <v>17800</v>
      </c>
      <c r="AD2528" s="196">
        <f t="shared" si="606"/>
        <v>17800</v>
      </c>
      <c r="AE2528" s="196">
        <f t="shared" si="607"/>
        <v>0</v>
      </c>
      <c r="AF2528" s="2">
        <f t="shared" si="608"/>
        <v>17800</v>
      </c>
      <c r="AG2528" s="2">
        <f t="shared" si="609"/>
        <v>0</v>
      </c>
    </row>
    <row r="2529" spans="1:33">
      <c r="A2529" s="20"/>
      <c r="B2529" s="150"/>
      <c r="C2529" s="190" t="s">
        <v>27797</v>
      </c>
      <c r="D2529" s="190" t="s">
        <v>4071</v>
      </c>
      <c r="E2529" s="190" t="s">
        <v>27798</v>
      </c>
      <c r="F2529" s="391" t="s">
        <v>27796</v>
      </c>
      <c r="G2529" s="23" t="s">
        <v>5439</v>
      </c>
      <c r="H2529" s="23" t="s">
        <v>27202</v>
      </c>
      <c r="I2529" s="23"/>
      <c r="J2529" s="23"/>
      <c r="K2529" s="23"/>
      <c r="L2529" s="350"/>
      <c r="M2529" s="351"/>
      <c r="N2529" s="267">
        <f t="shared" ref="N2529" si="623">SUM(L2529:M2529)</f>
        <v>0</v>
      </c>
      <c r="O2529" s="268">
        <f t="shared" ref="O2529" si="624">SUM(P2529:Z2529)</f>
        <v>23000</v>
      </c>
      <c r="P2529" s="239"/>
      <c r="Q2529" s="239"/>
      <c r="R2529" s="239"/>
      <c r="S2529" s="239"/>
      <c r="T2529" s="239"/>
      <c r="U2529" s="239">
        <f>10800+7200-13000+7200+10800</f>
        <v>23000</v>
      </c>
      <c r="V2529" s="240"/>
      <c r="W2529" s="240"/>
      <c r="X2529" s="278"/>
      <c r="Y2529" s="239"/>
      <c r="Z2529" s="237"/>
      <c r="AA2529" s="279"/>
      <c r="AB2529" s="238"/>
      <c r="AC2529" s="196">
        <f t="shared" ref="AC2529" si="625">SUM(P2529:AA2529)</f>
        <v>23000</v>
      </c>
      <c r="AD2529" s="196">
        <f t="shared" ref="AD2529" si="626">SUM(P2529:AB2529)</f>
        <v>23000</v>
      </c>
      <c r="AE2529" s="196">
        <f t="shared" ref="AE2529" si="627">SUM(AC2529-AD2529)</f>
        <v>0</v>
      </c>
      <c r="AF2529" s="2">
        <f t="shared" ref="AF2529" si="628">+AC2529</f>
        <v>23000</v>
      </c>
      <c r="AG2529" s="2">
        <f t="shared" ref="AG2529" si="629">+AC2529-AF2529</f>
        <v>0</v>
      </c>
    </row>
    <row r="2530" spans="1:33">
      <c r="A2530" s="20" t="s">
        <v>2370</v>
      </c>
      <c r="B2530" s="156" t="s">
        <v>15584</v>
      </c>
      <c r="C2530" s="21" t="s">
        <v>463</v>
      </c>
      <c r="D2530" s="109" t="s">
        <v>13228</v>
      </c>
      <c r="E2530" s="109"/>
      <c r="F2530" s="391" t="s">
        <v>15585</v>
      </c>
      <c r="G2530" s="23" t="s">
        <v>15586</v>
      </c>
      <c r="H2530" s="23" t="s">
        <v>14197</v>
      </c>
      <c r="I2530" s="23"/>
      <c r="J2530" s="23"/>
      <c r="K2530" s="23"/>
      <c r="L2530" s="375" t="s">
        <v>7787</v>
      </c>
      <c r="M2530" s="351"/>
      <c r="N2530" s="267">
        <f t="shared" si="610"/>
        <v>0</v>
      </c>
      <c r="O2530" s="268">
        <f t="shared" si="611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37"/>
      <c r="Z2530" s="237"/>
      <c r="AA2530" s="279"/>
      <c r="AB2530" s="238"/>
      <c r="AC2530" s="196">
        <f t="shared" si="605"/>
        <v>0</v>
      </c>
      <c r="AD2530" s="196">
        <f t="shared" si="606"/>
        <v>0</v>
      </c>
      <c r="AE2530" s="196">
        <f t="shared" si="607"/>
        <v>0</v>
      </c>
      <c r="AF2530" s="2">
        <f t="shared" si="608"/>
        <v>0</v>
      </c>
      <c r="AG2530" s="2">
        <f t="shared" si="609"/>
        <v>0</v>
      </c>
    </row>
    <row r="2531" spans="1:33">
      <c r="A2531" s="20" t="s">
        <v>6848</v>
      </c>
      <c r="B2531" s="156" t="s">
        <v>15584</v>
      </c>
      <c r="C2531" s="21" t="s">
        <v>463</v>
      </c>
      <c r="D2531" s="109" t="s">
        <v>13228</v>
      </c>
      <c r="E2531" s="109" t="s">
        <v>15587</v>
      </c>
      <c r="F2531" s="391" t="s">
        <v>15585</v>
      </c>
      <c r="G2531" s="23" t="s">
        <v>14280</v>
      </c>
      <c r="H2531" s="23" t="s">
        <v>17233</v>
      </c>
      <c r="I2531" s="23" t="s">
        <v>17560</v>
      </c>
      <c r="J2531" s="23"/>
      <c r="K2531" s="23"/>
      <c r="L2531" s="375" t="s">
        <v>7787</v>
      </c>
      <c r="M2531" s="351" t="s">
        <v>7787</v>
      </c>
      <c r="N2531" s="267">
        <f t="shared" si="610"/>
        <v>0</v>
      </c>
      <c r="O2531" s="268">
        <f t="shared" si="611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79"/>
      <c r="AB2531" s="238"/>
      <c r="AC2531" s="196">
        <f t="shared" si="605"/>
        <v>0</v>
      </c>
      <c r="AD2531" s="196">
        <f t="shared" si="606"/>
        <v>0</v>
      </c>
      <c r="AE2531" s="196">
        <f t="shared" si="607"/>
        <v>0</v>
      </c>
      <c r="AF2531" s="2">
        <f t="shared" si="608"/>
        <v>0</v>
      </c>
      <c r="AG2531" s="2">
        <f t="shared" si="609"/>
        <v>0</v>
      </c>
    </row>
    <row r="2532" spans="1:33">
      <c r="A2532" s="20" t="s">
        <v>2371</v>
      </c>
      <c r="B2532" s="150"/>
      <c r="C2532" s="21" t="s">
        <v>464</v>
      </c>
      <c r="D2532" s="109" t="s">
        <v>13239</v>
      </c>
      <c r="E2532" s="109"/>
      <c r="F2532" s="391" t="s">
        <v>17892</v>
      </c>
      <c r="G2532" s="23" t="s">
        <v>14235</v>
      </c>
      <c r="H2532" s="23"/>
      <c r="I2532" s="23"/>
      <c r="J2532" s="23"/>
      <c r="K2532" s="23"/>
      <c r="L2532" s="375"/>
      <c r="M2532" s="351" t="s">
        <v>7787</v>
      </c>
      <c r="N2532" s="267">
        <f t="shared" si="610"/>
        <v>0</v>
      </c>
      <c r="O2532" s="268">
        <f t="shared" si="611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40"/>
      <c r="Z2532" s="237"/>
      <c r="AA2532" s="279"/>
      <c r="AB2532" s="238"/>
      <c r="AC2532" s="196">
        <f t="shared" si="605"/>
        <v>0</v>
      </c>
      <c r="AD2532" s="196">
        <f t="shared" si="606"/>
        <v>0</v>
      </c>
      <c r="AE2532" s="196">
        <f t="shared" si="607"/>
        <v>0</v>
      </c>
      <c r="AF2532" s="2">
        <f t="shared" si="608"/>
        <v>0</v>
      </c>
      <c r="AG2532" s="2">
        <f t="shared" si="609"/>
        <v>0</v>
      </c>
    </row>
    <row r="2533" spans="1:33">
      <c r="A2533" s="20" t="s">
        <v>2372</v>
      </c>
      <c r="B2533" s="150"/>
      <c r="C2533" s="21" t="s">
        <v>465</v>
      </c>
      <c r="D2533" s="109" t="s">
        <v>14233</v>
      </c>
      <c r="E2533" s="109" t="s">
        <v>13210</v>
      </c>
      <c r="F2533" s="391" t="s">
        <v>15588</v>
      </c>
      <c r="G2533" s="23" t="s">
        <v>14235</v>
      </c>
      <c r="H2533" s="23"/>
      <c r="I2533" s="23"/>
      <c r="J2533" s="23"/>
      <c r="K2533" s="23"/>
      <c r="L2533" s="350"/>
      <c r="M2533" s="351"/>
      <c r="N2533" s="267">
        <f t="shared" si="610"/>
        <v>0</v>
      </c>
      <c r="O2533" s="268">
        <f t="shared" si="611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40"/>
      <c r="Z2533" s="237"/>
      <c r="AA2533" s="240"/>
      <c r="AB2533" s="238"/>
      <c r="AC2533" s="196">
        <f t="shared" ref="AC2533:AC2596" si="630">SUM(P2533:AA2533)</f>
        <v>0</v>
      </c>
      <c r="AD2533" s="196">
        <f t="shared" ref="AD2533:AD2596" si="631">SUM(P2533:AB2533)</f>
        <v>0</v>
      </c>
      <c r="AE2533" s="196">
        <f t="shared" ref="AE2533:AE2596" si="632">SUM(AC2533-AD2533)</f>
        <v>0</v>
      </c>
      <c r="AF2533" s="2">
        <f t="shared" ref="AF2533:AF2596" si="633">+AC2533</f>
        <v>0</v>
      </c>
      <c r="AG2533" s="2">
        <f t="shared" ref="AG2533:AG2596" si="634">+AC2533-AF2533</f>
        <v>0</v>
      </c>
    </row>
    <row r="2534" spans="1:33">
      <c r="A2534" s="20" t="s">
        <v>2373</v>
      </c>
      <c r="B2534" s="150"/>
      <c r="C2534" s="21" t="s">
        <v>465</v>
      </c>
      <c r="D2534" s="109" t="s">
        <v>13239</v>
      </c>
      <c r="E2534" s="109"/>
      <c r="F2534" s="391" t="s">
        <v>15588</v>
      </c>
      <c r="G2534" s="23" t="s">
        <v>14235</v>
      </c>
      <c r="H2534" s="23"/>
      <c r="I2534" s="23"/>
      <c r="J2534" s="23"/>
      <c r="K2534" s="23"/>
      <c r="L2534" s="375" t="s">
        <v>7787</v>
      </c>
      <c r="M2534" s="351"/>
      <c r="N2534" s="267">
        <f t="shared" si="610"/>
        <v>0</v>
      </c>
      <c r="O2534" s="268">
        <f t="shared" si="611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79"/>
      <c r="AB2534" s="238"/>
      <c r="AC2534" s="196">
        <f t="shared" si="630"/>
        <v>0</v>
      </c>
      <c r="AD2534" s="196">
        <f t="shared" si="631"/>
        <v>0</v>
      </c>
      <c r="AE2534" s="196">
        <f t="shared" si="632"/>
        <v>0</v>
      </c>
      <c r="AF2534" s="2">
        <f t="shared" si="633"/>
        <v>0</v>
      </c>
      <c r="AG2534" s="2">
        <f t="shared" si="634"/>
        <v>0</v>
      </c>
    </row>
    <row r="2535" spans="1:33">
      <c r="A2535" s="20" t="s">
        <v>2374</v>
      </c>
      <c r="B2535" s="150"/>
      <c r="C2535" s="21" t="s">
        <v>15589</v>
      </c>
      <c r="D2535" s="109" t="s">
        <v>13239</v>
      </c>
      <c r="E2535" s="109"/>
      <c r="F2535" s="391" t="s">
        <v>15590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10"/>
        <v>0</v>
      </c>
      <c r="O2535" s="268">
        <f t="shared" si="611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79"/>
      <c r="AB2535" s="238"/>
      <c r="AC2535" s="196">
        <f t="shared" si="630"/>
        <v>0</v>
      </c>
      <c r="AD2535" s="196">
        <f t="shared" si="631"/>
        <v>0</v>
      </c>
      <c r="AE2535" s="196">
        <f t="shared" si="632"/>
        <v>0</v>
      </c>
      <c r="AF2535" s="2">
        <f t="shared" si="633"/>
        <v>0</v>
      </c>
      <c r="AG2535" s="2">
        <f t="shared" si="634"/>
        <v>0</v>
      </c>
    </row>
    <row r="2536" spans="1:33">
      <c r="A2536" s="20" t="s">
        <v>2375</v>
      </c>
      <c r="B2536" s="150"/>
      <c r="C2536" s="21" t="s">
        <v>15589</v>
      </c>
      <c r="D2536" s="109" t="s">
        <v>13239</v>
      </c>
      <c r="E2536" s="109"/>
      <c r="F2536" s="391" t="s">
        <v>15591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10"/>
        <v>0</v>
      </c>
      <c r="O2536" s="268">
        <f t="shared" si="611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/>
      <c r="Y2536" s="237"/>
      <c r="Z2536" s="237"/>
      <c r="AA2536" s="285"/>
      <c r="AB2536" s="238"/>
      <c r="AC2536" s="196">
        <f t="shared" si="630"/>
        <v>0</v>
      </c>
      <c r="AD2536" s="196">
        <f t="shared" si="631"/>
        <v>0</v>
      </c>
      <c r="AE2536" s="196">
        <f t="shared" si="632"/>
        <v>0</v>
      </c>
      <c r="AF2536" s="2">
        <f t="shared" si="633"/>
        <v>0</v>
      </c>
      <c r="AG2536" s="2">
        <f t="shared" si="634"/>
        <v>0</v>
      </c>
    </row>
    <row r="2537" spans="1:33">
      <c r="A2537" s="20" t="s">
        <v>2377</v>
      </c>
      <c r="B2537" s="161"/>
      <c r="C2537" s="21" t="s">
        <v>4917</v>
      </c>
      <c r="D2537" s="109" t="s">
        <v>14233</v>
      </c>
      <c r="E2537" s="109" t="s">
        <v>13210</v>
      </c>
      <c r="F2537" s="391" t="s">
        <v>15590</v>
      </c>
      <c r="G2537" s="23" t="s">
        <v>14235</v>
      </c>
      <c r="H2537" s="23"/>
      <c r="I2537" s="23"/>
      <c r="J2537" s="23"/>
      <c r="K2537" s="23"/>
      <c r="L2537" s="350"/>
      <c r="M2537" s="351"/>
      <c r="N2537" s="267">
        <f t="shared" si="610"/>
        <v>0</v>
      </c>
      <c r="O2537" s="268">
        <f t="shared" si="611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/>
      <c r="Y2537" s="237"/>
      <c r="Z2537" s="237"/>
      <c r="AA2537" s="285"/>
      <c r="AB2537" s="238"/>
      <c r="AC2537" s="196">
        <f t="shared" si="630"/>
        <v>0</v>
      </c>
      <c r="AD2537" s="196">
        <f t="shared" si="631"/>
        <v>0</v>
      </c>
      <c r="AE2537" s="196">
        <f t="shared" si="632"/>
        <v>0</v>
      </c>
      <c r="AF2537" s="2">
        <f t="shared" si="633"/>
        <v>0</v>
      </c>
      <c r="AG2537" s="2">
        <f t="shared" si="634"/>
        <v>0</v>
      </c>
    </row>
    <row r="2538" spans="1:33">
      <c r="A2538" s="20" t="s">
        <v>2376</v>
      </c>
      <c r="B2538" s="150"/>
      <c r="C2538" s="21" t="s">
        <v>4917</v>
      </c>
      <c r="D2538" s="109" t="s">
        <v>13239</v>
      </c>
      <c r="E2538" s="109"/>
      <c r="F2538" s="391" t="s">
        <v>15590</v>
      </c>
      <c r="G2538" s="23" t="s">
        <v>14235</v>
      </c>
      <c r="H2538" s="23"/>
      <c r="I2538" s="23"/>
      <c r="J2538" s="23"/>
      <c r="K2538" s="23"/>
      <c r="L2538" s="350"/>
      <c r="M2538" s="351"/>
      <c r="N2538" s="267">
        <f t="shared" si="610"/>
        <v>0</v>
      </c>
      <c r="O2538" s="268">
        <f t="shared" si="611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>
        <v>0</v>
      </c>
      <c r="Y2538" s="237"/>
      <c r="Z2538" s="237"/>
      <c r="AA2538" s="285"/>
      <c r="AB2538" s="238"/>
      <c r="AC2538" s="196">
        <f t="shared" si="630"/>
        <v>0</v>
      </c>
      <c r="AD2538" s="196">
        <f t="shared" si="631"/>
        <v>0</v>
      </c>
      <c r="AE2538" s="196">
        <f t="shared" si="632"/>
        <v>0</v>
      </c>
      <c r="AF2538" s="2">
        <f t="shared" si="633"/>
        <v>0</v>
      </c>
      <c r="AG2538" s="2">
        <f t="shared" si="634"/>
        <v>0</v>
      </c>
    </row>
    <row r="2539" spans="1:33">
      <c r="A2539" s="20" t="s">
        <v>2735</v>
      </c>
      <c r="B2539" s="150"/>
      <c r="C2539" s="21" t="s">
        <v>821</v>
      </c>
      <c r="D2539" s="109" t="s">
        <v>14004</v>
      </c>
      <c r="E2539" s="109" t="s">
        <v>13210</v>
      </c>
      <c r="F2539" s="391" t="s">
        <v>15592</v>
      </c>
      <c r="G2539" s="23"/>
      <c r="H2539" s="23"/>
      <c r="I2539" s="23"/>
      <c r="J2539" s="23"/>
      <c r="K2539" s="23"/>
      <c r="L2539" s="350"/>
      <c r="M2539" s="351"/>
      <c r="N2539" s="267">
        <f t="shared" si="610"/>
        <v>0</v>
      </c>
      <c r="O2539" s="268">
        <f t="shared" si="611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30"/>
        <v>0</v>
      </c>
      <c r="AD2539" s="196">
        <f t="shared" si="631"/>
        <v>0</v>
      </c>
      <c r="AE2539" s="196">
        <f t="shared" si="632"/>
        <v>0</v>
      </c>
      <c r="AF2539" s="2">
        <f t="shared" si="633"/>
        <v>0</v>
      </c>
      <c r="AG2539" s="2">
        <f t="shared" si="634"/>
        <v>0</v>
      </c>
    </row>
    <row r="2540" spans="1:33">
      <c r="A2540" s="20" t="s">
        <v>2736</v>
      </c>
      <c r="B2540" s="150"/>
      <c r="C2540" s="21" t="s">
        <v>821</v>
      </c>
      <c r="D2540" s="109" t="s">
        <v>14038</v>
      </c>
      <c r="E2540" s="109"/>
      <c r="F2540" s="391" t="s">
        <v>15592</v>
      </c>
      <c r="G2540" s="23"/>
      <c r="H2540" s="23"/>
      <c r="I2540" s="23"/>
      <c r="J2540" s="23"/>
      <c r="K2540" s="23"/>
      <c r="L2540" s="350"/>
      <c r="M2540" s="351"/>
      <c r="N2540" s="267">
        <f t="shared" si="610"/>
        <v>0</v>
      </c>
      <c r="O2540" s="268">
        <f t="shared" si="611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30"/>
        <v>0</v>
      </c>
      <c r="AD2540" s="196">
        <f t="shared" si="631"/>
        <v>0</v>
      </c>
      <c r="AE2540" s="196">
        <f t="shared" si="632"/>
        <v>0</v>
      </c>
      <c r="AF2540" s="2">
        <f t="shared" si="633"/>
        <v>0</v>
      </c>
      <c r="AG2540" s="2">
        <f t="shared" si="634"/>
        <v>0</v>
      </c>
    </row>
    <row r="2541" spans="1:33">
      <c r="A2541" s="20" t="s">
        <v>2737</v>
      </c>
      <c r="B2541" s="150"/>
      <c r="C2541" s="21" t="s">
        <v>821</v>
      </c>
      <c r="D2541" s="109" t="s">
        <v>13228</v>
      </c>
      <c r="E2541" s="109"/>
      <c r="F2541" s="391" t="s">
        <v>15592</v>
      </c>
      <c r="G2541" s="23" t="s">
        <v>13507</v>
      </c>
      <c r="H2541" s="23"/>
      <c r="I2541" s="23"/>
      <c r="J2541" s="23"/>
      <c r="K2541" s="23"/>
      <c r="L2541" s="375" t="s">
        <v>7787</v>
      </c>
      <c r="M2541" s="351" t="s">
        <v>7787</v>
      </c>
      <c r="N2541" s="267">
        <f t="shared" si="610"/>
        <v>0</v>
      </c>
      <c r="O2541" s="268">
        <f t="shared" si="611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79"/>
      <c r="AB2541" s="238"/>
      <c r="AC2541" s="196">
        <f t="shared" si="630"/>
        <v>0</v>
      </c>
      <c r="AD2541" s="196">
        <f t="shared" si="631"/>
        <v>0</v>
      </c>
      <c r="AE2541" s="196">
        <f t="shared" si="632"/>
        <v>0</v>
      </c>
      <c r="AF2541" s="2">
        <f t="shared" si="633"/>
        <v>0</v>
      </c>
      <c r="AG2541" s="2">
        <f t="shared" si="634"/>
        <v>0</v>
      </c>
    </row>
    <row r="2542" spans="1:33">
      <c r="A2542" s="20" t="s">
        <v>2738</v>
      </c>
      <c r="B2542" s="150"/>
      <c r="C2542" s="21" t="s">
        <v>821</v>
      </c>
      <c r="D2542" s="109" t="s">
        <v>13207</v>
      </c>
      <c r="E2542" s="109"/>
      <c r="F2542" s="391" t="s">
        <v>15592</v>
      </c>
      <c r="G2542" s="23" t="s">
        <v>14367</v>
      </c>
      <c r="H2542" s="23"/>
      <c r="I2542" s="23"/>
      <c r="J2542" s="23"/>
      <c r="K2542" s="23"/>
      <c r="L2542" s="350"/>
      <c r="M2542" s="351"/>
      <c r="N2542" s="267">
        <f t="shared" si="610"/>
        <v>0</v>
      </c>
      <c r="O2542" s="268">
        <f t="shared" si="611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79"/>
      <c r="AB2542" s="238"/>
      <c r="AC2542" s="196">
        <f t="shared" si="630"/>
        <v>0</v>
      </c>
      <c r="AD2542" s="196">
        <f t="shared" si="631"/>
        <v>0</v>
      </c>
      <c r="AE2542" s="196">
        <f t="shared" si="632"/>
        <v>0</v>
      </c>
      <c r="AF2542" s="2">
        <f t="shared" si="633"/>
        <v>0</v>
      </c>
      <c r="AG2542" s="2">
        <f t="shared" si="634"/>
        <v>0</v>
      </c>
    </row>
    <row r="2543" spans="1:33">
      <c r="A2543" s="20" t="s">
        <v>2378</v>
      </c>
      <c r="B2543" s="161"/>
      <c r="C2543" s="21" t="s">
        <v>467</v>
      </c>
      <c r="D2543" s="109" t="s">
        <v>13228</v>
      </c>
      <c r="E2543" s="109" t="s">
        <v>5724</v>
      </c>
      <c r="F2543" s="391" t="s">
        <v>15593</v>
      </c>
      <c r="G2543" s="23" t="s">
        <v>13986</v>
      </c>
      <c r="H2543" s="23" t="s">
        <v>13975</v>
      </c>
      <c r="I2543" s="23" t="s">
        <v>15230</v>
      </c>
      <c r="J2543" s="23"/>
      <c r="K2543" s="23"/>
      <c r="L2543" s="375" t="s">
        <v>7787</v>
      </c>
      <c r="M2543" s="357"/>
      <c r="N2543" s="267">
        <f t="shared" si="610"/>
        <v>0</v>
      </c>
      <c r="O2543" s="268">
        <f t="shared" si="611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85"/>
      <c r="AB2543" s="238"/>
      <c r="AC2543" s="196">
        <f t="shared" si="630"/>
        <v>0</v>
      </c>
      <c r="AD2543" s="196">
        <f t="shared" si="631"/>
        <v>0</v>
      </c>
      <c r="AE2543" s="196">
        <f t="shared" si="632"/>
        <v>0</v>
      </c>
      <c r="AF2543" s="2">
        <f t="shared" si="633"/>
        <v>0</v>
      </c>
      <c r="AG2543" s="2">
        <f t="shared" si="634"/>
        <v>0</v>
      </c>
    </row>
    <row r="2544" spans="1:33">
      <c r="A2544" s="20" t="s">
        <v>12837</v>
      </c>
      <c r="B2544" s="161"/>
      <c r="C2544" s="21" t="s">
        <v>467</v>
      </c>
      <c r="D2544" s="109" t="s">
        <v>14233</v>
      </c>
      <c r="E2544" s="109" t="s">
        <v>14191</v>
      </c>
      <c r="F2544" s="391" t="s">
        <v>15593</v>
      </c>
      <c r="G2544" s="23" t="s">
        <v>13975</v>
      </c>
      <c r="H2544" s="23"/>
      <c r="I2544" s="23"/>
      <c r="J2544" s="23"/>
      <c r="K2544" s="23"/>
      <c r="L2544" s="375" t="s">
        <v>7787</v>
      </c>
      <c r="M2544" s="357" t="s">
        <v>7787</v>
      </c>
      <c r="N2544" s="267">
        <f t="shared" si="610"/>
        <v>0</v>
      </c>
      <c r="O2544" s="268">
        <f t="shared" si="611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37"/>
      <c r="Z2544" s="237"/>
      <c r="AA2544" s="285"/>
      <c r="AB2544" s="238"/>
      <c r="AC2544" s="196">
        <f t="shared" si="630"/>
        <v>0</v>
      </c>
      <c r="AD2544" s="196">
        <f t="shared" si="631"/>
        <v>0</v>
      </c>
      <c r="AE2544" s="196">
        <f t="shared" si="632"/>
        <v>0</v>
      </c>
      <c r="AF2544" s="2">
        <f t="shared" si="633"/>
        <v>0</v>
      </c>
      <c r="AG2544" s="2">
        <f t="shared" si="634"/>
        <v>0</v>
      </c>
    </row>
    <row r="2545" spans="1:33">
      <c r="A2545" s="20" t="s">
        <v>2380</v>
      </c>
      <c r="B2545" s="161"/>
      <c r="C2545" s="21" t="s">
        <v>468</v>
      </c>
      <c r="D2545" s="109" t="s">
        <v>14233</v>
      </c>
      <c r="E2545" s="109" t="s">
        <v>13210</v>
      </c>
      <c r="F2545" s="391" t="s">
        <v>15594</v>
      </c>
      <c r="G2545" s="23" t="s">
        <v>14235</v>
      </c>
      <c r="H2545" s="23"/>
      <c r="I2545" s="23"/>
      <c r="J2545" s="23"/>
      <c r="K2545" s="23"/>
      <c r="L2545" s="350"/>
      <c r="M2545" s="351"/>
      <c r="N2545" s="267">
        <f t="shared" si="610"/>
        <v>0</v>
      </c>
      <c r="O2545" s="268">
        <f t="shared" si="611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37"/>
      <c r="Z2545" s="237"/>
      <c r="AA2545" s="240"/>
      <c r="AB2545" s="238"/>
      <c r="AC2545" s="196">
        <f t="shared" si="630"/>
        <v>0</v>
      </c>
      <c r="AD2545" s="196">
        <f t="shared" si="631"/>
        <v>0</v>
      </c>
      <c r="AE2545" s="196">
        <f t="shared" si="632"/>
        <v>0</v>
      </c>
      <c r="AF2545" s="2">
        <f t="shared" si="633"/>
        <v>0</v>
      </c>
      <c r="AG2545" s="2">
        <f t="shared" si="634"/>
        <v>0</v>
      </c>
    </row>
    <row r="2546" spans="1:33">
      <c r="A2546" s="20" t="s">
        <v>2379</v>
      </c>
      <c r="B2546" s="161"/>
      <c r="C2546" s="21" t="s">
        <v>468</v>
      </c>
      <c r="D2546" s="109" t="s">
        <v>13239</v>
      </c>
      <c r="E2546" s="109"/>
      <c r="F2546" s="391" t="s">
        <v>15594</v>
      </c>
      <c r="G2546" s="23" t="s">
        <v>14235</v>
      </c>
      <c r="H2546" s="23" t="s">
        <v>14190</v>
      </c>
      <c r="I2546" s="23"/>
      <c r="J2546" s="23"/>
      <c r="K2546" s="23"/>
      <c r="L2546" s="375"/>
      <c r="M2546" s="351" t="s">
        <v>7787</v>
      </c>
      <c r="N2546" s="267">
        <f t="shared" si="610"/>
        <v>0</v>
      </c>
      <c r="O2546" s="268">
        <f t="shared" si="611"/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40"/>
      <c r="Z2546" s="237"/>
      <c r="AA2546" s="279"/>
      <c r="AB2546" s="238"/>
      <c r="AC2546" s="196">
        <f t="shared" si="630"/>
        <v>0</v>
      </c>
      <c r="AD2546" s="196">
        <f t="shared" si="631"/>
        <v>0</v>
      </c>
      <c r="AE2546" s="196">
        <f t="shared" si="632"/>
        <v>0</v>
      </c>
      <c r="AF2546" s="2">
        <f t="shared" si="633"/>
        <v>0</v>
      </c>
      <c r="AG2546" s="2">
        <f t="shared" si="634"/>
        <v>0</v>
      </c>
    </row>
    <row r="2547" spans="1:33">
      <c r="A2547" s="20" t="s">
        <v>7862</v>
      </c>
      <c r="B2547" s="150"/>
      <c r="C2547" s="21" t="s">
        <v>469</v>
      </c>
      <c r="D2547" s="109" t="s">
        <v>15595</v>
      </c>
      <c r="E2547" s="109" t="s">
        <v>13994</v>
      </c>
      <c r="F2547" s="391" t="s">
        <v>15596</v>
      </c>
      <c r="G2547" s="23" t="s">
        <v>14218</v>
      </c>
      <c r="H2547" s="23"/>
      <c r="I2547" s="23"/>
      <c r="J2547" s="23"/>
      <c r="K2547" s="23"/>
      <c r="L2547" s="375" t="s">
        <v>7787</v>
      </c>
      <c r="M2547" s="351" t="s">
        <v>7787</v>
      </c>
      <c r="N2547" s="267">
        <f t="shared" si="610"/>
        <v>0</v>
      </c>
      <c r="O2547" s="268">
        <f t="shared" si="611"/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9"/>
      <c r="Z2547" s="237"/>
      <c r="AA2547" s="279"/>
      <c r="AB2547" s="238"/>
      <c r="AC2547" s="196">
        <f t="shared" si="630"/>
        <v>0</v>
      </c>
      <c r="AD2547" s="196">
        <f t="shared" si="631"/>
        <v>0</v>
      </c>
      <c r="AE2547" s="196">
        <f t="shared" si="632"/>
        <v>0</v>
      </c>
      <c r="AF2547" s="2">
        <f t="shared" si="633"/>
        <v>0</v>
      </c>
      <c r="AG2547" s="2">
        <f t="shared" si="634"/>
        <v>0</v>
      </c>
    </row>
    <row r="2548" spans="1:33">
      <c r="A2548" s="20" t="s">
        <v>2382</v>
      </c>
      <c r="B2548" s="162" t="s">
        <v>5857</v>
      </c>
      <c r="C2548" s="21" t="s">
        <v>469</v>
      </c>
      <c r="D2548" s="109" t="s">
        <v>13207</v>
      </c>
      <c r="E2548" s="109" t="s">
        <v>14386</v>
      </c>
      <c r="F2548" s="391" t="s">
        <v>15597</v>
      </c>
      <c r="G2548" s="23" t="s">
        <v>13215</v>
      </c>
      <c r="H2548" s="23"/>
      <c r="I2548" s="23"/>
      <c r="J2548" s="23"/>
      <c r="K2548" s="23"/>
      <c r="L2548" s="375" t="s">
        <v>7787</v>
      </c>
      <c r="M2548" s="360" t="s">
        <v>7787</v>
      </c>
      <c r="N2548" s="267">
        <f t="shared" ref="N2548:N2614" si="635">SUM(L2548:M2548)</f>
        <v>0</v>
      </c>
      <c r="O2548" s="268">
        <f t="shared" ref="O2548:O2614" si="636">SUM(P2548:Z2548)</f>
        <v>0</v>
      </c>
      <c r="P2548" s="239"/>
      <c r="Q2548" s="239"/>
      <c r="R2548" s="239"/>
      <c r="S2548" s="239"/>
      <c r="T2548" s="239"/>
      <c r="U2548" s="240"/>
      <c r="V2548" s="240"/>
      <c r="W2548" s="240"/>
      <c r="X2548" s="278"/>
      <c r="Y2548" s="237"/>
      <c r="Z2548" s="237"/>
      <c r="AA2548" s="279"/>
      <c r="AB2548" s="238"/>
      <c r="AC2548" s="196">
        <f t="shared" si="630"/>
        <v>0</v>
      </c>
      <c r="AD2548" s="196">
        <f t="shared" si="631"/>
        <v>0</v>
      </c>
      <c r="AE2548" s="196">
        <f t="shared" si="632"/>
        <v>0</v>
      </c>
      <c r="AF2548" s="2">
        <f t="shared" si="633"/>
        <v>0</v>
      </c>
      <c r="AG2548" s="2">
        <f t="shared" si="634"/>
        <v>0</v>
      </c>
    </row>
    <row r="2549" spans="1:33">
      <c r="A2549" s="20" t="s">
        <v>6849</v>
      </c>
      <c r="B2549" s="162"/>
      <c r="C2549" s="21" t="s">
        <v>469</v>
      </c>
      <c r="D2549" s="109" t="s">
        <v>13207</v>
      </c>
      <c r="E2549" s="109"/>
      <c r="F2549" s="391" t="s">
        <v>15597</v>
      </c>
      <c r="G2549" s="23" t="s">
        <v>13215</v>
      </c>
      <c r="H2549" s="23"/>
      <c r="I2549" s="23"/>
      <c r="J2549" s="23"/>
      <c r="K2549" s="23"/>
      <c r="L2549" s="375"/>
      <c r="M2549" s="360"/>
      <c r="N2549" s="267">
        <f t="shared" si="635"/>
        <v>0</v>
      </c>
      <c r="O2549" s="268">
        <f t="shared" si="636"/>
        <v>0</v>
      </c>
      <c r="P2549" s="239"/>
      <c r="Q2549" s="239"/>
      <c r="R2549" s="239"/>
      <c r="S2549" s="239"/>
      <c r="T2549" s="239"/>
      <c r="U2549" s="240"/>
      <c r="V2549" s="240"/>
      <c r="W2549" s="240"/>
      <c r="X2549" s="278"/>
      <c r="Y2549" s="237"/>
      <c r="Z2549" s="237"/>
      <c r="AA2549" s="279"/>
      <c r="AB2549" s="238"/>
      <c r="AC2549" s="196">
        <f t="shared" si="630"/>
        <v>0</v>
      </c>
      <c r="AD2549" s="196">
        <f t="shared" si="631"/>
        <v>0</v>
      </c>
      <c r="AE2549" s="196">
        <f t="shared" si="632"/>
        <v>0</v>
      </c>
      <c r="AF2549" s="2">
        <f t="shared" si="633"/>
        <v>0</v>
      </c>
      <c r="AG2549" s="2">
        <f t="shared" si="634"/>
        <v>0</v>
      </c>
    </row>
    <row r="2550" spans="1:33">
      <c r="A2550" s="20" t="s">
        <v>2383</v>
      </c>
      <c r="B2550" s="152"/>
      <c r="C2550" s="21" t="s">
        <v>469</v>
      </c>
      <c r="D2550" s="109" t="s">
        <v>13207</v>
      </c>
      <c r="E2550" s="109" t="s">
        <v>15520</v>
      </c>
      <c r="F2550" s="391" t="s">
        <v>15597</v>
      </c>
      <c r="G2550" s="23" t="s">
        <v>13215</v>
      </c>
      <c r="H2550" s="23" t="s">
        <v>17651</v>
      </c>
      <c r="I2550" s="23" t="s">
        <v>13249</v>
      </c>
      <c r="J2550" s="23" t="s">
        <v>13350</v>
      </c>
      <c r="K2550" s="23" t="s">
        <v>15071</v>
      </c>
      <c r="L2550" s="375" t="s">
        <v>27393</v>
      </c>
      <c r="M2550" s="360" t="s">
        <v>45</v>
      </c>
      <c r="N2550" s="267">
        <f t="shared" si="635"/>
        <v>0</v>
      </c>
      <c r="O2550" s="268">
        <f t="shared" si="636"/>
        <v>650</v>
      </c>
      <c r="P2550" s="239"/>
      <c r="Q2550" s="240"/>
      <c r="R2550" s="240"/>
      <c r="S2550" s="239"/>
      <c r="T2550" s="239"/>
      <c r="U2550" s="240">
        <f>250-150+550</f>
        <v>650</v>
      </c>
      <c r="V2550" s="240"/>
      <c r="W2550" s="240"/>
      <c r="X2550" s="278"/>
      <c r="Y2550" s="239"/>
      <c r="Z2550" s="237"/>
      <c r="AA2550" s="279"/>
      <c r="AB2550" s="238" t="s">
        <v>27379</v>
      </c>
      <c r="AC2550" s="196">
        <f t="shared" si="630"/>
        <v>650</v>
      </c>
      <c r="AD2550" s="196">
        <f t="shared" si="631"/>
        <v>650</v>
      </c>
      <c r="AE2550" s="196">
        <f t="shared" si="632"/>
        <v>0</v>
      </c>
      <c r="AF2550" s="2">
        <f t="shared" si="633"/>
        <v>650</v>
      </c>
      <c r="AG2550" s="2">
        <f t="shared" si="634"/>
        <v>0</v>
      </c>
    </row>
    <row r="2551" spans="1:33">
      <c r="A2551" s="20" t="s">
        <v>2381</v>
      </c>
      <c r="B2551" s="151" t="s">
        <v>15598</v>
      </c>
      <c r="C2551" s="21" t="s">
        <v>469</v>
      </c>
      <c r="D2551" s="109" t="s">
        <v>14177</v>
      </c>
      <c r="E2551" s="109" t="s">
        <v>13969</v>
      </c>
      <c r="F2551" s="391" t="s">
        <v>15596</v>
      </c>
      <c r="G2551" s="23" t="s">
        <v>14218</v>
      </c>
      <c r="H2551" s="23" t="s">
        <v>13999</v>
      </c>
      <c r="I2551" s="23" t="s">
        <v>13996</v>
      </c>
      <c r="J2551" s="23" t="s">
        <v>13330</v>
      </c>
      <c r="K2551" s="23"/>
      <c r="L2551" s="375"/>
      <c r="M2551" s="351"/>
      <c r="N2551" s="267">
        <f t="shared" si="635"/>
        <v>0</v>
      </c>
      <c r="O2551" s="268">
        <f t="shared" si="636"/>
        <v>0</v>
      </c>
      <c r="P2551" s="250"/>
      <c r="Q2551" s="239"/>
      <c r="R2551" s="239"/>
      <c r="S2551" s="239"/>
      <c r="T2551" s="239"/>
      <c r="U2551" s="240"/>
      <c r="V2551" s="240"/>
      <c r="W2551" s="240"/>
      <c r="X2551" s="278"/>
      <c r="Y2551" s="239"/>
      <c r="Z2551" s="237"/>
      <c r="AA2551" s="279"/>
      <c r="AB2551" s="238"/>
      <c r="AC2551" s="196">
        <f t="shared" si="630"/>
        <v>0</v>
      </c>
      <c r="AD2551" s="196">
        <f t="shared" si="631"/>
        <v>0</v>
      </c>
      <c r="AE2551" s="196">
        <f t="shared" si="632"/>
        <v>0</v>
      </c>
      <c r="AF2551" s="2">
        <f t="shared" si="633"/>
        <v>0</v>
      </c>
      <c r="AG2551" s="2">
        <f t="shared" si="634"/>
        <v>0</v>
      </c>
    </row>
    <row r="2552" spans="1:33">
      <c r="A2552" s="20" t="s">
        <v>12002</v>
      </c>
      <c r="B2552" s="156"/>
      <c r="C2552" s="21" t="s">
        <v>469</v>
      </c>
      <c r="D2552" s="109" t="s">
        <v>4069</v>
      </c>
      <c r="E2552" s="109" t="s">
        <v>14386</v>
      </c>
      <c r="F2552" s="391" t="s">
        <v>12057</v>
      </c>
      <c r="G2552" s="23" t="s">
        <v>12058</v>
      </c>
      <c r="H2552" s="23" t="s">
        <v>13350</v>
      </c>
      <c r="I2552" s="23"/>
      <c r="J2552" s="23"/>
      <c r="K2552" s="23"/>
      <c r="L2552" s="375" t="s">
        <v>7787</v>
      </c>
      <c r="M2552" s="351" t="s">
        <v>7787</v>
      </c>
      <c r="N2552" s="267">
        <f t="shared" si="635"/>
        <v>0</v>
      </c>
      <c r="O2552" s="268">
        <f t="shared" si="636"/>
        <v>0</v>
      </c>
      <c r="P2552" s="327"/>
      <c r="Q2552" s="239"/>
      <c r="R2552" s="239"/>
      <c r="S2552" s="239"/>
      <c r="T2552" s="239"/>
      <c r="U2552" s="240"/>
      <c r="V2552" s="240"/>
      <c r="W2552" s="240"/>
      <c r="X2552" s="278"/>
      <c r="Y2552" s="239"/>
      <c r="Z2552" s="237"/>
      <c r="AA2552" s="297"/>
      <c r="AB2552" s="238"/>
      <c r="AC2552" s="196">
        <f t="shared" si="630"/>
        <v>0</v>
      </c>
      <c r="AD2552" s="196">
        <f t="shared" si="631"/>
        <v>0</v>
      </c>
      <c r="AE2552" s="196">
        <f t="shared" si="632"/>
        <v>0</v>
      </c>
      <c r="AF2552" s="2">
        <f t="shared" si="633"/>
        <v>0</v>
      </c>
      <c r="AG2552" s="2">
        <f t="shared" si="634"/>
        <v>0</v>
      </c>
    </row>
    <row r="2553" spans="1:33">
      <c r="A2553" s="20" t="s">
        <v>6850</v>
      </c>
      <c r="B2553" s="156"/>
      <c r="C2553" s="21" t="s">
        <v>469</v>
      </c>
      <c r="D2553" s="109" t="s">
        <v>14179</v>
      </c>
      <c r="E2553" s="109"/>
      <c r="F2553" s="391" t="s">
        <v>15596</v>
      </c>
      <c r="G2553" s="23" t="s">
        <v>14218</v>
      </c>
      <c r="H2553" s="23"/>
      <c r="I2553" s="23"/>
      <c r="J2553" s="23"/>
      <c r="K2553" s="23"/>
      <c r="L2553" s="375"/>
      <c r="M2553" s="351"/>
      <c r="N2553" s="267">
        <f t="shared" si="635"/>
        <v>0</v>
      </c>
      <c r="O2553" s="268">
        <f t="shared" si="636"/>
        <v>0</v>
      </c>
      <c r="P2553" s="328"/>
      <c r="Q2553" s="239"/>
      <c r="R2553" s="239"/>
      <c r="S2553" s="239"/>
      <c r="T2553" s="239"/>
      <c r="U2553" s="240"/>
      <c r="V2553" s="240"/>
      <c r="W2553" s="240"/>
      <c r="X2553" s="278"/>
      <c r="Y2553" s="240"/>
      <c r="Z2553" s="237"/>
      <c r="AA2553" s="239"/>
      <c r="AB2553" s="238"/>
      <c r="AC2553" s="196">
        <f t="shared" si="630"/>
        <v>0</v>
      </c>
      <c r="AD2553" s="196">
        <f t="shared" si="631"/>
        <v>0</v>
      </c>
      <c r="AE2553" s="196">
        <f t="shared" si="632"/>
        <v>0</v>
      </c>
      <c r="AF2553" s="2">
        <f t="shared" si="633"/>
        <v>0</v>
      </c>
      <c r="AG2553" s="2">
        <f t="shared" si="634"/>
        <v>0</v>
      </c>
    </row>
    <row r="2554" spans="1:33">
      <c r="A2554" s="20" t="s">
        <v>2384</v>
      </c>
      <c r="B2554" s="156" t="s">
        <v>15599</v>
      </c>
      <c r="C2554" s="21" t="s">
        <v>470</v>
      </c>
      <c r="D2554" s="109" t="s">
        <v>13239</v>
      </c>
      <c r="E2554" s="109"/>
      <c r="F2554" s="391" t="s">
        <v>15600</v>
      </c>
      <c r="G2554" s="23" t="s">
        <v>14235</v>
      </c>
      <c r="H2554" s="23"/>
      <c r="I2554" s="23"/>
      <c r="J2554" s="23"/>
      <c r="K2554" s="23"/>
      <c r="L2554" s="375" t="s">
        <v>7787</v>
      </c>
      <c r="M2554" s="351" t="s">
        <v>7787</v>
      </c>
      <c r="N2554" s="267">
        <f t="shared" si="635"/>
        <v>0</v>
      </c>
      <c r="O2554" s="268">
        <f t="shared" si="636"/>
        <v>0</v>
      </c>
      <c r="P2554" s="250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40"/>
      <c r="AB2554" s="238"/>
      <c r="AC2554" s="196">
        <f t="shared" si="630"/>
        <v>0</v>
      </c>
      <c r="AD2554" s="196">
        <f t="shared" si="631"/>
        <v>0</v>
      </c>
      <c r="AE2554" s="196">
        <f t="shared" si="632"/>
        <v>0</v>
      </c>
      <c r="AF2554" s="2">
        <f t="shared" si="633"/>
        <v>0</v>
      </c>
      <c r="AG2554" s="2">
        <f t="shared" si="634"/>
        <v>0</v>
      </c>
    </row>
    <row r="2555" spans="1:33">
      <c r="A2555" s="20" t="s">
        <v>2385</v>
      </c>
      <c r="B2555" s="150"/>
      <c r="C2555" s="21" t="s">
        <v>471</v>
      </c>
      <c r="D2555" s="109" t="s">
        <v>13207</v>
      </c>
      <c r="E2555" s="109"/>
      <c r="F2555" s="391" t="s">
        <v>15601</v>
      </c>
      <c r="G2555" s="23" t="s">
        <v>15514</v>
      </c>
      <c r="H2555" s="23" t="s">
        <v>15562</v>
      </c>
      <c r="I2555" s="23" t="s">
        <v>13339</v>
      </c>
      <c r="J2555" s="23"/>
      <c r="K2555" s="23"/>
      <c r="L2555" s="375"/>
      <c r="M2555" s="351" t="s">
        <v>7787</v>
      </c>
      <c r="N2555" s="267">
        <f t="shared" si="635"/>
        <v>0</v>
      </c>
      <c r="O2555" s="268">
        <f t="shared" si="636"/>
        <v>0</v>
      </c>
      <c r="P2555" s="250"/>
      <c r="Q2555" s="239"/>
      <c r="R2555" s="239"/>
      <c r="S2555" s="239"/>
      <c r="T2555" s="239"/>
      <c r="U2555" s="240"/>
      <c r="V2555" s="240"/>
      <c r="W2555" s="240"/>
      <c r="X2555" s="278"/>
      <c r="Y2555" s="237"/>
      <c r="Z2555" s="237"/>
      <c r="AA2555" s="239"/>
      <c r="AB2555" s="238"/>
      <c r="AC2555" s="196">
        <f t="shared" si="630"/>
        <v>0</v>
      </c>
      <c r="AD2555" s="196">
        <f t="shared" si="631"/>
        <v>0</v>
      </c>
      <c r="AE2555" s="196">
        <f t="shared" si="632"/>
        <v>0</v>
      </c>
      <c r="AF2555" s="2">
        <f t="shared" si="633"/>
        <v>0</v>
      </c>
      <c r="AG2555" s="2">
        <f t="shared" si="634"/>
        <v>0</v>
      </c>
    </row>
    <row r="2556" spans="1:33">
      <c r="A2556" s="20" t="s">
        <v>2386</v>
      </c>
      <c r="B2556" s="150"/>
      <c r="C2556" s="21" t="s">
        <v>472</v>
      </c>
      <c r="D2556" s="109" t="s">
        <v>13207</v>
      </c>
      <c r="E2556" s="109"/>
      <c r="F2556" s="391" t="s">
        <v>15602</v>
      </c>
      <c r="G2556" s="23"/>
      <c r="H2556" s="23"/>
      <c r="I2556" s="23"/>
      <c r="J2556" s="23"/>
      <c r="K2556" s="23"/>
      <c r="L2556" s="350"/>
      <c r="M2556" s="351"/>
      <c r="N2556" s="267">
        <f t="shared" si="635"/>
        <v>0</v>
      </c>
      <c r="O2556" s="268">
        <f t="shared" si="636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37"/>
      <c r="Z2556" s="237"/>
      <c r="AA2556" s="279"/>
      <c r="AB2556" s="238"/>
      <c r="AC2556" s="196">
        <f t="shared" si="630"/>
        <v>0</v>
      </c>
      <c r="AD2556" s="196">
        <f t="shared" si="631"/>
        <v>0</v>
      </c>
      <c r="AE2556" s="196">
        <f t="shared" si="632"/>
        <v>0</v>
      </c>
      <c r="AF2556" s="2">
        <f t="shared" si="633"/>
        <v>0</v>
      </c>
      <c r="AG2556" s="2">
        <f t="shared" si="634"/>
        <v>0</v>
      </c>
    </row>
    <row r="2557" spans="1:33">
      <c r="A2557" s="20" t="s">
        <v>2387</v>
      </c>
      <c r="B2557" s="150"/>
      <c r="C2557" s="21" t="s">
        <v>473</v>
      </c>
      <c r="D2557" s="109" t="s">
        <v>13228</v>
      </c>
      <c r="E2557" s="109"/>
      <c r="F2557" s="391" t="s">
        <v>15603</v>
      </c>
      <c r="G2557" s="23" t="s">
        <v>15429</v>
      </c>
      <c r="H2557" s="23"/>
      <c r="I2557" s="23"/>
      <c r="J2557" s="23"/>
      <c r="K2557" s="23"/>
      <c r="L2557" s="350"/>
      <c r="M2557" s="351"/>
      <c r="N2557" s="267">
        <f t="shared" si="635"/>
        <v>0</v>
      </c>
      <c r="O2557" s="268">
        <f t="shared" si="636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78"/>
      <c r="Z2557" s="237"/>
      <c r="AA2557" s="279"/>
      <c r="AB2557" s="238"/>
      <c r="AC2557" s="196">
        <f t="shared" si="630"/>
        <v>0</v>
      </c>
      <c r="AD2557" s="196">
        <f t="shared" si="631"/>
        <v>0</v>
      </c>
      <c r="AE2557" s="196">
        <f t="shared" si="632"/>
        <v>0</v>
      </c>
      <c r="AF2557" s="2">
        <f t="shared" si="633"/>
        <v>0</v>
      </c>
      <c r="AG2557" s="2">
        <f t="shared" si="634"/>
        <v>0</v>
      </c>
    </row>
    <row r="2558" spans="1:33">
      <c r="A2558" s="20" t="s">
        <v>2391</v>
      </c>
      <c r="B2558" s="150"/>
      <c r="C2558" s="21" t="s">
        <v>15604</v>
      </c>
      <c r="D2558" s="109" t="s">
        <v>14233</v>
      </c>
      <c r="E2558" s="109" t="s">
        <v>13210</v>
      </c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>
        <v>0</v>
      </c>
      <c r="N2558" s="267">
        <f t="shared" si="635"/>
        <v>0</v>
      </c>
      <c r="O2558" s="268">
        <f t="shared" si="636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30"/>
        <v>0</v>
      </c>
      <c r="AD2558" s="196">
        <f t="shared" si="631"/>
        <v>0</v>
      </c>
      <c r="AE2558" s="196">
        <f t="shared" si="632"/>
        <v>0</v>
      </c>
      <c r="AF2558" s="2">
        <f t="shared" si="633"/>
        <v>0</v>
      </c>
      <c r="AG2558" s="2">
        <f t="shared" si="634"/>
        <v>0</v>
      </c>
    </row>
    <row r="2559" spans="1:33">
      <c r="A2559" s="20" t="s">
        <v>2388</v>
      </c>
      <c r="B2559" s="150"/>
      <c r="C2559" s="21" t="s">
        <v>15604</v>
      </c>
      <c r="D2559" s="109" t="s">
        <v>13239</v>
      </c>
      <c r="E2559" s="109"/>
      <c r="F2559" s="391" t="s">
        <v>15605</v>
      </c>
      <c r="G2559" s="23" t="s">
        <v>14235</v>
      </c>
      <c r="H2559" s="23"/>
      <c r="I2559" s="23"/>
      <c r="J2559" s="23"/>
      <c r="K2559" s="23"/>
      <c r="L2559" s="375" t="s">
        <v>7787</v>
      </c>
      <c r="M2559" s="351" t="s">
        <v>7787</v>
      </c>
      <c r="N2559" s="267">
        <f t="shared" si="635"/>
        <v>0</v>
      </c>
      <c r="O2559" s="268">
        <f t="shared" si="636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30"/>
        <v>0</v>
      </c>
      <c r="AD2559" s="196">
        <f t="shared" si="631"/>
        <v>0</v>
      </c>
      <c r="AE2559" s="196">
        <f t="shared" si="632"/>
        <v>0</v>
      </c>
      <c r="AF2559" s="2">
        <f t="shared" si="633"/>
        <v>0</v>
      </c>
      <c r="AG2559" s="2">
        <f t="shared" si="634"/>
        <v>0</v>
      </c>
    </row>
    <row r="2560" spans="1:33">
      <c r="A2560" s="20" t="s">
        <v>2389</v>
      </c>
      <c r="B2560" s="150"/>
      <c r="C2560" s="21" t="s">
        <v>15604</v>
      </c>
      <c r="D2560" s="109" t="s">
        <v>13239</v>
      </c>
      <c r="E2560" s="109"/>
      <c r="F2560" s="391" t="s">
        <v>15605</v>
      </c>
      <c r="G2560" s="23" t="s">
        <v>14235</v>
      </c>
      <c r="H2560" s="23"/>
      <c r="I2560" s="23"/>
      <c r="J2560" s="23"/>
      <c r="K2560" s="23"/>
      <c r="L2560" s="375" t="s">
        <v>7787</v>
      </c>
      <c r="M2560" s="351"/>
      <c r="N2560" s="267">
        <f t="shared" si="635"/>
        <v>0</v>
      </c>
      <c r="O2560" s="268">
        <f t="shared" si="636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30"/>
        <v>0</v>
      </c>
      <c r="AD2560" s="196">
        <f t="shared" si="631"/>
        <v>0</v>
      </c>
      <c r="AE2560" s="196">
        <f t="shared" si="632"/>
        <v>0</v>
      </c>
      <c r="AF2560" s="2">
        <f t="shared" si="633"/>
        <v>0</v>
      </c>
      <c r="AG2560" s="2">
        <f t="shared" si="634"/>
        <v>0</v>
      </c>
    </row>
    <row r="2561" spans="1:33">
      <c r="A2561" s="20" t="s">
        <v>2392</v>
      </c>
      <c r="B2561" s="150"/>
      <c r="C2561" s="21" t="s">
        <v>15604</v>
      </c>
      <c r="D2561" s="109" t="s">
        <v>13239</v>
      </c>
      <c r="E2561" s="109"/>
      <c r="F2561" s="391" t="s">
        <v>15606</v>
      </c>
      <c r="G2561" s="23" t="s">
        <v>14197</v>
      </c>
      <c r="H2561" s="23"/>
      <c r="I2561" s="23"/>
      <c r="J2561" s="23"/>
      <c r="K2561" s="23"/>
      <c r="L2561" s="350"/>
      <c r="M2561" s="351"/>
      <c r="N2561" s="267">
        <f t="shared" si="635"/>
        <v>0</v>
      </c>
      <c r="O2561" s="268">
        <f t="shared" si="636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30"/>
        <v>0</v>
      </c>
      <c r="AD2561" s="196">
        <f t="shared" si="631"/>
        <v>0</v>
      </c>
      <c r="AE2561" s="196">
        <f t="shared" si="632"/>
        <v>0</v>
      </c>
      <c r="AF2561" s="2">
        <f t="shared" si="633"/>
        <v>0</v>
      </c>
      <c r="AG2561" s="2">
        <f t="shared" si="634"/>
        <v>0</v>
      </c>
    </row>
    <row r="2562" spans="1:33">
      <c r="A2562" s="20" t="s">
        <v>2390</v>
      </c>
      <c r="B2562" s="150"/>
      <c r="C2562" s="21" t="s">
        <v>4929</v>
      </c>
      <c r="D2562" s="109" t="s">
        <v>13239</v>
      </c>
      <c r="E2562" s="109"/>
      <c r="F2562" s="391" t="s">
        <v>15605</v>
      </c>
      <c r="G2562" s="23" t="s">
        <v>14235</v>
      </c>
      <c r="H2562" s="23"/>
      <c r="I2562" s="23"/>
      <c r="J2562" s="23"/>
      <c r="K2562" s="23"/>
      <c r="L2562" s="350"/>
      <c r="M2562" s="351"/>
      <c r="N2562" s="267">
        <f t="shared" si="635"/>
        <v>0</v>
      </c>
      <c r="O2562" s="268">
        <f t="shared" si="636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30"/>
        <v>0</v>
      </c>
      <c r="AD2562" s="196">
        <f t="shared" si="631"/>
        <v>0</v>
      </c>
      <c r="AE2562" s="196">
        <f t="shared" si="632"/>
        <v>0</v>
      </c>
      <c r="AF2562" s="2">
        <f t="shared" si="633"/>
        <v>0</v>
      </c>
      <c r="AG2562" s="2">
        <f t="shared" si="634"/>
        <v>0</v>
      </c>
    </row>
    <row r="2563" spans="1:33">
      <c r="A2563" s="20" t="s">
        <v>2739</v>
      </c>
      <c r="B2563" s="161"/>
      <c r="C2563" s="21" t="s">
        <v>822</v>
      </c>
      <c r="D2563" s="109" t="s">
        <v>14004</v>
      </c>
      <c r="E2563" s="109" t="s">
        <v>13210</v>
      </c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5"/>
        <v>0</v>
      </c>
      <c r="O2563" s="268">
        <f t="shared" si="636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30"/>
        <v>0</v>
      </c>
      <c r="AD2563" s="196">
        <f t="shared" si="631"/>
        <v>0</v>
      </c>
      <c r="AE2563" s="196">
        <f t="shared" si="632"/>
        <v>0</v>
      </c>
      <c r="AF2563" s="2">
        <f t="shared" si="633"/>
        <v>0</v>
      </c>
      <c r="AG2563" s="2">
        <f t="shared" si="634"/>
        <v>0</v>
      </c>
    </row>
    <row r="2564" spans="1:33">
      <c r="A2564" s="20" t="s">
        <v>2740</v>
      </c>
      <c r="B2564" s="161"/>
      <c r="C2564" s="21" t="s">
        <v>822</v>
      </c>
      <c r="D2564" s="109" t="s">
        <v>13228</v>
      </c>
      <c r="E2564" s="109"/>
      <c r="F2564" s="391" t="s">
        <v>15607</v>
      </c>
      <c r="G2564" s="23"/>
      <c r="H2564" s="23"/>
      <c r="I2564" s="23"/>
      <c r="J2564" s="23"/>
      <c r="K2564" s="23"/>
      <c r="L2564" s="350"/>
      <c r="M2564" s="351"/>
      <c r="N2564" s="267">
        <f t="shared" si="635"/>
        <v>0</v>
      </c>
      <c r="O2564" s="268">
        <f t="shared" si="636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30"/>
        <v>0</v>
      </c>
      <c r="AD2564" s="196">
        <f t="shared" si="631"/>
        <v>0</v>
      </c>
      <c r="AE2564" s="196">
        <f t="shared" si="632"/>
        <v>0</v>
      </c>
      <c r="AF2564" s="2">
        <f t="shared" si="633"/>
        <v>0</v>
      </c>
      <c r="AG2564" s="2">
        <f t="shared" si="634"/>
        <v>0</v>
      </c>
    </row>
    <row r="2565" spans="1:33">
      <c r="A2565" s="20" t="s">
        <v>2741</v>
      </c>
      <c r="B2565" s="161"/>
      <c r="C2565" s="21" t="s">
        <v>822</v>
      </c>
      <c r="D2565" s="109" t="s">
        <v>13207</v>
      </c>
      <c r="E2565" s="109"/>
      <c r="F2565" s="391" t="s">
        <v>15607</v>
      </c>
      <c r="G2565" s="23"/>
      <c r="H2565" s="23"/>
      <c r="I2565" s="23"/>
      <c r="J2565" s="23"/>
      <c r="K2565" s="23"/>
      <c r="L2565" s="350"/>
      <c r="M2565" s="351"/>
      <c r="N2565" s="267">
        <f t="shared" si="635"/>
        <v>0</v>
      </c>
      <c r="O2565" s="268">
        <f t="shared" si="636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7"/>
      <c r="Z2565" s="237"/>
      <c r="AA2565" s="279"/>
      <c r="AB2565" s="238"/>
      <c r="AC2565" s="196">
        <f t="shared" si="630"/>
        <v>0</v>
      </c>
      <c r="AD2565" s="196">
        <f t="shared" si="631"/>
        <v>0</v>
      </c>
      <c r="AE2565" s="196">
        <f t="shared" si="632"/>
        <v>0</v>
      </c>
      <c r="AF2565" s="2">
        <f t="shared" si="633"/>
        <v>0</v>
      </c>
      <c r="AG2565" s="2">
        <f t="shared" si="634"/>
        <v>0</v>
      </c>
    </row>
    <row r="2566" spans="1:33">
      <c r="A2566" s="20" t="s">
        <v>2393</v>
      </c>
      <c r="B2566" s="161"/>
      <c r="C2566" s="21" t="s">
        <v>475</v>
      </c>
      <c r="D2566" s="109" t="s">
        <v>13207</v>
      </c>
      <c r="E2566" s="109"/>
      <c r="F2566" s="391" t="s">
        <v>15608</v>
      </c>
      <c r="G2566" s="23" t="s">
        <v>14002</v>
      </c>
      <c r="H2566" s="23"/>
      <c r="I2566" s="23"/>
      <c r="J2566" s="23"/>
      <c r="K2566" s="23"/>
      <c r="L2566" s="375" t="s">
        <v>7787</v>
      </c>
      <c r="M2566" s="351" t="s">
        <v>7787</v>
      </c>
      <c r="N2566" s="267">
        <f t="shared" si="635"/>
        <v>0</v>
      </c>
      <c r="O2566" s="268">
        <f t="shared" si="636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7"/>
      <c r="Z2566" s="237"/>
      <c r="AA2566" s="279"/>
      <c r="AB2566" s="238"/>
      <c r="AC2566" s="196">
        <f t="shared" si="630"/>
        <v>0</v>
      </c>
      <c r="AD2566" s="196">
        <f t="shared" si="631"/>
        <v>0</v>
      </c>
      <c r="AE2566" s="196">
        <f t="shared" si="632"/>
        <v>0</v>
      </c>
      <c r="AF2566" s="2">
        <f t="shared" si="633"/>
        <v>0</v>
      </c>
      <c r="AG2566" s="2">
        <f t="shared" si="634"/>
        <v>0</v>
      </c>
    </row>
    <row r="2567" spans="1:33">
      <c r="A2567" s="20" t="s">
        <v>2394</v>
      </c>
      <c r="B2567" s="156" t="s">
        <v>15609</v>
      </c>
      <c r="C2567" s="21" t="s">
        <v>476</v>
      </c>
      <c r="D2567" s="109" t="s">
        <v>14038</v>
      </c>
      <c r="E2567" s="109"/>
      <c r="F2567" s="391" t="s">
        <v>15610</v>
      </c>
      <c r="G2567" s="23" t="s">
        <v>15611</v>
      </c>
      <c r="H2567" s="23" t="s">
        <v>13240</v>
      </c>
      <c r="I2567" s="23"/>
      <c r="J2567" s="23"/>
      <c r="K2567" s="23"/>
      <c r="L2567" s="361"/>
      <c r="M2567" s="351"/>
      <c r="N2567" s="267">
        <f t="shared" si="635"/>
        <v>0</v>
      </c>
      <c r="O2567" s="268">
        <f t="shared" si="636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9"/>
      <c r="Z2567" s="237"/>
      <c r="AA2567" s="279"/>
      <c r="AB2567" s="238"/>
      <c r="AC2567" s="196">
        <f t="shared" si="630"/>
        <v>0</v>
      </c>
      <c r="AD2567" s="196">
        <f t="shared" si="631"/>
        <v>0</v>
      </c>
      <c r="AE2567" s="196">
        <f t="shared" si="632"/>
        <v>0</v>
      </c>
      <c r="AF2567" s="2">
        <f t="shared" si="633"/>
        <v>0</v>
      </c>
      <c r="AG2567" s="2">
        <f t="shared" si="634"/>
        <v>0</v>
      </c>
    </row>
    <row r="2568" spans="1:33">
      <c r="A2568" s="20" t="s">
        <v>19917</v>
      </c>
      <c r="B2568" s="156"/>
      <c r="C2568" s="21" t="s">
        <v>477</v>
      </c>
      <c r="D2568" s="109" t="s">
        <v>19538</v>
      </c>
      <c r="E2568" s="109" t="s">
        <v>19537</v>
      </c>
      <c r="F2568" s="391" t="s">
        <v>4933</v>
      </c>
      <c r="G2568" s="23" t="s">
        <v>19565</v>
      </c>
      <c r="H2568" s="23"/>
      <c r="I2568" s="23"/>
      <c r="J2568" s="23"/>
      <c r="K2568" s="23"/>
      <c r="L2568" s="356" t="s">
        <v>7787</v>
      </c>
      <c r="M2568" s="351" t="s">
        <v>7787</v>
      </c>
      <c r="N2568" s="267">
        <f t="shared" si="635"/>
        <v>0</v>
      </c>
      <c r="O2568" s="268">
        <f t="shared" si="636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9"/>
      <c r="Z2568" s="237"/>
      <c r="AA2568" s="279"/>
      <c r="AB2568" s="238"/>
      <c r="AC2568" s="196">
        <f t="shared" si="630"/>
        <v>0</v>
      </c>
      <c r="AD2568" s="196">
        <f t="shared" si="631"/>
        <v>0</v>
      </c>
      <c r="AE2568" s="196">
        <f t="shared" si="632"/>
        <v>0</v>
      </c>
      <c r="AF2568" s="2">
        <f t="shared" si="633"/>
        <v>0</v>
      </c>
      <c r="AG2568" s="2">
        <f t="shared" si="634"/>
        <v>0</v>
      </c>
    </row>
    <row r="2569" spans="1:33">
      <c r="A2569" s="20" t="s">
        <v>2395</v>
      </c>
      <c r="B2569" s="150"/>
      <c r="C2569" s="21" t="s">
        <v>477</v>
      </c>
      <c r="D2569" s="109" t="s">
        <v>14041</v>
      </c>
      <c r="E2569" s="109" t="s">
        <v>13210</v>
      </c>
      <c r="F2569" s="391" t="s">
        <v>15612</v>
      </c>
      <c r="G2569" s="23" t="s">
        <v>15514</v>
      </c>
      <c r="H2569" s="23"/>
      <c r="I2569" s="23"/>
      <c r="J2569" s="23"/>
      <c r="K2569" s="23"/>
      <c r="L2569" s="350"/>
      <c r="M2569" s="357"/>
      <c r="N2569" s="267">
        <f t="shared" si="635"/>
        <v>0</v>
      </c>
      <c r="O2569" s="268">
        <f t="shared" si="636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30"/>
        <v>0</v>
      </c>
      <c r="AD2569" s="196">
        <f t="shared" si="631"/>
        <v>0</v>
      </c>
      <c r="AE2569" s="196">
        <f t="shared" si="632"/>
        <v>0</v>
      </c>
      <c r="AF2569" s="2">
        <f t="shared" si="633"/>
        <v>0</v>
      </c>
      <c r="AG2569" s="2">
        <f t="shared" si="634"/>
        <v>0</v>
      </c>
    </row>
    <row r="2570" spans="1:33">
      <c r="A2570" s="20" t="s">
        <v>2396</v>
      </c>
      <c r="B2570" s="150"/>
      <c r="C2570" s="21" t="s">
        <v>478</v>
      </c>
      <c r="D2570" s="109" t="s">
        <v>13228</v>
      </c>
      <c r="E2570" s="109"/>
      <c r="F2570" s="391" t="s">
        <v>15613</v>
      </c>
      <c r="G2570" s="23" t="s">
        <v>14002</v>
      </c>
      <c r="H2570" s="23"/>
      <c r="I2570" s="23"/>
      <c r="J2570" s="23"/>
      <c r="K2570" s="23"/>
      <c r="L2570" s="350"/>
      <c r="M2570" s="351"/>
      <c r="N2570" s="267">
        <f t="shared" si="635"/>
        <v>0</v>
      </c>
      <c r="O2570" s="268">
        <f t="shared" si="636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30"/>
        <v>0</v>
      </c>
      <c r="AD2570" s="196">
        <f t="shared" si="631"/>
        <v>0</v>
      </c>
      <c r="AE2570" s="196">
        <f t="shared" si="632"/>
        <v>0</v>
      </c>
      <c r="AF2570" s="2">
        <f t="shared" si="633"/>
        <v>0</v>
      </c>
      <c r="AG2570" s="2">
        <f t="shared" si="634"/>
        <v>0</v>
      </c>
    </row>
    <row r="2571" spans="1:33">
      <c r="A2571" s="20" t="s">
        <v>2397</v>
      </c>
      <c r="B2571" s="150"/>
      <c r="C2571" s="21" t="s">
        <v>479</v>
      </c>
      <c r="D2571" s="109" t="s">
        <v>13228</v>
      </c>
      <c r="E2571" s="109"/>
      <c r="F2571" s="391" t="s">
        <v>15614</v>
      </c>
      <c r="G2571" s="23"/>
      <c r="H2571" s="23"/>
      <c r="I2571" s="23"/>
      <c r="J2571" s="23"/>
      <c r="K2571" s="23"/>
      <c r="L2571" s="350"/>
      <c r="M2571" s="351"/>
      <c r="N2571" s="267">
        <f t="shared" si="635"/>
        <v>0</v>
      </c>
      <c r="O2571" s="268">
        <f t="shared" si="636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30"/>
        <v>0</v>
      </c>
      <c r="AD2571" s="196">
        <f t="shared" si="631"/>
        <v>0</v>
      </c>
      <c r="AE2571" s="196">
        <f t="shared" si="632"/>
        <v>0</v>
      </c>
      <c r="AF2571" s="2">
        <f t="shared" si="633"/>
        <v>0</v>
      </c>
      <c r="AG2571" s="2">
        <f t="shared" si="634"/>
        <v>0</v>
      </c>
    </row>
    <row r="2572" spans="1:33">
      <c r="A2572" s="20" t="s">
        <v>2398</v>
      </c>
      <c r="B2572" s="150"/>
      <c r="C2572" s="21" t="s">
        <v>480</v>
      </c>
      <c r="D2572" s="109" t="s">
        <v>13228</v>
      </c>
      <c r="E2572" s="109"/>
      <c r="F2572" s="391" t="s">
        <v>15615</v>
      </c>
      <c r="G2572" s="23"/>
      <c r="H2572" s="23"/>
      <c r="I2572" s="23"/>
      <c r="J2572" s="23"/>
      <c r="K2572" s="23"/>
      <c r="L2572" s="350"/>
      <c r="M2572" s="351"/>
      <c r="N2572" s="267">
        <f t="shared" si="635"/>
        <v>0</v>
      </c>
      <c r="O2572" s="268">
        <f t="shared" si="636"/>
        <v>0</v>
      </c>
      <c r="P2572" s="239"/>
      <c r="Q2572" s="239"/>
      <c r="R2572" s="239"/>
      <c r="S2572" s="239"/>
      <c r="T2572" s="239"/>
      <c r="U2572" s="240"/>
      <c r="V2572" s="240"/>
      <c r="W2572" s="240"/>
      <c r="X2572" s="278"/>
      <c r="Y2572" s="237"/>
      <c r="Z2572" s="237"/>
      <c r="AA2572" s="279"/>
      <c r="AB2572" s="238"/>
      <c r="AC2572" s="196">
        <f t="shared" si="630"/>
        <v>0</v>
      </c>
      <c r="AD2572" s="196">
        <f t="shared" si="631"/>
        <v>0</v>
      </c>
      <c r="AE2572" s="196">
        <f t="shared" si="632"/>
        <v>0</v>
      </c>
      <c r="AF2572" s="2">
        <f t="shared" si="633"/>
        <v>0</v>
      </c>
      <c r="AG2572" s="2">
        <f t="shared" si="634"/>
        <v>0</v>
      </c>
    </row>
    <row r="2573" spans="1:33">
      <c r="A2573" s="20" t="s">
        <v>2399</v>
      </c>
      <c r="B2573" s="150"/>
      <c r="C2573" s="21" t="s">
        <v>481</v>
      </c>
      <c r="D2573" s="109" t="s">
        <v>13228</v>
      </c>
      <c r="E2573" s="109"/>
      <c r="F2573" s="391" t="s">
        <v>15616</v>
      </c>
      <c r="G2573" s="23"/>
      <c r="H2573" s="23"/>
      <c r="I2573" s="23"/>
      <c r="J2573" s="23"/>
      <c r="K2573" s="23"/>
      <c r="L2573" s="350"/>
      <c r="M2573" s="351"/>
      <c r="N2573" s="267">
        <f t="shared" si="635"/>
        <v>0</v>
      </c>
      <c r="O2573" s="268">
        <f t="shared" si="636"/>
        <v>0</v>
      </c>
      <c r="P2573" s="239"/>
      <c r="Q2573" s="239"/>
      <c r="R2573" s="239"/>
      <c r="S2573" s="239"/>
      <c r="T2573" s="239"/>
      <c r="U2573" s="240"/>
      <c r="V2573" s="240"/>
      <c r="W2573" s="240"/>
      <c r="X2573" s="278"/>
      <c r="Y2573" s="237"/>
      <c r="Z2573" s="237"/>
      <c r="AA2573" s="279"/>
      <c r="AB2573" s="238"/>
      <c r="AC2573" s="196">
        <f t="shared" si="630"/>
        <v>0</v>
      </c>
      <c r="AD2573" s="196">
        <f t="shared" si="631"/>
        <v>0</v>
      </c>
      <c r="AE2573" s="196">
        <f t="shared" si="632"/>
        <v>0</v>
      </c>
      <c r="AF2573" s="2">
        <f t="shared" si="633"/>
        <v>0</v>
      </c>
      <c r="AG2573" s="2">
        <f t="shared" si="634"/>
        <v>0</v>
      </c>
    </row>
    <row r="2574" spans="1:33">
      <c r="A2574" s="20" t="s">
        <v>21440</v>
      </c>
      <c r="B2574" s="150"/>
      <c r="C2574" s="21" t="s">
        <v>20817</v>
      </c>
      <c r="D2574" s="109" t="s">
        <v>3096</v>
      </c>
      <c r="E2574" s="109"/>
      <c r="F2574" s="391" t="s">
        <v>20822</v>
      </c>
      <c r="G2574" s="23" t="s">
        <v>13975</v>
      </c>
      <c r="H2574" s="23" t="s">
        <v>23793</v>
      </c>
      <c r="I2574" s="23"/>
      <c r="J2574" s="23"/>
      <c r="K2574" s="23"/>
      <c r="L2574" s="375" t="s">
        <v>7787</v>
      </c>
      <c r="M2574" s="351"/>
      <c r="N2574" s="267">
        <f t="shared" si="635"/>
        <v>0</v>
      </c>
      <c r="O2574" s="268">
        <f t="shared" si="636"/>
        <v>50</v>
      </c>
      <c r="P2574" s="239"/>
      <c r="Q2574" s="239"/>
      <c r="R2574" s="239"/>
      <c r="S2574" s="239"/>
      <c r="T2574" s="239"/>
      <c r="U2574" s="240">
        <f>800-50-500-200</f>
        <v>50</v>
      </c>
      <c r="V2574" s="240"/>
      <c r="W2574" s="240"/>
      <c r="X2574" s="278"/>
      <c r="Y2574" s="237"/>
      <c r="Z2574" s="237"/>
      <c r="AA2574" s="279"/>
      <c r="AB2574" s="238" t="s">
        <v>23794</v>
      </c>
      <c r="AC2574" s="196">
        <f t="shared" si="630"/>
        <v>50</v>
      </c>
      <c r="AD2574" s="196">
        <f t="shared" si="631"/>
        <v>50</v>
      </c>
      <c r="AE2574" s="196">
        <f t="shared" si="632"/>
        <v>0</v>
      </c>
      <c r="AF2574" s="2">
        <f t="shared" si="633"/>
        <v>50</v>
      </c>
      <c r="AG2574" s="2">
        <f t="shared" si="634"/>
        <v>0</v>
      </c>
    </row>
    <row r="2575" spans="1:33">
      <c r="A2575" s="20" t="s">
        <v>2401</v>
      </c>
      <c r="B2575" s="150"/>
      <c r="C2575" s="21" t="s">
        <v>482</v>
      </c>
      <c r="D2575" s="109" t="s">
        <v>13228</v>
      </c>
      <c r="E2575" s="109"/>
      <c r="F2575" s="391" t="s">
        <v>15617</v>
      </c>
      <c r="G2575" s="23" t="s">
        <v>13986</v>
      </c>
      <c r="H2575" s="23"/>
      <c r="I2575" s="23"/>
      <c r="J2575" s="23"/>
      <c r="K2575" s="23"/>
      <c r="L2575" s="350"/>
      <c r="M2575" s="351"/>
      <c r="N2575" s="267">
        <f t="shared" si="635"/>
        <v>0</v>
      </c>
      <c r="O2575" s="268">
        <f t="shared" si="636"/>
        <v>0</v>
      </c>
      <c r="P2575" s="239"/>
      <c r="Q2575" s="239"/>
      <c r="R2575" s="239"/>
      <c r="S2575" s="239"/>
      <c r="T2575" s="239"/>
      <c r="U2575" s="240"/>
      <c r="V2575" s="240"/>
      <c r="W2575" s="240"/>
      <c r="X2575" s="278"/>
      <c r="Y2575" s="237"/>
      <c r="Z2575" s="237"/>
      <c r="AA2575" s="279"/>
      <c r="AB2575" s="238"/>
      <c r="AC2575" s="196">
        <f t="shared" si="630"/>
        <v>0</v>
      </c>
      <c r="AD2575" s="196">
        <f t="shared" si="631"/>
        <v>0</v>
      </c>
      <c r="AE2575" s="196">
        <f t="shared" si="632"/>
        <v>0</v>
      </c>
      <c r="AF2575" s="2">
        <f t="shared" si="633"/>
        <v>0</v>
      </c>
      <c r="AG2575" s="2">
        <f t="shared" si="634"/>
        <v>0</v>
      </c>
    </row>
    <row r="2576" spans="1:33">
      <c r="A2576" s="20" t="s">
        <v>2400</v>
      </c>
      <c r="B2576" s="150"/>
      <c r="C2576" s="21" t="s">
        <v>482</v>
      </c>
      <c r="D2576" s="109" t="s">
        <v>13232</v>
      </c>
      <c r="E2576" s="109"/>
      <c r="F2576" s="391" t="s">
        <v>15617</v>
      </c>
      <c r="G2576" s="23"/>
      <c r="H2576" s="23"/>
      <c r="I2576" s="23"/>
      <c r="J2576" s="23"/>
      <c r="K2576" s="23"/>
      <c r="L2576" s="350" t="s">
        <v>45</v>
      </c>
      <c r="M2576" s="351"/>
      <c r="N2576" s="267">
        <f t="shared" si="635"/>
        <v>0</v>
      </c>
      <c r="O2576" s="268">
        <f t="shared" si="636"/>
        <v>0</v>
      </c>
      <c r="P2576" s="239"/>
      <c r="Q2576" s="239"/>
      <c r="R2576" s="239"/>
      <c r="S2576" s="239"/>
      <c r="T2576" s="239"/>
      <c r="U2576" s="240"/>
      <c r="V2576" s="240"/>
      <c r="W2576" s="240"/>
      <c r="X2576" s="278"/>
      <c r="Y2576" s="237"/>
      <c r="Z2576" s="237"/>
      <c r="AA2576" s="279"/>
      <c r="AB2576" s="238"/>
      <c r="AC2576" s="196">
        <f t="shared" si="630"/>
        <v>0</v>
      </c>
      <c r="AD2576" s="196">
        <f t="shared" si="631"/>
        <v>0</v>
      </c>
      <c r="AE2576" s="196">
        <f t="shared" si="632"/>
        <v>0</v>
      </c>
      <c r="AF2576" s="2">
        <f t="shared" si="633"/>
        <v>0</v>
      </c>
      <c r="AG2576" s="2">
        <f t="shared" si="634"/>
        <v>0</v>
      </c>
    </row>
    <row r="2577" spans="1:33">
      <c r="A2577" s="20" t="s">
        <v>2402</v>
      </c>
      <c r="B2577" s="156"/>
      <c r="C2577" s="21" t="s">
        <v>483</v>
      </c>
      <c r="D2577" s="109" t="s">
        <v>15618</v>
      </c>
      <c r="E2577" s="109" t="s">
        <v>14131</v>
      </c>
      <c r="F2577" s="391" t="s">
        <v>15619</v>
      </c>
      <c r="G2577" s="23" t="s">
        <v>15620</v>
      </c>
      <c r="H2577" s="23" t="s">
        <v>13218</v>
      </c>
      <c r="I2577" s="23" t="s">
        <v>15621</v>
      </c>
      <c r="J2577" s="23" t="s">
        <v>25736</v>
      </c>
      <c r="K2577" s="23" t="s">
        <v>27250</v>
      </c>
      <c r="L2577" s="375" t="s">
        <v>27685</v>
      </c>
      <c r="M2577" s="351" t="s">
        <v>45</v>
      </c>
      <c r="N2577" s="267">
        <f t="shared" si="635"/>
        <v>0</v>
      </c>
      <c r="O2577" s="268">
        <f t="shared" si="636"/>
        <v>300</v>
      </c>
      <c r="P2577" s="239"/>
      <c r="Q2577" s="239"/>
      <c r="R2577" s="239"/>
      <c r="S2577" s="239"/>
      <c r="T2577" s="239"/>
      <c r="U2577" s="240">
        <f>700-500+600-500</f>
        <v>300</v>
      </c>
      <c r="V2577" s="240"/>
      <c r="W2577" s="240"/>
      <c r="X2577" s="278"/>
      <c r="Y2577" s="237"/>
      <c r="Z2577" s="237"/>
      <c r="AA2577" s="279"/>
      <c r="AB2577" s="238" t="s">
        <v>27695</v>
      </c>
      <c r="AC2577" s="196">
        <f t="shared" si="630"/>
        <v>300</v>
      </c>
      <c r="AD2577" s="196">
        <f t="shared" si="631"/>
        <v>300</v>
      </c>
      <c r="AE2577" s="196">
        <f t="shared" si="632"/>
        <v>0</v>
      </c>
      <c r="AF2577" s="2">
        <f t="shared" si="633"/>
        <v>300</v>
      </c>
      <c r="AG2577" s="2">
        <f t="shared" si="634"/>
        <v>0</v>
      </c>
    </row>
    <row r="2578" spans="1:33">
      <c r="A2578" s="20" t="s">
        <v>2404</v>
      </c>
      <c r="B2578" s="161"/>
      <c r="C2578" s="21" t="s">
        <v>483</v>
      </c>
      <c r="D2578" s="109" t="s">
        <v>15618</v>
      </c>
      <c r="E2578" s="109" t="s">
        <v>15622</v>
      </c>
      <c r="F2578" s="391" t="s">
        <v>15619</v>
      </c>
      <c r="G2578" s="23" t="s">
        <v>13972</v>
      </c>
      <c r="H2578" s="23"/>
      <c r="I2578" s="23"/>
      <c r="J2578" s="23"/>
      <c r="K2578" s="23"/>
      <c r="L2578" s="350"/>
      <c r="M2578" s="364"/>
      <c r="N2578" s="267">
        <f t="shared" si="635"/>
        <v>0</v>
      </c>
      <c r="O2578" s="268">
        <f t="shared" si="636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30"/>
        <v>0</v>
      </c>
      <c r="AD2578" s="196">
        <f t="shared" si="631"/>
        <v>0</v>
      </c>
      <c r="AE2578" s="196">
        <f t="shared" si="632"/>
        <v>0</v>
      </c>
      <c r="AF2578" s="2">
        <f t="shared" si="633"/>
        <v>0</v>
      </c>
      <c r="AG2578" s="2">
        <f t="shared" si="634"/>
        <v>0</v>
      </c>
    </row>
    <row r="2579" spans="1:33">
      <c r="A2579" s="20" t="s">
        <v>2403</v>
      </c>
      <c r="B2579" s="156"/>
      <c r="C2579" s="21" t="s">
        <v>483</v>
      </c>
      <c r="D2579" s="109" t="s">
        <v>4073</v>
      </c>
      <c r="E2579" s="109" t="s">
        <v>15623</v>
      </c>
      <c r="F2579" s="391" t="s">
        <v>4939</v>
      </c>
      <c r="G2579" s="23" t="s">
        <v>13972</v>
      </c>
      <c r="H2579" s="23"/>
      <c r="I2579" s="23"/>
      <c r="J2579" s="23"/>
      <c r="K2579" s="23"/>
      <c r="L2579" s="350"/>
      <c r="M2579" s="369"/>
      <c r="N2579" s="267">
        <f t="shared" si="635"/>
        <v>0</v>
      </c>
      <c r="O2579" s="268">
        <f t="shared" si="636"/>
        <v>0</v>
      </c>
      <c r="P2579" s="239"/>
      <c r="Q2579" s="239"/>
      <c r="R2579" s="239"/>
      <c r="S2579" s="239"/>
      <c r="T2579" s="239"/>
      <c r="U2579" s="240"/>
      <c r="V2579" s="240"/>
      <c r="W2579" s="240"/>
      <c r="X2579" s="278"/>
      <c r="Y2579" s="237"/>
      <c r="Z2579" s="237"/>
      <c r="AA2579" s="279"/>
      <c r="AB2579" s="238"/>
      <c r="AC2579" s="196">
        <f t="shared" si="630"/>
        <v>0</v>
      </c>
      <c r="AD2579" s="196">
        <f t="shared" si="631"/>
        <v>0</v>
      </c>
      <c r="AE2579" s="196">
        <f t="shared" si="632"/>
        <v>0</v>
      </c>
      <c r="AF2579" s="2">
        <f t="shared" si="633"/>
        <v>0</v>
      </c>
      <c r="AG2579" s="2">
        <f t="shared" si="634"/>
        <v>0</v>
      </c>
    </row>
    <row r="2580" spans="1:33">
      <c r="A2580" s="20" t="s">
        <v>21441</v>
      </c>
      <c r="B2580" s="156"/>
      <c r="C2580" s="21" t="s">
        <v>483</v>
      </c>
      <c r="D2580" s="109" t="s">
        <v>3133</v>
      </c>
      <c r="E2580" s="109"/>
      <c r="F2580" s="391" t="s">
        <v>4939</v>
      </c>
      <c r="G2580" s="23" t="s">
        <v>20838</v>
      </c>
      <c r="H2580" s="23"/>
      <c r="I2580" s="23"/>
      <c r="J2580" s="23"/>
      <c r="K2580" s="23"/>
      <c r="L2580" s="375" t="s">
        <v>7787</v>
      </c>
      <c r="M2580" s="369" t="s">
        <v>7787</v>
      </c>
      <c r="N2580" s="267">
        <f t="shared" si="635"/>
        <v>0</v>
      </c>
      <c r="O2580" s="268">
        <f t="shared" si="636"/>
        <v>0</v>
      </c>
      <c r="P2580" s="239"/>
      <c r="Q2580" s="239"/>
      <c r="R2580" s="239"/>
      <c r="S2580" s="239"/>
      <c r="T2580" s="239"/>
      <c r="U2580" s="240"/>
      <c r="V2580" s="240"/>
      <c r="W2580" s="240"/>
      <c r="X2580" s="278"/>
      <c r="Y2580" s="237"/>
      <c r="Z2580" s="237"/>
      <c r="AA2580" s="279"/>
      <c r="AB2580" s="238"/>
      <c r="AC2580" s="196">
        <f t="shared" si="630"/>
        <v>0</v>
      </c>
      <c r="AD2580" s="196">
        <f t="shared" si="631"/>
        <v>0</v>
      </c>
      <c r="AE2580" s="196">
        <f t="shared" si="632"/>
        <v>0</v>
      </c>
      <c r="AF2580" s="2">
        <f t="shared" si="633"/>
        <v>0</v>
      </c>
      <c r="AG2580" s="2">
        <f t="shared" si="634"/>
        <v>0</v>
      </c>
    </row>
    <row r="2581" spans="1:33">
      <c r="A2581" s="20" t="s">
        <v>2405</v>
      </c>
      <c r="B2581" s="162" t="s">
        <v>5858</v>
      </c>
      <c r="C2581" s="21" t="s">
        <v>484</v>
      </c>
      <c r="D2581" s="109" t="s">
        <v>14126</v>
      </c>
      <c r="E2581" s="109" t="s">
        <v>24177</v>
      </c>
      <c r="F2581" s="391" t="s">
        <v>15624</v>
      </c>
      <c r="G2581" s="23" t="s">
        <v>25774</v>
      </c>
      <c r="H2581" s="23" t="s">
        <v>15626</v>
      </c>
      <c r="I2581" s="23" t="s">
        <v>15627</v>
      </c>
      <c r="J2581" s="23" t="s">
        <v>26209</v>
      </c>
      <c r="K2581" s="23"/>
      <c r="L2581" s="375" t="s">
        <v>7787</v>
      </c>
      <c r="M2581" s="357" t="s">
        <v>7787</v>
      </c>
      <c r="N2581" s="267">
        <f t="shared" si="635"/>
        <v>0</v>
      </c>
      <c r="O2581" s="268">
        <f t="shared" si="636"/>
        <v>2300</v>
      </c>
      <c r="P2581" s="239">
        <f>1000-500+1000-750-150-150+1000-100-500-50-100+1000-100-100</f>
        <v>1500</v>
      </c>
      <c r="Q2581" s="239">
        <f>1100-250-50</f>
        <v>800</v>
      </c>
      <c r="R2581" s="239"/>
      <c r="S2581" s="239"/>
      <c r="T2581" s="239"/>
      <c r="U2581" s="240"/>
      <c r="V2581" s="240"/>
      <c r="W2581" s="240"/>
      <c r="X2581" s="278"/>
      <c r="Y2581" s="240"/>
      <c r="Z2581" s="237"/>
      <c r="AA2581" s="279"/>
      <c r="AB2581" s="238" t="s">
        <v>27769</v>
      </c>
      <c r="AC2581" s="196">
        <f t="shared" si="630"/>
        <v>2300</v>
      </c>
      <c r="AD2581" s="196">
        <f t="shared" si="631"/>
        <v>2300</v>
      </c>
      <c r="AE2581" s="196">
        <f t="shared" si="632"/>
        <v>0</v>
      </c>
      <c r="AF2581" s="2">
        <f t="shared" si="633"/>
        <v>2300</v>
      </c>
      <c r="AG2581" s="2">
        <f t="shared" si="634"/>
        <v>0</v>
      </c>
    </row>
    <row r="2582" spans="1:33">
      <c r="A2582" s="20" t="s">
        <v>2406</v>
      </c>
      <c r="B2582" s="162"/>
      <c r="C2582" s="21" t="s">
        <v>21058</v>
      </c>
      <c r="D2582" s="109" t="s">
        <v>14581</v>
      </c>
      <c r="E2582" s="109"/>
      <c r="F2582" s="391" t="s">
        <v>15628</v>
      </c>
      <c r="G2582" s="23" t="s">
        <v>13757</v>
      </c>
      <c r="H2582" s="23"/>
      <c r="I2582" s="23"/>
      <c r="J2582" s="23"/>
      <c r="K2582" s="23"/>
      <c r="L2582" s="375" t="s">
        <v>27721</v>
      </c>
      <c r="M2582" s="351"/>
      <c r="N2582" s="267">
        <f t="shared" si="635"/>
        <v>0</v>
      </c>
      <c r="O2582" s="268">
        <f t="shared" si="636"/>
        <v>0</v>
      </c>
      <c r="P2582" s="239"/>
      <c r="Q2582" s="239"/>
      <c r="R2582" s="239"/>
      <c r="S2582" s="239"/>
      <c r="T2582" s="239"/>
      <c r="U2582" s="240"/>
      <c r="V2582" s="240"/>
      <c r="W2582" s="240"/>
      <c r="X2582" s="278"/>
      <c r="Y2582" s="237"/>
      <c r="Z2582" s="237"/>
      <c r="AA2582" s="279"/>
      <c r="AB2582" s="238"/>
      <c r="AC2582" s="196">
        <f t="shared" si="630"/>
        <v>0</v>
      </c>
      <c r="AD2582" s="196">
        <f t="shared" si="631"/>
        <v>0</v>
      </c>
      <c r="AE2582" s="196">
        <f t="shared" si="632"/>
        <v>0</v>
      </c>
      <c r="AF2582" s="2">
        <f t="shared" si="633"/>
        <v>0</v>
      </c>
      <c r="AG2582" s="2">
        <f t="shared" si="634"/>
        <v>0</v>
      </c>
    </row>
    <row r="2583" spans="1:33">
      <c r="A2583" s="20" t="s">
        <v>23155</v>
      </c>
      <c r="B2583" s="162"/>
      <c r="C2583" s="21" t="s">
        <v>484</v>
      </c>
      <c r="D2583" s="109" t="s">
        <v>3137</v>
      </c>
      <c r="E2583" s="109" t="s">
        <v>25773</v>
      </c>
      <c r="F2583" s="391" t="s">
        <v>4941</v>
      </c>
      <c r="G2583" s="23" t="s">
        <v>25774</v>
      </c>
      <c r="H2583" s="23" t="s">
        <v>15626</v>
      </c>
      <c r="I2583" s="23" t="s">
        <v>15627</v>
      </c>
      <c r="J2583" s="23" t="s">
        <v>26209</v>
      </c>
      <c r="K2583" s="23"/>
      <c r="L2583" s="375" t="s">
        <v>7787</v>
      </c>
      <c r="M2583" s="351" t="s">
        <v>45</v>
      </c>
      <c r="N2583" s="267">
        <f t="shared" si="635"/>
        <v>0</v>
      </c>
      <c r="O2583" s="268">
        <f t="shared" si="636"/>
        <v>150</v>
      </c>
      <c r="P2583" s="239">
        <f>250-100-100+200-100-100+100</f>
        <v>150</v>
      </c>
      <c r="Q2583" s="239"/>
      <c r="R2583" s="239"/>
      <c r="S2583" s="239"/>
      <c r="T2583" s="239"/>
      <c r="U2583" s="239"/>
      <c r="V2583" s="244"/>
      <c r="W2583" s="240"/>
      <c r="X2583" s="278"/>
      <c r="Y2583" s="237"/>
      <c r="Z2583" s="237"/>
      <c r="AA2583" s="279"/>
      <c r="AB2583" s="238" t="s">
        <v>27244</v>
      </c>
      <c r="AC2583" s="196">
        <f t="shared" si="630"/>
        <v>150</v>
      </c>
      <c r="AD2583" s="196">
        <f t="shared" si="631"/>
        <v>150</v>
      </c>
      <c r="AE2583" s="196">
        <f t="shared" si="632"/>
        <v>0</v>
      </c>
      <c r="AF2583" s="2">
        <f t="shared" si="633"/>
        <v>150</v>
      </c>
      <c r="AG2583" s="2">
        <f t="shared" si="634"/>
        <v>0</v>
      </c>
    </row>
    <row r="2584" spans="1:33">
      <c r="A2584" s="20" t="s">
        <v>21442</v>
      </c>
      <c r="B2584" s="162"/>
      <c r="C2584" s="21" t="s">
        <v>20643</v>
      </c>
      <c r="D2584" s="109" t="s">
        <v>3137</v>
      </c>
      <c r="E2584" s="109" t="s">
        <v>21059</v>
      </c>
      <c r="F2584" s="391" t="s">
        <v>4941</v>
      </c>
      <c r="G2584" s="23" t="s">
        <v>20644</v>
      </c>
      <c r="H2584" s="23" t="s">
        <v>6133</v>
      </c>
      <c r="I2584" s="23" t="s">
        <v>26210</v>
      </c>
      <c r="J2584" s="23"/>
      <c r="K2584" s="23"/>
      <c r="L2584" s="375" t="s">
        <v>45</v>
      </c>
      <c r="M2584" s="351"/>
      <c r="N2584" s="267">
        <f t="shared" si="635"/>
        <v>0</v>
      </c>
      <c r="O2584" s="268">
        <f t="shared" si="636"/>
        <v>0</v>
      </c>
      <c r="P2584" s="239"/>
      <c r="Q2584" s="239"/>
      <c r="R2584" s="239"/>
      <c r="S2584" s="239"/>
      <c r="T2584" s="239"/>
      <c r="U2584" s="239"/>
      <c r="V2584" s="239"/>
      <c r="W2584" s="240"/>
      <c r="X2584" s="278"/>
      <c r="Y2584" s="237"/>
      <c r="Z2584" s="237"/>
      <c r="AA2584" s="279"/>
      <c r="AB2584" s="238"/>
      <c r="AC2584" s="196">
        <f t="shared" si="630"/>
        <v>0</v>
      </c>
      <c r="AD2584" s="196">
        <f t="shared" si="631"/>
        <v>0</v>
      </c>
      <c r="AE2584" s="196">
        <f t="shared" si="632"/>
        <v>0</v>
      </c>
      <c r="AF2584" s="2">
        <f t="shared" si="633"/>
        <v>0</v>
      </c>
      <c r="AG2584" s="2">
        <f t="shared" si="634"/>
        <v>0</v>
      </c>
    </row>
    <row r="2585" spans="1:33">
      <c r="A2585" s="20" t="s">
        <v>21668</v>
      </c>
      <c r="B2585" s="162"/>
      <c r="C2585" s="21" t="s">
        <v>20643</v>
      </c>
      <c r="D2585" s="109" t="s">
        <v>3137</v>
      </c>
      <c r="E2585" s="109" t="s">
        <v>21584</v>
      </c>
      <c r="F2585" s="391" t="s">
        <v>4941</v>
      </c>
      <c r="G2585" s="23" t="s">
        <v>13975</v>
      </c>
      <c r="H2585" s="23"/>
      <c r="I2585" s="23"/>
      <c r="J2585" s="23"/>
      <c r="K2585" s="23"/>
      <c r="L2585" s="375" t="s">
        <v>45</v>
      </c>
      <c r="M2585" s="351" t="s">
        <v>45</v>
      </c>
      <c r="N2585" s="267">
        <f t="shared" si="635"/>
        <v>0</v>
      </c>
      <c r="O2585" s="268">
        <f t="shared" si="636"/>
        <v>0</v>
      </c>
      <c r="P2585" s="239"/>
      <c r="Q2585" s="239"/>
      <c r="R2585" s="239"/>
      <c r="S2585" s="239"/>
      <c r="T2585" s="239"/>
      <c r="U2585" s="239"/>
      <c r="V2585" s="239"/>
      <c r="W2585" s="240"/>
      <c r="X2585" s="278"/>
      <c r="Y2585" s="237"/>
      <c r="Z2585" s="237"/>
      <c r="AA2585" s="279"/>
      <c r="AB2585" s="238"/>
      <c r="AC2585" s="196">
        <f t="shared" si="630"/>
        <v>0</v>
      </c>
      <c r="AD2585" s="196">
        <f t="shared" si="631"/>
        <v>0</v>
      </c>
      <c r="AE2585" s="196">
        <f t="shared" si="632"/>
        <v>0</v>
      </c>
      <c r="AF2585" s="2">
        <f t="shared" si="633"/>
        <v>0</v>
      </c>
      <c r="AG2585" s="2">
        <f t="shared" si="634"/>
        <v>0</v>
      </c>
    </row>
    <row r="2586" spans="1:33">
      <c r="A2586" s="20" t="s">
        <v>21443</v>
      </c>
      <c r="B2586" s="162"/>
      <c r="C2586" s="21" t="s">
        <v>20643</v>
      </c>
      <c r="D2586" s="109" t="s">
        <v>3137</v>
      </c>
      <c r="E2586" s="109" t="s">
        <v>20758</v>
      </c>
      <c r="F2586" s="391" t="s">
        <v>4941</v>
      </c>
      <c r="G2586" s="23" t="s">
        <v>25217</v>
      </c>
      <c r="H2586" s="23"/>
      <c r="I2586" s="23"/>
      <c r="J2586" s="23"/>
      <c r="K2586" s="23"/>
      <c r="L2586" s="375" t="s">
        <v>45</v>
      </c>
      <c r="M2586" s="351" t="s">
        <v>7787</v>
      </c>
      <c r="N2586" s="267">
        <f t="shared" si="635"/>
        <v>0</v>
      </c>
      <c r="O2586" s="268">
        <f t="shared" si="636"/>
        <v>0</v>
      </c>
      <c r="P2586" s="239"/>
      <c r="Q2586" s="239"/>
      <c r="R2586" s="239"/>
      <c r="S2586" s="239"/>
      <c r="T2586" s="239"/>
      <c r="U2586" s="240"/>
      <c r="V2586" s="239"/>
      <c r="W2586" s="240"/>
      <c r="X2586" s="278"/>
      <c r="Y2586" s="237"/>
      <c r="Z2586" s="237"/>
      <c r="AA2586" s="279"/>
      <c r="AB2586" s="238"/>
      <c r="AC2586" s="196">
        <f t="shared" si="630"/>
        <v>0</v>
      </c>
      <c r="AD2586" s="196">
        <f t="shared" si="631"/>
        <v>0</v>
      </c>
      <c r="AE2586" s="196">
        <f t="shared" si="632"/>
        <v>0</v>
      </c>
      <c r="AF2586" s="2">
        <f t="shared" si="633"/>
        <v>0</v>
      </c>
      <c r="AG2586" s="2">
        <f t="shared" si="634"/>
        <v>0</v>
      </c>
    </row>
    <row r="2587" spans="1:33">
      <c r="A2587" s="20" t="s">
        <v>2407</v>
      </c>
      <c r="B2587" s="162" t="s">
        <v>15629</v>
      </c>
      <c r="C2587" s="21" t="s">
        <v>485</v>
      </c>
      <c r="D2587" s="109" t="s">
        <v>14815</v>
      </c>
      <c r="E2587" s="109"/>
      <c r="F2587" s="391" t="s">
        <v>15630</v>
      </c>
      <c r="G2587" s="23" t="s">
        <v>25716</v>
      </c>
      <c r="H2587" s="23" t="s">
        <v>13951</v>
      </c>
      <c r="I2587" s="23" t="s">
        <v>14705</v>
      </c>
      <c r="J2587" s="23" t="s">
        <v>22265</v>
      </c>
      <c r="K2587" s="23" t="s">
        <v>22831</v>
      </c>
      <c r="L2587" s="375" t="s">
        <v>45</v>
      </c>
      <c r="M2587" s="351" t="s">
        <v>45</v>
      </c>
      <c r="N2587" s="267">
        <f t="shared" si="635"/>
        <v>0</v>
      </c>
      <c r="O2587" s="268">
        <f t="shared" si="636"/>
        <v>0</v>
      </c>
      <c r="P2587" s="239"/>
      <c r="Q2587" s="239"/>
      <c r="R2587" s="239"/>
      <c r="S2587" s="239"/>
      <c r="T2587" s="239"/>
      <c r="U2587" s="239"/>
      <c r="V2587" s="240"/>
      <c r="W2587" s="240"/>
      <c r="X2587" s="278"/>
      <c r="Y2587" s="237"/>
      <c r="Z2587" s="237"/>
      <c r="AA2587" s="279"/>
      <c r="AB2587" s="238"/>
      <c r="AC2587" s="196">
        <f t="shared" si="630"/>
        <v>0</v>
      </c>
      <c r="AD2587" s="196">
        <f t="shared" si="631"/>
        <v>0</v>
      </c>
      <c r="AE2587" s="196">
        <f t="shared" si="632"/>
        <v>0</v>
      </c>
      <c r="AF2587" s="2">
        <f t="shared" si="633"/>
        <v>0</v>
      </c>
      <c r="AG2587" s="2">
        <f t="shared" si="634"/>
        <v>0</v>
      </c>
    </row>
    <row r="2588" spans="1:33">
      <c r="A2588" s="20" t="s">
        <v>27067</v>
      </c>
      <c r="B2588" s="162" t="s">
        <v>25582</v>
      </c>
      <c r="C2588" s="21" t="s">
        <v>485</v>
      </c>
      <c r="D2588" s="109" t="s">
        <v>4070</v>
      </c>
      <c r="E2588" s="109"/>
      <c r="F2588" s="391" t="s">
        <v>25583</v>
      </c>
      <c r="G2588" s="23" t="s">
        <v>25716</v>
      </c>
      <c r="H2588" s="23" t="s">
        <v>5334</v>
      </c>
      <c r="I2588" s="23" t="s">
        <v>12058</v>
      </c>
      <c r="J2588" s="23" t="s">
        <v>25584</v>
      </c>
      <c r="K2588" s="23" t="s">
        <v>25585</v>
      </c>
      <c r="L2588" s="375" t="s">
        <v>7787</v>
      </c>
      <c r="M2588" s="351"/>
      <c r="N2588" s="267">
        <f t="shared" ref="N2588" si="637">SUM(L2588:M2588)</f>
        <v>0</v>
      </c>
      <c r="O2588" s="268">
        <f t="shared" ref="O2588" si="638">SUM(P2588:Z2588)</f>
        <v>0</v>
      </c>
      <c r="P2588" s="239"/>
      <c r="Q2588" s="239"/>
      <c r="R2588" s="239"/>
      <c r="S2588" s="239"/>
      <c r="T2588" s="239"/>
      <c r="U2588" s="239"/>
      <c r="V2588" s="240"/>
      <c r="W2588" s="240"/>
      <c r="X2588" s="278"/>
      <c r="Y2588" s="237"/>
      <c r="Z2588" s="237"/>
      <c r="AA2588" s="279"/>
      <c r="AB2588" s="238"/>
      <c r="AC2588" s="196">
        <f t="shared" si="630"/>
        <v>0</v>
      </c>
      <c r="AD2588" s="196">
        <f t="shared" si="631"/>
        <v>0</v>
      </c>
      <c r="AE2588" s="196">
        <f t="shared" si="632"/>
        <v>0</v>
      </c>
      <c r="AF2588" s="2">
        <f t="shared" si="633"/>
        <v>0</v>
      </c>
      <c r="AG2588" s="2">
        <f t="shared" si="634"/>
        <v>0</v>
      </c>
    </row>
    <row r="2589" spans="1:33">
      <c r="A2589" s="20" t="s">
        <v>24526</v>
      </c>
      <c r="B2589" s="162"/>
      <c r="C2589" s="21" t="s">
        <v>485</v>
      </c>
      <c r="D2589" s="109" t="s">
        <v>24521</v>
      </c>
      <c r="E2589" s="109"/>
      <c r="F2589" s="391" t="s">
        <v>4943</v>
      </c>
      <c r="G2589" s="23" t="s">
        <v>14332</v>
      </c>
      <c r="H2589" s="23" t="s">
        <v>25716</v>
      </c>
      <c r="I2589" s="23" t="s">
        <v>26709</v>
      </c>
      <c r="J2589" s="23"/>
      <c r="K2589" s="23"/>
      <c r="L2589" s="375" t="s">
        <v>7787</v>
      </c>
      <c r="M2589" s="351" t="s">
        <v>7787</v>
      </c>
      <c r="N2589" s="267">
        <f t="shared" ref="N2589" si="639">SUM(L2589:M2589)</f>
        <v>0</v>
      </c>
      <c r="O2589" s="268">
        <f t="shared" ref="O2589" si="640">SUM(P2589:Z2589)</f>
        <v>2300</v>
      </c>
      <c r="P2589" s="239"/>
      <c r="Q2589" s="239"/>
      <c r="R2589" s="239"/>
      <c r="S2589" s="239"/>
      <c r="T2589" s="239"/>
      <c r="U2589" s="239">
        <f>300+7050-6500+800+2500+2800+2800-5000+600-4000+1750+1350+1500+550+1650-900-1400-300-600-300-100-50-550-500-500-100-50-200-100-100-100</f>
        <v>2300</v>
      </c>
      <c r="V2589" s="240"/>
      <c r="W2589" s="240"/>
      <c r="X2589" s="278"/>
      <c r="Y2589" s="237"/>
      <c r="Z2589" s="237"/>
      <c r="AA2589" s="279"/>
      <c r="AB2589" s="238" t="s">
        <v>24632</v>
      </c>
      <c r="AC2589" s="196">
        <f t="shared" si="630"/>
        <v>2300</v>
      </c>
      <c r="AD2589" s="196">
        <f t="shared" si="631"/>
        <v>2300</v>
      </c>
      <c r="AE2589" s="196">
        <f t="shared" si="632"/>
        <v>0</v>
      </c>
      <c r="AF2589" s="2">
        <f t="shared" si="633"/>
        <v>2300</v>
      </c>
      <c r="AG2589" s="2">
        <f t="shared" si="634"/>
        <v>0</v>
      </c>
    </row>
    <row r="2590" spans="1:33">
      <c r="A2590" s="20" t="s">
        <v>2408</v>
      </c>
      <c r="B2590" s="150"/>
      <c r="C2590" s="21" t="s">
        <v>486</v>
      </c>
      <c r="D2590" s="109" t="s">
        <v>13252</v>
      </c>
      <c r="E2590" s="109"/>
      <c r="F2590" s="391" t="s">
        <v>15631</v>
      </c>
      <c r="G2590" s="23" t="s">
        <v>15632</v>
      </c>
      <c r="H2590" s="23"/>
      <c r="I2590" s="23"/>
      <c r="J2590" s="23"/>
      <c r="K2590" s="23"/>
      <c r="L2590" s="375" t="s">
        <v>7787</v>
      </c>
      <c r="M2590" s="351" t="s">
        <v>7787</v>
      </c>
      <c r="N2590" s="267">
        <f t="shared" si="635"/>
        <v>0</v>
      </c>
      <c r="O2590" s="268">
        <f t="shared" si="636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30"/>
        <v>0</v>
      </c>
      <c r="AD2590" s="196">
        <f t="shared" si="631"/>
        <v>0</v>
      </c>
      <c r="AE2590" s="196">
        <f t="shared" si="632"/>
        <v>0</v>
      </c>
      <c r="AF2590" s="2">
        <f t="shared" si="633"/>
        <v>0</v>
      </c>
      <c r="AG2590" s="2">
        <f t="shared" si="634"/>
        <v>0</v>
      </c>
    </row>
    <row r="2591" spans="1:33">
      <c r="A2591" s="20" t="s">
        <v>2409</v>
      </c>
      <c r="B2591" s="150"/>
      <c r="C2591" s="21" t="s">
        <v>15633</v>
      </c>
      <c r="D2591" s="109" t="s">
        <v>15634</v>
      </c>
      <c r="E2591" s="109"/>
      <c r="F2591" s="391" t="s">
        <v>15635</v>
      </c>
      <c r="G2591" s="23" t="s">
        <v>13621</v>
      </c>
      <c r="H2591" s="23"/>
      <c r="I2591" s="23"/>
      <c r="J2591" s="23"/>
      <c r="K2591" s="23"/>
      <c r="L2591" s="350"/>
      <c r="M2591" s="351"/>
      <c r="N2591" s="267">
        <f t="shared" si="635"/>
        <v>0</v>
      </c>
      <c r="O2591" s="268">
        <f t="shared" si="636"/>
        <v>0</v>
      </c>
      <c r="P2591" s="239"/>
      <c r="Q2591" s="239"/>
      <c r="R2591" s="239"/>
      <c r="S2591" s="239"/>
      <c r="T2591" s="239"/>
      <c r="U2591" s="240"/>
      <c r="V2591" s="240"/>
      <c r="W2591" s="240"/>
      <c r="X2591" s="278"/>
      <c r="Y2591" s="237"/>
      <c r="Z2591" s="237"/>
      <c r="AA2591" s="279"/>
      <c r="AB2591" s="238"/>
      <c r="AC2591" s="196">
        <f t="shared" si="630"/>
        <v>0</v>
      </c>
      <c r="AD2591" s="196">
        <f t="shared" si="631"/>
        <v>0</v>
      </c>
      <c r="AE2591" s="196">
        <f t="shared" si="632"/>
        <v>0</v>
      </c>
      <c r="AF2591" s="2">
        <f t="shared" si="633"/>
        <v>0</v>
      </c>
      <c r="AG2591" s="2">
        <f t="shared" si="634"/>
        <v>0</v>
      </c>
    </row>
    <row r="2592" spans="1:33">
      <c r="A2592" s="20" t="s">
        <v>2410</v>
      </c>
      <c r="B2592" s="156"/>
      <c r="C2592" s="21" t="s">
        <v>15636</v>
      </c>
      <c r="D2592" s="109" t="s">
        <v>13843</v>
      </c>
      <c r="E2592" s="109"/>
      <c r="F2592" s="391" t="s">
        <v>15637</v>
      </c>
      <c r="G2592" s="23" t="s">
        <v>13621</v>
      </c>
      <c r="H2592" s="23"/>
      <c r="I2592" s="23"/>
      <c r="J2592" s="23"/>
      <c r="K2592" s="23"/>
      <c r="L2592" s="350"/>
      <c r="M2592" s="351"/>
      <c r="N2592" s="267">
        <f t="shared" si="635"/>
        <v>0</v>
      </c>
      <c r="O2592" s="268">
        <f t="shared" si="636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37"/>
      <c r="Z2592" s="237"/>
      <c r="AA2592" s="279"/>
      <c r="AB2592" s="238"/>
      <c r="AC2592" s="196">
        <f t="shared" si="630"/>
        <v>0</v>
      </c>
      <c r="AD2592" s="196">
        <f t="shared" si="631"/>
        <v>0</v>
      </c>
      <c r="AE2592" s="196">
        <f t="shared" si="632"/>
        <v>0</v>
      </c>
      <c r="AF2592" s="2">
        <f t="shared" si="633"/>
        <v>0</v>
      </c>
      <c r="AG2592" s="2">
        <f t="shared" si="634"/>
        <v>0</v>
      </c>
    </row>
    <row r="2593" spans="1:33">
      <c r="A2593" s="20" t="s">
        <v>2411</v>
      </c>
      <c r="B2593" s="151"/>
      <c r="C2593" s="21" t="s">
        <v>4946</v>
      </c>
      <c r="D2593" s="109" t="s">
        <v>13843</v>
      </c>
      <c r="E2593" s="109"/>
      <c r="F2593" s="391" t="s">
        <v>15638</v>
      </c>
      <c r="G2593" s="23" t="s">
        <v>13610</v>
      </c>
      <c r="H2593" s="23" t="s">
        <v>13339</v>
      </c>
      <c r="I2593" s="23"/>
      <c r="J2593" s="23"/>
      <c r="K2593" s="23"/>
      <c r="L2593" s="375" t="s">
        <v>45</v>
      </c>
      <c r="M2593" s="351" t="s">
        <v>45</v>
      </c>
      <c r="N2593" s="267">
        <f t="shared" si="635"/>
        <v>0</v>
      </c>
      <c r="O2593" s="268">
        <f t="shared" si="636"/>
        <v>16000</v>
      </c>
      <c r="P2593" s="239"/>
      <c r="Q2593" s="239"/>
      <c r="R2593" s="239"/>
      <c r="S2593" s="239"/>
      <c r="T2593" s="239"/>
      <c r="U2593" s="240">
        <f>2600+3000+2000+2400+2400+3600</f>
        <v>16000</v>
      </c>
      <c r="V2593" s="240"/>
      <c r="W2593" s="240"/>
      <c r="X2593" s="278"/>
      <c r="Y2593" s="240"/>
      <c r="Z2593" s="240"/>
      <c r="AA2593" s="279"/>
      <c r="AB2593" s="238" t="s">
        <v>28044</v>
      </c>
      <c r="AC2593" s="196">
        <f t="shared" si="630"/>
        <v>16000</v>
      </c>
      <c r="AD2593" s="196">
        <f t="shared" si="631"/>
        <v>16000</v>
      </c>
      <c r="AE2593" s="196">
        <f t="shared" si="632"/>
        <v>0</v>
      </c>
      <c r="AF2593" s="2">
        <f t="shared" si="633"/>
        <v>16000</v>
      </c>
      <c r="AG2593" s="2">
        <f t="shared" si="634"/>
        <v>0</v>
      </c>
    </row>
    <row r="2594" spans="1:33">
      <c r="A2594" s="20" t="s">
        <v>2412</v>
      </c>
      <c r="B2594" s="151"/>
      <c r="C2594" s="21" t="s">
        <v>4947</v>
      </c>
      <c r="D2594" s="109" t="s">
        <v>15639</v>
      </c>
      <c r="E2594" s="109"/>
      <c r="F2594" s="391" t="s">
        <v>15640</v>
      </c>
      <c r="G2594" s="23" t="s">
        <v>13621</v>
      </c>
      <c r="H2594" s="23"/>
      <c r="I2594" s="23"/>
      <c r="J2594" s="23"/>
      <c r="K2594" s="23"/>
      <c r="L2594" s="350"/>
      <c r="M2594" s="351"/>
      <c r="N2594" s="267">
        <f t="shared" si="635"/>
        <v>0</v>
      </c>
      <c r="O2594" s="268">
        <f t="shared" si="636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30"/>
        <v>0</v>
      </c>
      <c r="AD2594" s="196">
        <f t="shared" si="631"/>
        <v>0</v>
      </c>
      <c r="AE2594" s="196">
        <f t="shared" si="632"/>
        <v>0</v>
      </c>
      <c r="AF2594" s="2">
        <f t="shared" si="633"/>
        <v>0</v>
      </c>
      <c r="AG2594" s="2">
        <f t="shared" si="634"/>
        <v>0</v>
      </c>
    </row>
    <row r="2595" spans="1:33">
      <c r="A2595" s="20" t="s">
        <v>2413</v>
      </c>
      <c r="B2595" s="156"/>
      <c r="C2595" s="21" t="s">
        <v>4948</v>
      </c>
      <c r="D2595" s="109" t="s">
        <v>13843</v>
      </c>
      <c r="E2595" s="109"/>
      <c r="F2595" s="391" t="s">
        <v>15637</v>
      </c>
      <c r="G2595" s="23" t="s">
        <v>13610</v>
      </c>
      <c r="H2595" s="23"/>
      <c r="I2595" s="23"/>
      <c r="J2595" s="23"/>
      <c r="K2595" s="23"/>
      <c r="L2595" s="350"/>
      <c r="M2595" s="362"/>
      <c r="N2595" s="267">
        <f t="shared" si="635"/>
        <v>0</v>
      </c>
      <c r="O2595" s="268">
        <f t="shared" si="636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si="630"/>
        <v>0</v>
      </c>
      <c r="AD2595" s="196">
        <f t="shared" si="631"/>
        <v>0</v>
      </c>
      <c r="AE2595" s="196">
        <f t="shared" si="632"/>
        <v>0</v>
      </c>
      <c r="AF2595" s="2">
        <f t="shared" si="633"/>
        <v>0</v>
      </c>
      <c r="AG2595" s="2">
        <f t="shared" si="634"/>
        <v>0</v>
      </c>
    </row>
    <row r="2596" spans="1:33">
      <c r="A2596" s="20" t="s">
        <v>2414</v>
      </c>
      <c r="B2596" s="161"/>
      <c r="C2596" s="21" t="s">
        <v>487</v>
      </c>
      <c r="D2596" s="109" t="s">
        <v>13438</v>
      </c>
      <c r="E2596" s="109"/>
      <c r="F2596" s="391" t="s">
        <v>15641</v>
      </c>
      <c r="G2596" s="23"/>
      <c r="H2596" s="23"/>
      <c r="I2596" s="23"/>
      <c r="J2596" s="23"/>
      <c r="K2596" s="23"/>
      <c r="L2596" s="350"/>
      <c r="M2596" s="351"/>
      <c r="N2596" s="267">
        <f t="shared" si="635"/>
        <v>0</v>
      </c>
      <c r="O2596" s="268">
        <f t="shared" si="636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79"/>
      <c r="AB2596" s="238"/>
      <c r="AC2596" s="196">
        <f t="shared" si="630"/>
        <v>0</v>
      </c>
      <c r="AD2596" s="196">
        <f t="shared" si="631"/>
        <v>0</v>
      </c>
      <c r="AE2596" s="196">
        <f t="shared" si="632"/>
        <v>0</v>
      </c>
      <c r="AF2596" s="2">
        <f t="shared" si="633"/>
        <v>0</v>
      </c>
      <c r="AG2596" s="2">
        <f t="shared" si="634"/>
        <v>0</v>
      </c>
    </row>
    <row r="2597" spans="1:33">
      <c r="A2597" s="20" t="s">
        <v>2421</v>
      </c>
      <c r="B2597" s="161"/>
      <c r="C2597" s="21" t="s">
        <v>488</v>
      </c>
      <c r="D2597" s="109" t="s">
        <v>13949</v>
      </c>
      <c r="E2597" s="109"/>
      <c r="F2597" s="391" t="s">
        <v>15642</v>
      </c>
      <c r="G2597" s="23" t="s">
        <v>14822</v>
      </c>
      <c r="H2597" s="23"/>
      <c r="I2597" s="23"/>
      <c r="J2597" s="23"/>
      <c r="K2597" s="23"/>
      <c r="L2597" s="350"/>
      <c r="M2597" s="351"/>
      <c r="N2597" s="267">
        <f t="shared" si="635"/>
        <v>0</v>
      </c>
      <c r="O2597" s="268">
        <f t="shared" si="636"/>
        <v>0</v>
      </c>
      <c r="P2597" s="239"/>
      <c r="Q2597" s="239"/>
      <c r="R2597" s="239"/>
      <c r="S2597" s="239"/>
      <c r="T2597" s="239"/>
      <c r="U2597" s="240"/>
      <c r="V2597" s="240"/>
      <c r="W2597" s="240"/>
      <c r="X2597" s="278"/>
      <c r="Y2597" s="237"/>
      <c r="Z2597" s="237"/>
      <c r="AA2597" s="279"/>
      <c r="AB2597" s="238"/>
      <c r="AC2597" s="196">
        <f t="shared" ref="AC2597:AC2660" si="641">SUM(P2597:AA2597)</f>
        <v>0</v>
      </c>
      <c r="AD2597" s="196">
        <f t="shared" ref="AD2597:AD2660" si="642">SUM(P2597:AB2597)</f>
        <v>0</v>
      </c>
      <c r="AE2597" s="196">
        <f t="shared" ref="AE2597:AE2660" si="643">SUM(AC2597-AD2597)</f>
        <v>0</v>
      </c>
      <c r="AF2597" s="2">
        <f t="shared" ref="AF2597:AF2660" si="644">+AC2597</f>
        <v>0</v>
      </c>
      <c r="AG2597" s="2">
        <f t="shared" ref="AG2597:AG2660" si="645">+AC2597-AF2597</f>
        <v>0</v>
      </c>
    </row>
    <row r="2598" spans="1:33">
      <c r="A2598" s="20" t="s">
        <v>2415</v>
      </c>
      <c r="B2598" s="161"/>
      <c r="C2598" s="21" t="s">
        <v>488</v>
      </c>
      <c r="D2598" s="109" t="s">
        <v>13655</v>
      </c>
      <c r="E2598" s="109"/>
      <c r="F2598" s="391" t="s">
        <v>15643</v>
      </c>
      <c r="G2598" s="23" t="s">
        <v>13682</v>
      </c>
      <c r="H2598" s="23"/>
      <c r="I2598" s="23"/>
      <c r="J2598" s="23"/>
      <c r="K2598" s="23"/>
      <c r="L2598" s="350"/>
      <c r="M2598" s="351"/>
      <c r="N2598" s="267">
        <f t="shared" si="635"/>
        <v>0</v>
      </c>
      <c r="O2598" s="268">
        <f t="shared" si="636"/>
        <v>0</v>
      </c>
      <c r="P2598" s="239"/>
      <c r="Q2598" s="239"/>
      <c r="R2598" s="239"/>
      <c r="S2598" s="239"/>
      <c r="T2598" s="239"/>
      <c r="U2598" s="240"/>
      <c r="V2598" s="240"/>
      <c r="W2598" s="240"/>
      <c r="X2598" s="278"/>
      <c r="Y2598" s="237"/>
      <c r="Z2598" s="237"/>
      <c r="AA2598" s="285"/>
      <c r="AB2598" s="238"/>
      <c r="AC2598" s="196">
        <f t="shared" si="641"/>
        <v>0</v>
      </c>
      <c r="AD2598" s="196">
        <f t="shared" si="642"/>
        <v>0</v>
      </c>
      <c r="AE2598" s="196">
        <f t="shared" si="643"/>
        <v>0</v>
      </c>
      <c r="AF2598" s="2">
        <f t="shared" si="644"/>
        <v>0</v>
      </c>
      <c r="AG2598" s="2">
        <f t="shared" si="645"/>
        <v>0</v>
      </c>
    </row>
    <row r="2599" spans="1:33">
      <c r="A2599" s="20" t="s">
        <v>2416</v>
      </c>
      <c r="B2599" s="150"/>
      <c r="C2599" s="21" t="s">
        <v>489</v>
      </c>
      <c r="D2599" s="109" t="s">
        <v>14591</v>
      </c>
      <c r="E2599" s="452" t="s">
        <v>25705</v>
      </c>
      <c r="F2599" s="391" t="s">
        <v>17394</v>
      </c>
      <c r="G2599" s="23" t="s">
        <v>13540</v>
      </c>
      <c r="H2599" s="23" t="s">
        <v>15644</v>
      </c>
      <c r="I2599" s="23" t="s">
        <v>15645</v>
      </c>
      <c r="J2599" s="23"/>
      <c r="K2599" s="23"/>
      <c r="L2599" s="375" t="s">
        <v>27815</v>
      </c>
      <c r="M2599" s="351" t="s">
        <v>45</v>
      </c>
      <c r="N2599" s="267">
        <f t="shared" si="635"/>
        <v>0</v>
      </c>
      <c r="O2599" s="268">
        <f t="shared" si="636"/>
        <v>2700</v>
      </c>
      <c r="P2599" s="239"/>
      <c r="Q2599" s="239"/>
      <c r="R2599" s="237"/>
      <c r="S2599" s="239"/>
      <c r="T2599" s="239"/>
      <c r="U2599" s="239"/>
      <c r="V2599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3100+2800-3300-500-800+1700+2300-2400-500+700+4000-4800+1700+400+2900+2700-100-4200-100-3600-200+2700-100+2000-3600-300-500-300+3000+5000-4000-600-500+3800+400-3000-5000-500+1200-500+2700-300-500+2200+2600-4800+3000+2500-3600+3400+2500-3600-4800-2000+3500+1300-2400</f>
        <v>2700</v>
      </c>
      <c r="W2599" s="240"/>
      <c r="X2599" s="278"/>
      <c r="Y2599" s="237"/>
      <c r="Z2599" s="237"/>
      <c r="AA2599" s="279"/>
      <c r="AB2599" s="238" t="s">
        <v>27805</v>
      </c>
      <c r="AC2599" s="196">
        <f t="shared" si="641"/>
        <v>2700</v>
      </c>
      <c r="AD2599" s="196">
        <f t="shared" si="642"/>
        <v>2700</v>
      </c>
      <c r="AE2599" s="196">
        <f t="shared" si="643"/>
        <v>0</v>
      </c>
      <c r="AF2599" s="2">
        <f t="shared" si="644"/>
        <v>2700</v>
      </c>
      <c r="AG2599" s="2">
        <f t="shared" si="645"/>
        <v>0</v>
      </c>
    </row>
    <row r="2600" spans="1:33">
      <c r="A2600" s="20" t="s">
        <v>27068</v>
      </c>
      <c r="B2600" s="150"/>
      <c r="C2600" s="21" t="s">
        <v>489</v>
      </c>
      <c r="D2600" s="109" t="s">
        <v>4070</v>
      </c>
      <c r="E2600" s="452" t="s">
        <v>25706</v>
      </c>
      <c r="F2600" s="391" t="s">
        <v>25704</v>
      </c>
      <c r="G2600" s="23" t="s">
        <v>5333</v>
      </c>
      <c r="H2600" s="23" t="s">
        <v>24883</v>
      </c>
      <c r="I2600" s="23" t="s">
        <v>25703</v>
      </c>
      <c r="J2600" s="23"/>
      <c r="K2600" s="23"/>
      <c r="L2600" s="375"/>
      <c r="M2600" s="351"/>
      <c r="N2600" s="267">
        <f t="shared" ref="N2600" si="646">SUM(L2600:M2600)</f>
        <v>0</v>
      </c>
      <c r="O2600" s="268">
        <f t="shared" ref="O2600" si="647">SUM(P2600:Z2600)</f>
        <v>0</v>
      </c>
      <c r="P2600" s="239"/>
      <c r="Q2600" s="239"/>
      <c r="R2600" s="243"/>
      <c r="S2600" s="239"/>
      <c r="T2600" s="239"/>
      <c r="U2600" s="239"/>
      <c r="V2600" s="239"/>
      <c r="W2600" s="240"/>
      <c r="X2600" s="278"/>
      <c r="Y2600" s="237"/>
      <c r="Z2600" s="237"/>
      <c r="AA2600" s="279"/>
      <c r="AB2600" s="238"/>
      <c r="AC2600" s="196">
        <f t="shared" si="641"/>
        <v>0</v>
      </c>
      <c r="AD2600" s="196">
        <f t="shared" si="642"/>
        <v>0</v>
      </c>
      <c r="AE2600" s="196">
        <f t="shared" si="643"/>
        <v>0</v>
      </c>
      <c r="AF2600" s="2">
        <f t="shared" si="644"/>
        <v>0</v>
      </c>
      <c r="AG2600" s="2">
        <f t="shared" si="645"/>
        <v>0</v>
      </c>
    </row>
    <row r="2601" spans="1:33">
      <c r="A2601" s="20" t="s">
        <v>6851</v>
      </c>
      <c r="B2601" s="156" t="s">
        <v>15646</v>
      </c>
      <c r="C2601" s="21" t="s">
        <v>491</v>
      </c>
      <c r="D2601" s="109" t="s">
        <v>13553</v>
      </c>
      <c r="E2601" s="109"/>
      <c r="F2601" s="391" t="s">
        <v>15647</v>
      </c>
      <c r="G2601" s="23" t="s">
        <v>14862</v>
      </c>
      <c r="H2601" s="23" t="s">
        <v>17522</v>
      </c>
      <c r="I2601" s="23" t="s">
        <v>21269</v>
      </c>
      <c r="J2601" s="23"/>
      <c r="K2601" s="23"/>
      <c r="L2601" s="375" t="s">
        <v>7787</v>
      </c>
      <c r="M2601" s="351" t="s">
        <v>7787</v>
      </c>
      <c r="N2601" s="267">
        <f t="shared" si="635"/>
        <v>0</v>
      </c>
      <c r="O2601" s="268">
        <f t="shared" si="636"/>
        <v>0</v>
      </c>
      <c r="P2601" s="239"/>
      <c r="Q2601" s="239"/>
      <c r="R2601" s="248"/>
      <c r="S2601" s="239"/>
      <c r="T2601" s="239"/>
      <c r="U2601" s="240"/>
      <c r="V2601" s="240"/>
      <c r="W2601" s="240"/>
      <c r="X2601" s="278"/>
      <c r="Y2601" s="237"/>
      <c r="Z2601" s="237"/>
      <c r="AA2601" s="237"/>
      <c r="AB2601" s="238"/>
      <c r="AC2601" s="196">
        <f t="shared" si="641"/>
        <v>0</v>
      </c>
      <c r="AD2601" s="196">
        <f t="shared" si="642"/>
        <v>0</v>
      </c>
      <c r="AE2601" s="196">
        <f t="shared" si="643"/>
        <v>0</v>
      </c>
      <c r="AF2601" s="2">
        <f t="shared" si="644"/>
        <v>0</v>
      </c>
      <c r="AG2601" s="2">
        <f t="shared" si="645"/>
        <v>0</v>
      </c>
    </row>
    <row r="2602" spans="1:33">
      <c r="A2602" s="20" t="s">
        <v>8979</v>
      </c>
      <c r="B2602" s="156"/>
      <c r="C2602" s="21" t="s">
        <v>491</v>
      </c>
      <c r="D2602" s="109" t="s">
        <v>14591</v>
      </c>
      <c r="E2602" s="109"/>
      <c r="F2602" s="391" t="s">
        <v>15648</v>
      </c>
      <c r="G2602" s="23" t="s">
        <v>14907</v>
      </c>
      <c r="H2602" s="23"/>
      <c r="I2602" s="23"/>
      <c r="J2602" s="23"/>
      <c r="K2602" s="23"/>
      <c r="L2602" s="350"/>
      <c r="M2602" s="351" t="s">
        <v>7787</v>
      </c>
      <c r="N2602" s="267">
        <f t="shared" si="635"/>
        <v>0</v>
      </c>
      <c r="O2602" s="268">
        <f t="shared" si="636"/>
        <v>0</v>
      </c>
      <c r="P2602" s="239"/>
      <c r="Q2602" s="248"/>
      <c r="R2602" s="248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41"/>
        <v>0</v>
      </c>
      <c r="AD2602" s="196">
        <f t="shared" si="642"/>
        <v>0</v>
      </c>
      <c r="AE2602" s="196">
        <f t="shared" si="643"/>
        <v>0</v>
      </c>
      <c r="AF2602" s="2">
        <f t="shared" si="644"/>
        <v>0</v>
      </c>
      <c r="AG2602" s="2">
        <f t="shared" si="645"/>
        <v>0</v>
      </c>
    </row>
    <row r="2603" spans="1:33">
      <c r="A2603" s="20" t="s">
        <v>2422</v>
      </c>
      <c r="B2603" s="161"/>
      <c r="C2603" s="21" t="s">
        <v>491</v>
      </c>
      <c r="D2603" s="109" t="s">
        <v>13715</v>
      </c>
      <c r="E2603" s="109"/>
      <c r="F2603" s="391" t="s">
        <v>15649</v>
      </c>
      <c r="G2603" s="23" t="s">
        <v>15650</v>
      </c>
      <c r="H2603" s="23"/>
      <c r="I2603" s="23"/>
      <c r="J2603" s="23"/>
      <c r="K2603" s="23"/>
      <c r="L2603" s="350"/>
      <c r="M2603" s="351"/>
      <c r="N2603" s="267">
        <f t="shared" si="635"/>
        <v>0</v>
      </c>
      <c r="O2603" s="268">
        <f t="shared" si="636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41"/>
        <v>0</v>
      </c>
      <c r="AD2603" s="196">
        <f t="shared" si="642"/>
        <v>0</v>
      </c>
      <c r="AE2603" s="196">
        <f t="shared" si="643"/>
        <v>0</v>
      </c>
      <c r="AF2603" s="2">
        <f t="shared" si="644"/>
        <v>0</v>
      </c>
      <c r="AG2603" s="2">
        <f t="shared" si="645"/>
        <v>0</v>
      </c>
    </row>
    <row r="2604" spans="1:33">
      <c r="A2604" s="20" t="s">
        <v>2417</v>
      </c>
      <c r="B2604" s="161"/>
      <c r="C2604" s="21" t="s">
        <v>5953</v>
      </c>
      <c r="D2604" s="109" t="s">
        <v>13551</v>
      </c>
      <c r="E2604" s="109"/>
      <c r="F2604" s="391" t="s">
        <v>15651</v>
      </c>
      <c r="G2604" s="23"/>
      <c r="H2604" s="23"/>
      <c r="I2604" s="23"/>
      <c r="J2604" s="23"/>
      <c r="K2604" s="23"/>
      <c r="L2604" s="350"/>
      <c r="M2604" s="351"/>
      <c r="N2604" s="267">
        <f t="shared" si="635"/>
        <v>0</v>
      </c>
      <c r="O2604" s="268">
        <f t="shared" si="636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41"/>
        <v>0</v>
      </c>
      <c r="AD2604" s="196">
        <f t="shared" si="642"/>
        <v>0</v>
      </c>
      <c r="AE2604" s="196">
        <f t="shared" si="643"/>
        <v>0</v>
      </c>
      <c r="AF2604" s="2">
        <f t="shared" si="644"/>
        <v>0</v>
      </c>
      <c r="AG2604" s="2">
        <f t="shared" si="645"/>
        <v>0</v>
      </c>
    </row>
    <row r="2605" spans="1:33">
      <c r="A2605" s="20" t="s">
        <v>2420</v>
      </c>
      <c r="B2605" s="161"/>
      <c r="C2605" s="21" t="s">
        <v>490</v>
      </c>
      <c r="D2605" s="109" t="s">
        <v>13343</v>
      </c>
      <c r="E2605" s="109" t="s">
        <v>13608</v>
      </c>
      <c r="F2605" s="391" t="s">
        <v>15651</v>
      </c>
      <c r="G2605" s="23"/>
      <c r="H2605" s="23"/>
      <c r="I2605" s="23"/>
      <c r="J2605" s="23"/>
      <c r="K2605" s="23"/>
      <c r="L2605" s="350"/>
      <c r="M2605" s="351"/>
      <c r="N2605" s="267">
        <f t="shared" si="635"/>
        <v>0</v>
      </c>
      <c r="O2605" s="268">
        <f t="shared" si="636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41"/>
        <v>0</v>
      </c>
      <c r="AD2605" s="196">
        <f t="shared" si="642"/>
        <v>0</v>
      </c>
      <c r="AE2605" s="196">
        <f t="shared" si="643"/>
        <v>0</v>
      </c>
      <c r="AF2605" s="2">
        <f t="shared" si="644"/>
        <v>0</v>
      </c>
      <c r="AG2605" s="2">
        <f t="shared" si="645"/>
        <v>0</v>
      </c>
    </row>
    <row r="2606" spans="1:33">
      <c r="A2606" s="20" t="s">
        <v>2419</v>
      </c>
      <c r="B2606" s="161"/>
      <c r="C2606" s="21" t="s">
        <v>490</v>
      </c>
      <c r="D2606" s="109" t="s">
        <v>13422</v>
      </c>
      <c r="E2606" s="109" t="s">
        <v>13611</v>
      </c>
      <c r="F2606" s="391" t="s">
        <v>15652</v>
      </c>
      <c r="G2606" s="23"/>
      <c r="H2606" s="23"/>
      <c r="I2606" s="23"/>
      <c r="J2606" s="23"/>
      <c r="K2606" s="23"/>
      <c r="L2606" s="350"/>
      <c r="M2606" s="351"/>
      <c r="N2606" s="267">
        <f t="shared" si="635"/>
        <v>0</v>
      </c>
      <c r="O2606" s="268">
        <f t="shared" si="636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41"/>
        <v>0</v>
      </c>
      <c r="AD2606" s="196">
        <f t="shared" si="642"/>
        <v>0</v>
      </c>
      <c r="AE2606" s="196">
        <f t="shared" si="643"/>
        <v>0</v>
      </c>
      <c r="AF2606" s="2">
        <f t="shared" si="644"/>
        <v>0</v>
      </c>
      <c r="AG2606" s="2">
        <f t="shared" si="645"/>
        <v>0</v>
      </c>
    </row>
    <row r="2607" spans="1:33">
      <c r="A2607" s="20" t="s">
        <v>2418</v>
      </c>
      <c r="B2607" s="150"/>
      <c r="C2607" s="21" t="s">
        <v>490</v>
      </c>
      <c r="D2607" s="109" t="s">
        <v>13612</v>
      </c>
      <c r="E2607" s="109" t="s">
        <v>15122</v>
      </c>
      <c r="F2607" s="391" t="s">
        <v>15653</v>
      </c>
      <c r="G2607" s="23"/>
      <c r="H2607" s="23"/>
      <c r="I2607" s="23"/>
      <c r="J2607" s="23"/>
      <c r="K2607" s="23"/>
      <c r="L2607" s="350"/>
      <c r="M2607" s="351"/>
      <c r="N2607" s="267">
        <f t="shared" si="635"/>
        <v>0</v>
      </c>
      <c r="O2607" s="268">
        <f t="shared" si="636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41"/>
        <v>0</v>
      </c>
      <c r="AD2607" s="196">
        <f t="shared" si="642"/>
        <v>0</v>
      </c>
      <c r="AE2607" s="196">
        <f t="shared" si="643"/>
        <v>0</v>
      </c>
      <c r="AF2607" s="2">
        <f t="shared" si="644"/>
        <v>0</v>
      </c>
      <c r="AG2607" s="2">
        <f t="shared" si="645"/>
        <v>0</v>
      </c>
    </row>
    <row r="2608" spans="1:33">
      <c r="A2608" s="20" t="s">
        <v>2423</v>
      </c>
      <c r="B2608" s="150"/>
      <c r="C2608" s="21" t="s">
        <v>492</v>
      </c>
      <c r="D2608" s="109" t="s">
        <v>15654</v>
      </c>
      <c r="E2608" s="109"/>
      <c r="F2608" s="391" t="s">
        <v>15655</v>
      </c>
      <c r="G2608" s="23" t="s">
        <v>15656</v>
      </c>
      <c r="H2608" s="23" t="s">
        <v>13711</v>
      </c>
      <c r="I2608" s="23"/>
      <c r="J2608" s="23"/>
      <c r="K2608" s="23"/>
      <c r="L2608" s="361"/>
      <c r="M2608" s="351"/>
      <c r="N2608" s="267">
        <f t="shared" si="635"/>
        <v>0</v>
      </c>
      <c r="O2608" s="268">
        <f t="shared" si="636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41"/>
        <v>0</v>
      </c>
      <c r="AD2608" s="196">
        <f t="shared" si="642"/>
        <v>0</v>
      </c>
      <c r="AE2608" s="196">
        <f t="shared" si="643"/>
        <v>0</v>
      </c>
      <c r="AF2608" s="2">
        <f t="shared" si="644"/>
        <v>0</v>
      </c>
      <c r="AG2608" s="2">
        <f t="shared" si="645"/>
        <v>0</v>
      </c>
    </row>
    <row r="2609" spans="1:33">
      <c r="A2609" s="20" t="s">
        <v>2424</v>
      </c>
      <c r="B2609" s="150"/>
      <c r="C2609" s="21" t="s">
        <v>492</v>
      </c>
      <c r="D2609" s="109" t="s">
        <v>13441</v>
      </c>
      <c r="E2609" s="109"/>
      <c r="F2609" s="391" t="s">
        <v>15655</v>
      </c>
      <c r="G2609" s="23"/>
      <c r="H2609" s="23"/>
      <c r="I2609" s="23"/>
      <c r="J2609" s="23"/>
      <c r="K2609" s="23"/>
      <c r="L2609" s="350"/>
      <c r="M2609" s="351"/>
      <c r="N2609" s="267">
        <f t="shared" si="635"/>
        <v>0</v>
      </c>
      <c r="O2609" s="268">
        <f t="shared" si="636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41"/>
        <v>0</v>
      </c>
      <c r="AD2609" s="196">
        <f t="shared" si="642"/>
        <v>0</v>
      </c>
      <c r="AE2609" s="196">
        <f t="shared" si="643"/>
        <v>0</v>
      </c>
      <c r="AF2609" s="2">
        <f t="shared" si="644"/>
        <v>0</v>
      </c>
      <c r="AG2609" s="2">
        <f t="shared" si="645"/>
        <v>0</v>
      </c>
    </row>
    <row r="2610" spans="1:33">
      <c r="A2610" s="20" t="s">
        <v>2426</v>
      </c>
      <c r="B2610" s="161"/>
      <c r="C2610" s="21" t="s">
        <v>493</v>
      </c>
      <c r="D2610" s="109" t="s">
        <v>13760</v>
      </c>
      <c r="E2610" s="109" t="s">
        <v>13627</v>
      </c>
      <c r="F2610" s="391" t="s">
        <v>15657</v>
      </c>
      <c r="G2610" s="23" t="s">
        <v>13421</v>
      </c>
      <c r="H2610" s="23"/>
      <c r="I2610" s="23"/>
      <c r="J2610" s="23"/>
      <c r="K2610" s="23"/>
      <c r="L2610" s="350"/>
      <c r="M2610" s="351"/>
      <c r="N2610" s="267">
        <f t="shared" si="635"/>
        <v>0</v>
      </c>
      <c r="O2610" s="268">
        <f t="shared" si="636"/>
        <v>0</v>
      </c>
      <c r="P2610" s="239"/>
      <c r="Q2610" s="239"/>
      <c r="R2610" s="239"/>
      <c r="S2610" s="239"/>
      <c r="T2610" s="239"/>
      <c r="U2610" s="240"/>
      <c r="V2610" s="240"/>
      <c r="W2610" s="240"/>
      <c r="X2610" s="278"/>
      <c r="Y2610" s="237"/>
      <c r="Z2610" s="237"/>
      <c r="AA2610" s="279"/>
      <c r="AB2610" s="238"/>
      <c r="AC2610" s="196">
        <f t="shared" si="641"/>
        <v>0</v>
      </c>
      <c r="AD2610" s="196">
        <f t="shared" si="642"/>
        <v>0</v>
      </c>
      <c r="AE2610" s="196">
        <f t="shared" si="643"/>
        <v>0</v>
      </c>
      <c r="AF2610" s="2">
        <f t="shared" si="644"/>
        <v>0</v>
      </c>
      <c r="AG2610" s="2">
        <f t="shared" si="645"/>
        <v>0</v>
      </c>
    </row>
    <row r="2611" spans="1:33">
      <c r="A2611" s="20" t="s">
        <v>2425</v>
      </c>
      <c r="B2611" s="150"/>
      <c r="C2611" s="21" t="s">
        <v>493</v>
      </c>
      <c r="D2611" s="109" t="s">
        <v>15658</v>
      </c>
      <c r="E2611" s="109"/>
      <c r="F2611" s="391" t="s">
        <v>15659</v>
      </c>
      <c r="G2611" s="23" t="s">
        <v>15632</v>
      </c>
      <c r="H2611" s="23"/>
      <c r="I2611" s="23"/>
      <c r="J2611" s="23"/>
      <c r="K2611" s="23"/>
      <c r="L2611" s="350"/>
      <c r="M2611" s="351"/>
      <c r="N2611" s="267">
        <f t="shared" si="635"/>
        <v>0</v>
      </c>
      <c r="O2611" s="268">
        <f t="shared" si="636"/>
        <v>0</v>
      </c>
      <c r="P2611" s="239"/>
      <c r="Q2611" s="239"/>
      <c r="R2611" s="239"/>
      <c r="S2611" s="239"/>
      <c r="T2611" s="239"/>
      <c r="U2611" s="240"/>
      <c r="V2611" s="240"/>
      <c r="W2611" s="240"/>
      <c r="X2611" s="278"/>
      <c r="Y2611" s="237"/>
      <c r="Z2611" s="237"/>
      <c r="AA2611" s="279"/>
      <c r="AB2611" s="238"/>
      <c r="AC2611" s="196">
        <f t="shared" si="641"/>
        <v>0</v>
      </c>
      <c r="AD2611" s="196">
        <f t="shared" si="642"/>
        <v>0</v>
      </c>
      <c r="AE2611" s="196">
        <f t="shared" si="643"/>
        <v>0</v>
      </c>
      <c r="AF2611" s="2">
        <f t="shared" si="644"/>
        <v>0</v>
      </c>
      <c r="AG2611" s="2">
        <f t="shared" si="645"/>
        <v>0</v>
      </c>
    </row>
    <row r="2612" spans="1:33">
      <c r="A2612" s="20" t="s">
        <v>2427</v>
      </c>
      <c r="B2612" s="156" t="s">
        <v>15660</v>
      </c>
      <c r="C2612" s="21" t="s">
        <v>494</v>
      </c>
      <c r="D2612" s="109" t="s">
        <v>15014</v>
      </c>
      <c r="E2612" s="109"/>
      <c r="F2612" s="391" t="s">
        <v>15661</v>
      </c>
      <c r="G2612" s="23" t="s">
        <v>15662</v>
      </c>
      <c r="H2612" s="23" t="s">
        <v>15663</v>
      </c>
      <c r="I2612" s="23"/>
      <c r="J2612" s="23"/>
      <c r="K2612" s="23"/>
      <c r="L2612" s="375"/>
      <c r="M2612" s="351" t="s">
        <v>45</v>
      </c>
      <c r="N2612" s="267">
        <f t="shared" si="635"/>
        <v>0</v>
      </c>
      <c r="O2612" s="268">
        <f t="shared" si="636"/>
        <v>3800</v>
      </c>
      <c r="P2612" s="239"/>
      <c r="Q2612" s="239"/>
      <c r="R2612" s="239"/>
      <c r="S2612" s="239"/>
      <c r="T2612" s="239"/>
      <c r="U2612" s="240">
        <f>1000-700+1800+1600-2300+800-1000-1000+2100-1000-1000+2200+1800-3000-200-500+500+2800+500-2700-100-200+1200+600-2000+4000+2000-2700-100-100-200-100-200</f>
        <v>3800</v>
      </c>
      <c r="V2612" s="240"/>
      <c r="W2612" s="240"/>
      <c r="X2612" s="278"/>
      <c r="Y2612" s="240"/>
      <c r="Z2612" s="237"/>
      <c r="AA2612" s="279"/>
      <c r="AB2612" s="254" t="s">
        <v>25342</v>
      </c>
      <c r="AC2612" s="196">
        <f t="shared" si="641"/>
        <v>3800</v>
      </c>
      <c r="AD2612" s="196">
        <f t="shared" si="642"/>
        <v>3800</v>
      </c>
      <c r="AE2612" s="196">
        <f t="shared" si="643"/>
        <v>0</v>
      </c>
      <c r="AF2612" s="2">
        <f t="shared" si="644"/>
        <v>3800</v>
      </c>
      <c r="AG2612" s="2">
        <f t="shared" si="645"/>
        <v>0</v>
      </c>
    </row>
    <row r="2613" spans="1:33">
      <c r="A2613" s="20" t="s">
        <v>2428</v>
      </c>
      <c r="B2613" s="150"/>
      <c r="C2613" s="21" t="s">
        <v>495</v>
      </c>
      <c r="D2613" s="109" t="s">
        <v>13472</v>
      </c>
      <c r="E2613" s="109" t="s">
        <v>13258</v>
      </c>
      <c r="F2613" s="391" t="s">
        <v>15664</v>
      </c>
      <c r="G2613" s="23" t="s">
        <v>19357</v>
      </c>
      <c r="H2613" s="23"/>
      <c r="I2613" s="23"/>
      <c r="J2613" s="23"/>
      <c r="K2613" s="23"/>
      <c r="L2613" s="375" t="s">
        <v>7787</v>
      </c>
      <c r="M2613" s="351" t="s">
        <v>7787</v>
      </c>
      <c r="N2613" s="267">
        <f t="shared" si="635"/>
        <v>0</v>
      </c>
      <c r="O2613" s="268">
        <f t="shared" si="636"/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41"/>
        <v>0</v>
      </c>
      <c r="AD2613" s="196">
        <f t="shared" si="642"/>
        <v>0</v>
      </c>
      <c r="AE2613" s="196">
        <f t="shared" si="643"/>
        <v>0</v>
      </c>
      <c r="AF2613" s="2">
        <f t="shared" si="644"/>
        <v>0</v>
      </c>
      <c r="AG2613" s="2">
        <f t="shared" si="645"/>
        <v>0</v>
      </c>
    </row>
    <row r="2614" spans="1:33">
      <c r="A2614" s="20" t="s">
        <v>19918</v>
      </c>
      <c r="B2614" s="150"/>
      <c r="C2614" s="21" t="s">
        <v>495</v>
      </c>
      <c r="D2614" s="109" t="s">
        <v>3091</v>
      </c>
      <c r="E2614" s="109" t="s">
        <v>19356</v>
      </c>
      <c r="F2614" s="391" t="s">
        <v>4959</v>
      </c>
      <c r="G2614" s="23" t="s">
        <v>19357</v>
      </c>
      <c r="H2614" s="23"/>
      <c r="I2614" s="23"/>
      <c r="J2614" s="23"/>
      <c r="K2614" s="23"/>
      <c r="L2614" s="375" t="s">
        <v>7787</v>
      </c>
      <c r="M2614" s="351" t="s">
        <v>7787</v>
      </c>
      <c r="N2614" s="267">
        <f t="shared" si="635"/>
        <v>0</v>
      </c>
      <c r="O2614" s="268">
        <f t="shared" si="636"/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41"/>
        <v>0</v>
      </c>
      <c r="AD2614" s="196">
        <f t="shared" si="642"/>
        <v>0</v>
      </c>
      <c r="AE2614" s="196">
        <f t="shared" si="643"/>
        <v>0</v>
      </c>
      <c r="AF2614" s="2">
        <f t="shared" si="644"/>
        <v>0</v>
      </c>
      <c r="AG2614" s="2">
        <f t="shared" si="645"/>
        <v>0</v>
      </c>
    </row>
    <row r="2615" spans="1:33">
      <c r="A2615" s="20" t="s">
        <v>2429</v>
      </c>
      <c r="B2615" s="150"/>
      <c r="C2615" s="21" t="s">
        <v>495</v>
      </c>
      <c r="D2615" s="109" t="s">
        <v>13553</v>
      </c>
      <c r="E2615" s="109"/>
      <c r="F2615" s="391" t="s">
        <v>15665</v>
      </c>
      <c r="G2615" s="23" t="s">
        <v>7492</v>
      </c>
      <c r="H2615" s="23" t="s">
        <v>13810</v>
      </c>
      <c r="I2615" s="23"/>
      <c r="J2615" s="23"/>
      <c r="K2615" s="23"/>
      <c r="L2615" s="375" t="s">
        <v>7787</v>
      </c>
      <c r="M2615" s="351" t="s">
        <v>7787</v>
      </c>
      <c r="N2615" s="267">
        <f t="shared" ref="N2615:N2678" si="648">SUM(L2615:M2615)</f>
        <v>0</v>
      </c>
      <c r="O2615" s="268">
        <f t="shared" ref="O2615:O2678" si="649">SUM(P2615:Z2615)</f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41"/>
        <v>0</v>
      </c>
      <c r="AD2615" s="196">
        <f t="shared" si="642"/>
        <v>0</v>
      </c>
      <c r="AE2615" s="196">
        <f t="shared" si="643"/>
        <v>0</v>
      </c>
      <c r="AF2615" s="2">
        <f t="shared" si="644"/>
        <v>0</v>
      </c>
      <c r="AG2615" s="2">
        <f t="shared" si="645"/>
        <v>0</v>
      </c>
    </row>
    <row r="2616" spans="1:33">
      <c r="A2616" s="20" t="s">
        <v>2430</v>
      </c>
      <c r="B2616" s="156" t="s">
        <v>15666</v>
      </c>
      <c r="C2616" s="21" t="s">
        <v>496</v>
      </c>
      <c r="D2616" s="109" t="s">
        <v>15667</v>
      </c>
      <c r="E2616" s="109"/>
      <c r="F2616" s="391" t="s">
        <v>15668</v>
      </c>
      <c r="G2616" s="23" t="s">
        <v>15669</v>
      </c>
      <c r="H2616" s="23"/>
      <c r="I2616" s="23"/>
      <c r="J2616" s="23"/>
      <c r="K2616" s="23"/>
      <c r="L2616" s="375" t="s">
        <v>7787</v>
      </c>
      <c r="M2616" s="351" t="s">
        <v>7787</v>
      </c>
      <c r="N2616" s="267">
        <f t="shared" si="648"/>
        <v>0</v>
      </c>
      <c r="O2616" s="268">
        <f t="shared" si="649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41"/>
        <v>0</v>
      </c>
      <c r="AD2616" s="196">
        <f t="shared" si="642"/>
        <v>0</v>
      </c>
      <c r="AE2616" s="196">
        <f t="shared" si="643"/>
        <v>0</v>
      </c>
      <c r="AF2616" s="2">
        <f t="shared" si="644"/>
        <v>0</v>
      </c>
      <c r="AG2616" s="2">
        <f t="shared" si="645"/>
        <v>0</v>
      </c>
    </row>
    <row r="2617" spans="1:33">
      <c r="A2617" s="20" t="s">
        <v>12245</v>
      </c>
      <c r="B2617" s="156"/>
      <c r="C2617" s="21" t="s">
        <v>496</v>
      </c>
      <c r="D2617" s="109" t="s">
        <v>13500</v>
      </c>
      <c r="E2617" s="109"/>
      <c r="F2617" s="391" t="s">
        <v>15670</v>
      </c>
      <c r="G2617" s="23" t="s">
        <v>15091</v>
      </c>
      <c r="H2617" s="23"/>
      <c r="I2617" s="23"/>
      <c r="J2617" s="23"/>
      <c r="K2617" s="23"/>
      <c r="L2617" s="375" t="s">
        <v>7787</v>
      </c>
      <c r="M2617" s="351" t="s">
        <v>7787</v>
      </c>
      <c r="N2617" s="267">
        <f t="shared" si="648"/>
        <v>0</v>
      </c>
      <c r="O2617" s="268">
        <f t="shared" si="649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41"/>
        <v>0</v>
      </c>
      <c r="AD2617" s="196">
        <f t="shared" si="642"/>
        <v>0</v>
      </c>
      <c r="AE2617" s="196">
        <f t="shared" si="643"/>
        <v>0</v>
      </c>
      <c r="AF2617" s="2">
        <f t="shared" si="644"/>
        <v>0</v>
      </c>
      <c r="AG2617" s="2">
        <f t="shared" si="645"/>
        <v>0</v>
      </c>
    </row>
    <row r="2618" spans="1:33">
      <c r="A2618" s="20" t="s">
        <v>2431</v>
      </c>
      <c r="B2618" s="150"/>
      <c r="C2618" s="21" t="s">
        <v>497</v>
      </c>
      <c r="D2618" s="109" t="s">
        <v>13613</v>
      </c>
      <c r="E2618" s="109"/>
      <c r="F2618" s="391" t="s">
        <v>15671</v>
      </c>
      <c r="G2618" s="23" t="s">
        <v>24796</v>
      </c>
      <c r="H2618" s="23"/>
      <c r="I2618" s="23"/>
      <c r="J2618" s="23"/>
      <c r="K2618" s="23"/>
      <c r="L2618" s="375" t="s">
        <v>7787</v>
      </c>
      <c r="M2618" s="351"/>
      <c r="N2618" s="267">
        <f t="shared" si="648"/>
        <v>0</v>
      </c>
      <c r="O2618" s="268">
        <f t="shared" si="649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41"/>
        <v>0</v>
      </c>
      <c r="AD2618" s="196">
        <f t="shared" si="642"/>
        <v>0</v>
      </c>
      <c r="AE2618" s="196">
        <f t="shared" si="643"/>
        <v>0</v>
      </c>
      <c r="AF2618" s="2">
        <f t="shared" si="644"/>
        <v>0</v>
      </c>
      <c r="AG2618" s="2">
        <f t="shared" si="645"/>
        <v>0</v>
      </c>
    </row>
    <row r="2619" spans="1:33">
      <c r="A2619" s="20" t="s">
        <v>2434</v>
      </c>
      <c r="B2619" s="156" t="s">
        <v>15672</v>
      </c>
      <c r="C2619" s="21" t="s">
        <v>498</v>
      </c>
      <c r="D2619" s="109" t="s">
        <v>4066</v>
      </c>
      <c r="E2619" s="109" t="s">
        <v>13256</v>
      </c>
      <c r="F2619" s="391" t="s">
        <v>4962</v>
      </c>
      <c r="G2619" s="23" t="s">
        <v>5716</v>
      </c>
      <c r="H2619" s="23"/>
      <c r="I2619" s="23"/>
      <c r="J2619" s="23"/>
      <c r="K2619" s="23"/>
      <c r="L2619" s="350"/>
      <c r="M2619" s="370"/>
      <c r="N2619" s="267">
        <f t="shared" si="648"/>
        <v>0</v>
      </c>
      <c r="O2619" s="268">
        <f t="shared" si="649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41"/>
        <v>0</v>
      </c>
      <c r="AD2619" s="196">
        <f t="shared" si="642"/>
        <v>0</v>
      </c>
      <c r="AE2619" s="196">
        <f t="shared" si="643"/>
        <v>0</v>
      </c>
      <c r="AF2619" s="2">
        <f t="shared" si="644"/>
        <v>0</v>
      </c>
      <c r="AG2619" s="2">
        <f t="shared" si="645"/>
        <v>0</v>
      </c>
    </row>
    <row r="2620" spans="1:33">
      <c r="A2620" s="20" t="s">
        <v>2433</v>
      </c>
      <c r="B2620" s="156" t="s">
        <v>15673</v>
      </c>
      <c r="C2620" s="21" t="s">
        <v>498</v>
      </c>
      <c r="D2620" s="109" t="s">
        <v>4066</v>
      </c>
      <c r="E2620" s="109" t="s">
        <v>14600</v>
      </c>
      <c r="F2620" s="391" t="s">
        <v>4962</v>
      </c>
      <c r="G2620" s="23" t="s">
        <v>5716</v>
      </c>
      <c r="H2620" s="23"/>
      <c r="I2620" s="23"/>
      <c r="J2620" s="23"/>
      <c r="K2620" s="23"/>
      <c r="L2620" s="350"/>
      <c r="M2620" s="364"/>
      <c r="N2620" s="267">
        <f t="shared" si="648"/>
        <v>0</v>
      </c>
      <c r="O2620" s="268">
        <f t="shared" si="649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41"/>
        <v>0</v>
      </c>
      <c r="AD2620" s="196">
        <f t="shared" si="642"/>
        <v>0</v>
      </c>
      <c r="AE2620" s="196">
        <f t="shared" si="643"/>
        <v>0</v>
      </c>
      <c r="AF2620" s="2">
        <f t="shared" si="644"/>
        <v>0</v>
      </c>
      <c r="AG2620" s="2">
        <f t="shared" si="645"/>
        <v>0</v>
      </c>
    </row>
    <row r="2621" spans="1:33">
      <c r="A2621" s="20" t="s">
        <v>2432</v>
      </c>
      <c r="B2621" s="156" t="s">
        <v>15674</v>
      </c>
      <c r="C2621" s="21" t="s">
        <v>498</v>
      </c>
      <c r="D2621" s="109" t="s">
        <v>13612</v>
      </c>
      <c r="E2621" s="109" t="s">
        <v>13611</v>
      </c>
      <c r="F2621" s="391" t="s">
        <v>4962</v>
      </c>
      <c r="G2621" s="23" t="s">
        <v>15675</v>
      </c>
      <c r="H2621" s="23"/>
      <c r="I2621" s="23"/>
      <c r="J2621" s="23"/>
      <c r="K2621" s="23"/>
      <c r="L2621" s="350"/>
      <c r="M2621" s="364"/>
      <c r="N2621" s="267">
        <f t="shared" si="648"/>
        <v>0</v>
      </c>
      <c r="O2621" s="268">
        <f t="shared" si="649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41"/>
        <v>0</v>
      </c>
      <c r="AD2621" s="196">
        <f t="shared" si="642"/>
        <v>0</v>
      </c>
      <c r="AE2621" s="196">
        <f t="shared" si="643"/>
        <v>0</v>
      </c>
      <c r="AF2621" s="2">
        <f t="shared" si="644"/>
        <v>0</v>
      </c>
      <c r="AG2621" s="2">
        <f t="shared" si="645"/>
        <v>0</v>
      </c>
    </row>
    <row r="2622" spans="1:33">
      <c r="A2622" s="20" t="s">
        <v>2435</v>
      </c>
      <c r="B2622" s="150"/>
      <c r="C2622" s="21" t="s">
        <v>498</v>
      </c>
      <c r="D2622" s="109" t="s">
        <v>13613</v>
      </c>
      <c r="E2622" s="109"/>
      <c r="F2622" s="391" t="s">
        <v>15676</v>
      </c>
      <c r="G2622" s="23" t="s">
        <v>15675</v>
      </c>
      <c r="H2622" s="23"/>
      <c r="I2622" s="23"/>
      <c r="J2622" s="23"/>
      <c r="K2622" s="23"/>
      <c r="L2622" s="350"/>
      <c r="M2622" s="364"/>
      <c r="N2622" s="267">
        <f t="shared" si="648"/>
        <v>0</v>
      </c>
      <c r="O2622" s="268">
        <f t="shared" si="649"/>
        <v>0</v>
      </c>
      <c r="P2622" s="239"/>
      <c r="Q2622" s="239"/>
      <c r="R2622" s="239"/>
      <c r="S2622" s="239"/>
      <c r="T2622" s="239"/>
      <c r="U2622" s="240"/>
      <c r="V2622" s="240"/>
      <c r="W2622" s="240"/>
      <c r="X2622" s="278"/>
      <c r="Y2622" s="237"/>
      <c r="Z2622" s="237"/>
      <c r="AA2622" s="279"/>
      <c r="AB2622" s="238"/>
      <c r="AC2622" s="196">
        <f t="shared" si="641"/>
        <v>0</v>
      </c>
      <c r="AD2622" s="196">
        <f t="shared" si="642"/>
        <v>0</v>
      </c>
      <c r="AE2622" s="196">
        <f t="shared" si="643"/>
        <v>0</v>
      </c>
      <c r="AF2622" s="2">
        <f t="shared" si="644"/>
        <v>0</v>
      </c>
      <c r="AG2622" s="2">
        <f t="shared" si="645"/>
        <v>0</v>
      </c>
    </row>
    <row r="2623" spans="1:33">
      <c r="A2623" s="20" t="s">
        <v>2436</v>
      </c>
      <c r="B2623" s="151" t="s">
        <v>15677</v>
      </c>
      <c r="C2623" s="21" t="s">
        <v>498</v>
      </c>
      <c r="D2623" s="109" t="s">
        <v>15678</v>
      </c>
      <c r="E2623" s="109"/>
      <c r="F2623" s="391" t="s">
        <v>4962</v>
      </c>
      <c r="G2623" s="23" t="s">
        <v>5716</v>
      </c>
      <c r="H2623" s="23"/>
      <c r="I2623" s="23"/>
      <c r="J2623" s="23"/>
      <c r="K2623" s="23"/>
      <c r="L2623" s="350"/>
      <c r="M2623" s="364"/>
      <c r="N2623" s="267">
        <f t="shared" si="648"/>
        <v>0</v>
      </c>
      <c r="O2623" s="268">
        <f t="shared" si="649"/>
        <v>0</v>
      </c>
      <c r="P2623" s="239"/>
      <c r="Q2623" s="239"/>
      <c r="R2623" s="239"/>
      <c r="S2623" s="239"/>
      <c r="T2623" s="239"/>
      <c r="U2623" s="240"/>
      <c r="V2623" s="240"/>
      <c r="W2623" s="240"/>
      <c r="X2623" s="278"/>
      <c r="Y2623" s="237"/>
      <c r="Z2623" s="237"/>
      <c r="AA2623" s="279"/>
      <c r="AB2623" s="238"/>
      <c r="AC2623" s="196">
        <f t="shared" si="641"/>
        <v>0</v>
      </c>
      <c r="AD2623" s="196">
        <f t="shared" si="642"/>
        <v>0</v>
      </c>
      <c r="AE2623" s="196">
        <f t="shared" si="643"/>
        <v>0</v>
      </c>
      <c r="AF2623" s="2">
        <f t="shared" si="644"/>
        <v>0</v>
      </c>
      <c r="AG2623" s="2">
        <f t="shared" si="645"/>
        <v>0</v>
      </c>
    </row>
    <row r="2624" spans="1:33">
      <c r="A2624" s="20" t="s">
        <v>2437</v>
      </c>
      <c r="B2624" s="150"/>
      <c r="C2624" s="21" t="s">
        <v>15679</v>
      </c>
      <c r="D2624" s="109" t="s">
        <v>13293</v>
      </c>
      <c r="E2624" s="109"/>
      <c r="F2624" s="391" t="s">
        <v>15680</v>
      </c>
      <c r="G2624" s="23"/>
      <c r="H2624" s="23"/>
      <c r="I2624" s="23"/>
      <c r="J2624" s="23"/>
      <c r="K2624" s="23"/>
      <c r="L2624" s="350"/>
      <c r="M2624" s="351"/>
      <c r="N2624" s="267">
        <f t="shared" si="648"/>
        <v>0</v>
      </c>
      <c r="O2624" s="268">
        <f t="shared" si="649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41"/>
        <v>0</v>
      </c>
      <c r="AD2624" s="196">
        <f t="shared" si="642"/>
        <v>0</v>
      </c>
      <c r="AE2624" s="196">
        <f t="shared" si="643"/>
        <v>0</v>
      </c>
      <c r="AF2624" s="2">
        <f t="shared" si="644"/>
        <v>0</v>
      </c>
      <c r="AG2624" s="2">
        <f t="shared" si="645"/>
        <v>0</v>
      </c>
    </row>
    <row r="2625" spans="1:33">
      <c r="A2625" s="20" t="s">
        <v>2438</v>
      </c>
      <c r="B2625" s="150"/>
      <c r="C2625" s="21" t="s">
        <v>15681</v>
      </c>
      <c r="D2625" s="109" t="s">
        <v>15682</v>
      </c>
      <c r="E2625" s="109"/>
      <c r="F2625" s="391" t="s">
        <v>15683</v>
      </c>
      <c r="G2625" s="23"/>
      <c r="H2625" s="23"/>
      <c r="I2625" s="23"/>
      <c r="J2625" s="23"/>
      <c r="K2625" s="23"/>
      <c r="L2625" s="350"/>
      <c r="M2625" s="351"/>
      <c r="N2625" s="267">
        <f t="shared" si="648"/>
        <v>0</v>
      </c>
      <c r="O2625" s="268">
        <f t="shared" si="649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37"/>
      <c r="Z2625" s="237"/>
      <c r="AA2625" s="279"/>
      <c r="AB2625" s="238"/>
      <c r="AC2625" s="196">
        <f t="shared" si="641"/>
        <v>0</v>
      </c>
      <c r="AD2625" s="196">
        <f t="shared" si="642"/>
        <v>0</v>
      </c>
      <c r="AE2625" s="196">
        <f t="shared" si="643"/>
        <v>0</v>
      </c>
      <c r="AF2625" s="2">
        <f t="shared" si="644"/>
        <v>0</v>
      </c>
      <c r="AG2625" s="2">
        <f t="shared" si="645"/>
        <v>0</v>
      </c>
    </row>
    <row r="2626" spans="1:33">
      <c r="A2626" s="20" t="s">
        <v>2439</v>
      </c>
      <c r="B2626" s="161"/>
      <c r="C2626" s="21" t="s">
        <v>4965</v>
      </c>
      <c r="D2626" s="109" t="s">
        <v>15682</v>
      </c>
      <c r="E2626" s="109"/>
      <c r="F2626" s="391" t="s">
        <v>15683</v>
      </c>
      <c r="G2626" s="23"/>
      <c r="H2626" s="23"/>
      <c r="I2626" s="23"/>
      <c r="J2626" s="23"/>
      <c r="K2626" s="23"/>
      <c r="L2626" s="350"/>
      <c r="M2626" s="351"/>
      <c r="N2626" s="267">
        <f t="shared" si="648"/>
        <v>0</v>
      </c>
      <c r="O2626" s="268">
        <f t="shared" si="649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37"/>
      <c r="Z2626" s="237"/>
      <c r="AA2626" s="279"/>
      <c r="AB2626" s="238"/>
      <c r="AC2626" s="196">
        <f t="shared" si="641"/>
        <v>0</v>
      </c>
      <c r="AD2626" s="196">
        <f t="shared" si="642"/>
        <v>0</v>
      </c>
      <c r="AE2626" s="196">
        <f t="shared" si="643"/>
        <v>0</v>
      </c>
      <c r="AF2626" s="2">
        <f t="shared" si="644"/>
        <v>0</v>
      </c>
      <c r="AG2626" s="2">
        <f t="shared" si="645"/>
        <v>0</v>
      </c>
    </row>
    <row r="2627" spans="1:33">
      <c r="A2627" s="20" t="s">
        <v>2440</v>
      </c>
      <c r="B2627" s="150"/>
      <c r="C2627" s="21" t="s">
        <v>4965</v>
      </c>
      <c r="D2627" s="109" t="s">
        <v>15682</v>
      </c>
      <c r="E2627" s="109"/>
      <c r="F2627" s="391" t="s">
        <v>15684</v>
      </c>
      <c r="G2627" s="23"/>
      <c r="H2627" s="23"/>
      <c r="I2627" s="23"/>
      <c r="J2627" s="23"/>
      <c r="K2627" s="23"/>
      <c r="L2627" s="350"/>
      <c r="M2627" s="351"/>
      <c r="N2627" s="267">
        <f t="shared" si="648"/>
        <v>0</v>
      </c>
      <c r="O2627" s="268">
        <f t="shared" si="649"/>
        <v>0</v>
      </c>
      <c r="P2627" s="239"/>
      <c r="Q2627" s="239"/>
      <c r="R2627" s="239"/>
      <c r="S2627" s="239"/>
      <c r="T2627" s="239"/>
      <c r="U2627" s="240">
        <v>0</v>
      </c>
      <c r="V2627" s="240"/>
      <c r="W2627" s="240"/>
      <c r="X2627" s="278"/>
      <c r="Y2627" s="240"/>
      <c r="Z2627" s="237"/>
      <c r="AA2627" s="279"/>
      <c r="AB2627" s="238"/>
      <c r="AC2627" s="196">
        <f t="shared" si="641"/>
        <v>0</v>
      </c>
      <c r="AD2627" s="196">
        <f t="shared" si="642"/>
        <v>0</v>
      </c>
      <c r="AE2627" s="196">
        <f t="shared" si="643"/>
        <v>0</v>
      </c>
      <c r="AF2627" s="2">
        <f t="shared" si="644"/>
        <v>0</v>
      </c>
      <c r="AG2627" s="2">
        <f t="shared" si="645"/>
        <v>0</v>
      </c>
    </row>
    <row r="2628" spans="1:33">
      <c r="A2628" s="20" t="s">
        <v>2444</v>
      </c>
      <c r="B2628" s="161"/>
      <c r="C2628" s="21" t="s">
        <v>15685</v>
      </c>
      <c r="D2628" s="109" t="s">
        <v>15686</v>
      </c>
      <c r="E2628" s="109" t="s">
        <v>13303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75"/>
      <c r="M2628" s="362" t="s">
        <v>7787</v>
      </c>
      <c r="N2628" s="267">
        <f t="shared" si="648"/>
        <v>0</v>
      </c>
      <c r="O2628" s="268">
        <f t="shared" si="649"/>
        <v>0</v>
      </c>
      <c r="P2628" s="239"/>
      <c r="Q2628" s="239"/>
      <c r="R2628" s="239"/>
      <c r="S2628" s="239"/>
      <c r="T2628" s="239"/>
      <c r="U2628" s="240">
        <v>0</v>
      </c>
      <c r="V2628" s="240"/>
      <c r="W2628" s="240"/>
      <c r="X2628" s="278"/>
      <c r="Y2628" s="240"/>
      <c r="Z2628" s="237"/>
      <c r="AA2628" s="279"/>
      <c r="AB2628" s="238"/>
      <c r="AC2628" s="196">
        <f t="shared" si="641"/>
        <v>0</v>
      </c>
      <c r="AD2628" s="196">
        <f t="shared" si="642"/>
        <v>0</v>
      </c>
      <c r="AE2628" s="196">
        <f t="shared" si="643"/>
        <v>0</v>
      </c>
      <c r="AF2628" s="2">
        <f t="shared" si="644"/>
        <v>0</v>
      </c>
      <c r="AG2628" s="2">
        <f t="shared" si="645"/>
        <v>0</v>
      </c>
    </row>
    <row r="2629" spans="1:33">
      <c r="A2629" s="20" t="s">
        <v>2441</v>
      </c>
      <c r="B2629" s="151"/>
      <c r="C2629" s="21" t="s">
        <v>15689</v>
      </c>
      <c r="D2629" s="109" t="s">
        <v>13293</v>
      </c>
      <c r="E2629" s="109" t="s">
        <v>15690</v>
      </c>
      <c r="F2629" s="391" t="s">
        <v>15687</v>
      </c>
      <c r="G2629" s="23" t="s">
        <v>15688</v>
      </c>
      <c r="H2629" s="23"/>
      <c r="I2629" s="23"/>
      <c r="J2629" s="23"/>
      <c r="K2629" s="23"/>
      <c r="L2629" s="375"/>
      <c r="M2629" s="362" t="s">
        <v>7787</v>
      </c>
      <c r="N2629" s="267">
        <f t="shared" si="648"/>
        <v>0</v>
      </c>
      <c r="O2629" s="268">
        <f t="shared" si="649"/>
        <v>0</v>
      </c>
      <c r="P2629" s="239"/>
      <c r="Q2629" s="239"/>
      <c r="R2629" s="239"/>
      <c r="S2629" s="239"/>
      <c r="T2629" s="239"/>
      <c r="U2629" s="240"/>
      <c r="V2629" s="240"/>
      <c r="W2629" s="240"/>
      <c r="X2629" s="278"/>
      <c r="Y2629" s="240"/>
      <c r="Z2629" s="240"/>
      <c r="AA2629" s="240"/>
      <c r="AB2629" s="238"/>
      <c r="AC2629" s="196">
        <f t="shared" si="641"/>
        <v>0</v>
      </c>
      <c r="AD2629" s="196">
        <f t="shared" si="642"/>
        <v>0</v>
      </c>
      <c r="AE2629" s="196">
        <f t="shared" si="643"/>
        <v>0</v>
      </c>
      <c r="AF2629" s="2">
        <f t="shared" si="644"/>
        <v>0</v>
      </c>
      <c r="AG2629" s="2">
        <f t="shared" si="645"/>
        <v>0</v>
      </c>
    </row>
    <row r="2630" spans="1:33">
      <c r="A2630" s="20" t="s">
        <v>2445</v>
      </c>
      <c r="B2630" s="161"/>
      <c r="C2630" s="21" t="s">
        <v>4969</v>
      </c>
      <c r="D2630" s="109" t="s">
        <v>15686</v>
      </c>
      <c r="E2630" s="109" t="s">
        <v>13303</v>
      </c>
      <c r="F2630" s="391" t="s">
        <v>15687</v>
      </c>
      <c r="G2630" s="23" t="s">
        <v>15688</v>
      </c>
      <c r="H2630" s="23"/>
      <c r="I2630" s="23"/>
      <c r="J2630" s="23"/>
      <c r="K2630" s="23"/>
      <c r="L2630" s="350"/>
      <c r="M2630" s="362"/>
      <c r="N2630" s="267">
        <f t="shared" si="648"/>
        <v>0</v>
      </c>
      <c r="O2630" s="268">
        <f t="shared" si="649"/>
        <v>0</v>
      </c>
      <c r="P2630" s="239"/>
      <c r="Q2630" s="239"/>
      <c r="R2630" s="239"/>
      <c r="S2630" s="239"/>
      <c r="T2630" s="239"/>
      <c r="U2630" s="240"/>
      <c r="V2630" s="240"/>
      <c r="W2630" s="240"/>
      <c r="X2630" s="278"/>
      <c r="Y2630" s="240"/>
      <c r="Z2630" s="279"/>
      <c r="AA2630" s="240"/>
      <c r="AB2630" s="238"/>
      <c r="AC2630" s="196">
        <f t="shared" si="641"/>
        <v>0</v>
      </c>
      <c r="AD2630" s="196">
        <f t="shared" si="642"/>
        <v>0</v>
      </c>
      <c r="AE2630" s="196">
        <f t="shared" si="643"/>
        <v>0</v>
      </c>
      <c r="AF2630" s="2">
        <f t="shared" si="644"/>
        <v>0</v>
      </c>
      <c r="AG2630" s="2">
        <f t="shared" si="645"/>
        <v>0</v>
      </c>
    </row>
    <row r="2631" spans="1:33">
      <c r="A2631" s="20" t="s">
        <v>2442</v>
      </c>
      <c r="B2631" s="156"/>
      <c r="C2631" s="21" t="s">
        <v>4969</v>
      </c>
      <c r="D2631" s="109" t="s">
        <v>13293</v>
      </c>
      <c r="E2631" s="109" t="s">
        <v>15690</v>
      </c>
      <c r="F2631" s="391" t="s">
        <v>15687</v>
      </c>
      <c r="G2631" s="23" t="s">
        <v>15688</v>
      </c>
      <c r="H2631" s="23" t="s">
        <v>15691</v>
      </c>
      <c r="I2631" s="23"/>
      <c r="J2631" s="23"/>
      <c r="K2631" s="23"/>
      <c r="L2631" s="375" t="s">
        <v>7787</v>
      </c>
      <c r="M2631" s="362" t="s">
        <v>7787</v>
      </c>
      <c r="N2631" s="267">
        <f t="shared" si="648"/>
        <v>0</v>
      </c>
      <c r="O2631" s="268">
        <f t="shared" si="649"/>
        <v>0</v>
      </c>
      <c r="P2631" s="239"/>
      <c r="Q2631" s="239"/>
      <c r="R2631" s="239"/>
      <c r="S2631" s="239"/>
      <c r="T2631" s="239"/>
      <c r="U2631" s="278"/>
      <c r="V2631" s="278"/>
      <c r="W2631" s="240"/>
      <c r="X2631" s="278"/>
      <c r="Y2631" s="237"/>
      <c r="Z2631" s="279"/>
      <c r="AA2631" s="240"/>
      <c r="AB2631" s="238"/>
      <c r="AC2631" s="196">
        <f t="shared" si="641"/>
        <v>0</v>
      </c>
      <c r="AD2631" s="196">
        <f t="shared" si="642"/>
        <v>0</v>
      </c>
      <c r="AE2631" s="196">
        <f t="shared" si="643"/>
        <v>0</v>
      </c>
      <c r="AF2631" s="2">
        <f t="shared" si="644"/>
        <v>0</v>
      </c>
      <c r="AG2631" s="2">
        <f t="shared" si="645"/>
        <v>0</v>
      </c>
    </row>
    <row r="2632" spans="1:33">
      <c r="A2632" s="20" t="s">
        <v>2443</v>
      </c>
      <c r="B2632" s="151"/>
      <c r="C2632" s="21" t="s">
        <v>15692</v>
      </c>
      <c r="D2632" s="109" t="s">
        <v>4062</v>
      </c>
      <c r="E2632" s="109" t="s">
        <v>5483</v>
      </c>
      <c r="F2632" s="391" t="s">
        <v>4970</v>
      </c>
      <c r="G2632" s="23" t="s">
        <v>5512</v>
      </c>
      <c r="H2632" s="23"/>
      <c r="I2632" s="23"/>
      <c r="J2632" s="23"/>
      <c r="K2632" s="23"/>
      <c r="L2632" s="350"/>
      <c r="M2632" s="364"/>
      <c r="N2632" s="267">
        <f t="shared" si="648"/>
        <v>0</v>
      </c>
      <c r="O2632" s="268">
        <f t="shared" si="649"/>
        <v>0</v>
      </c>
      <c r="P2632" s="239"/>
      <c r="Q2632" s="239"/>
      <c r="R2632" s="239"/>
      <c r="S2632" s="239"/>
      <c r="T2632" s="239"/>
      <c r="U2632" s="240"/>
      <c r="V2632" s="240"/>
      <c r="W2632" s="240"/>
      <c r="X2632" s="278"/>
      <c r="Y2632" s="237"/>
      <c r="Z2632" s="279"/>
      <c r="AA2632" s="240"/>
      <c r="AB2632" s="238"/>
      <c r="AC2632" s="196">
        <f t="shared" si="641"/>
        <v>0</v>
      </c>
      <c r="AD2632" s="196">
        <f t="shared" si="642"/>
        <v>0</v>
      </c>
      <c r="AE2632" s="196">
        <f t="shared" si="643"/>
        <v>0</v>
      </c>
      <c r="AF2632" s="2">
        <f t="shared" si="644"/>
        <v>0</v>
      </c>
      <c r="AG2632" s="2">
        <f t="shared" si="645"/>
        <v>0</v>
      </c>
    </row>
    <row r="2633" spans="1:33">
      <c r="A2633" s="20" t="s">
        <v>2446</v>
      </c>
      <c r="B2633" s="156" t="s">
        <v>15693</v>
      </c>
      <c r="C2633" s="21" t="s">
        <v>501</v>
      </c>
      <c r="D2633" s="109" t="s">
        <v>15694</v>
      </c>
      <c r="E2633" s="109"/>
      <c r="F2633" s="391" t="s">
        <v>15695</v>
      </c>
      <c r="G2633" s="23" t="s">
        <v>15696</v>
      </c>
      <c r="H2633" s="23" t="s">
        <v>15697</v>
      </c>
      <c r="I2633" s="23" t="s">
        <v>13240</v>
      </c>
      <c r="J2633" s="23" t="s">
        <v>25398</v>
      </c>
      <c r="K2633" s="23" t="s">
        <v>26207</v>
      </c>
      <c r="L2633" s="375" t="s">
        <v>45</v>
      </c>
      <c r="M2633" s="351" t="s">
        <v>7787</v>
      </c>
      <c r="N2633" s="267">
        <f t="shared" si="648"/>
        <v>0</v>
      </c>
      <c r="O2633" s="268">
        <f t="shared" si="649"/>
        <v>1100</v>
      </c>
      <c r="P2633" s="239"/>
      <c r="Q2633" s="239"/>
      <c r="R2633" s="239"/>
      <c r="S2633" s="239"/>
      <c r="T2633" s="239"/>
      <c r="U2633" s="240">
        <f>3600-1400-200-100-100-100-100-100-100-100-100-100</f>
        <v>1100</v>
      </c>
      <c r="V2633" s="240"/>
      <c r="W2633" s="240"/>
      <c r="X2633" s="278"/>
      <c r="Y2633" s="237"/>
      <c r="Z2633" s="237"/>
      <c r="AA2633" s="240"/>
      <c r="AB2633" s="238" t="s">
        <v>27234</v>
      </c>
      <c r="AC2633" s="196">
        <f t="shared" si="641"/>
        <v>1100</v>
      </c>
      <c r="AD2633" s="196">
        <f t="shared" si="642"/>
        <v>1100</v>
      </c>
      <c r="AE2633" s="196">
        <f t="shared" si="643"/>
        <v>0</v>
      </c>
      <c r="AF2633" s="2">
        <f t="shared" si="644"/>
        <v>1100</v>
      </c>
      <c r="AG2633" s="2">
        <f t="shared" si="645"/>
        <v>0</v>
      </c>
    </row>
    <row r="2634" spans="1:33">
      <c r="A2634" s="20" t="s">
        <v>2447</v>
      </c>
      <c r="B2634" s="150"/>
      <c r="C2634" s="21" t="s">
        <v>501</v>
      </c>
      <c r="D2634" s="109" t="s">
        <v>15694</v>
      </c>
      <c r="E2634" s="109"/>
      <c r="F2634" s="391" t="s">
        <v>15698</v>
      </c>
      <c r="G2634" s="23" t="s">
        <v>15699</v>
      </c>
      <c r="H2634" s="23"/>
      <c r="I2634" s="23"/>
      <c r="J2634" s="23"/>
      <c r="K2634" s="23"/>
      <c r="L2634" s="350"/>
      <c r="M2634" s="351"/>
      <c r="N2634" s="267">
        <f t="shared" si="648"/>
        <v>0</v>
      </c>
      <c r="O2634" s="268">
        <f t="shared" si="649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41"/>
        <v>0</v>
      </c>
      <c r="AD2634" s="196">
        <f t="shared" si="642"/>
        <v>0</v>
      </c>
      <c r="AE2634" s="196">
        <f t="shared" si="643"/>
        <v>0</v>
      </c>
      <c r="AF2634" s="2">
        <f t="shared" si="644"/>
        <v>0</v>
      </c>
      <c r="AG2634" s="2">
        <f t="shared" si="645"/>
        <v>0</v>
      </c>
    </row>
    <row r="2635" spans="1:33">
      <c r="A2635" s="20" t="s">
        <v>17964</v>
      </c>
      <c r="B2635" s="150"/>
      <c r="C2635" s="21" t="s">
        <v>18070</v>
      </c>
      <c r="D2635" s="109" t="s">
        <v>3137</v>
      </c>
      <c r="E2635" s="109" t="s">
        <v>7146</v>
      </c>
      <c r="F2635" s="391" t="s">
        <v>18072</v>
      </c>
      <c r="G2635" s="23" t="s">
        <v>18071</v>
      </c>
      <c r="H2635" s="23"/>
      <c r="I2635" s="23"/>
      <c r="J2635" s="23"/>
      <c r="K2635" s="23"/>
      <c r="L2635" s="375" t="s">
        <v>7787</v>
      </c>
      <c r="M2635" s="351" t="s">
        <v>7787</v>
      </c>
      <c r="N2635" s="267">
        <f t="shared" si="648"/>
        <v>0</v>
      </c>
      <c r="O2635" s="268">
        <f t="shared" si="649"/>
        <v>0</v>
      </c>
      <c r="P2635" s="239"/>
      <c r="Q2635" s="239"/>
      <c r="R2635" s="239"/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/>
      <c r="AC2635" s="196">
        <f t="shared" si="641"/>
        <v>0</v>
      </c>
      <c r="AD2635" s="196">
        <f t="shared" si="642"/>
        <v>0</v>
      </c>
      <c r="AE2635" s="196">
        <f t="shared" si="643"/>
        <v>0</v>
      </c>
      <c r="AF2635" s="2">
        <f t="shared" si="644"/>
        <v>0</v>
      </c>
      <c r="AG2635" s="2">
        <f t="shared" si="645"/>
        <v>0</v>
      </c>
    </row>
    <row r="2636" spans="1:33">
      <c r="A2636" s="20" t="s">
        <v>2448</v>
      </c>
      <c r="B2636" s="150"/>
      <c r="C2636" s="21" t="s">
        <v>502</v>
      </c>
      <c r="D2636" s="109" t="s">
        <v>15694</v>
      </c>
      <c r="E2636" s="109"/>
      <c r="F2636" s="391" t="s">
        <v>15700</v>
      </c>
      <c r="G2636" s="23"/>
      <c r="H2636" s="23"/>
      <c r="I2636" s="23"/>
      <c r="J2636" s="23"/>
      <c r="K2636" s="23"/>
      <c r="L2636" s="375" t="s">
        <v>7787</v>
      </c>
      <c r="M2636" s="351"/>
      <c r="N2636" s="267">
        <f t="shared" si="648"/>
        <v>0</v>
      </c>
      <c r="O2636" s="268">
        <f t="shared" si="649"/>
        <v>0</v>
      </c>
      <c r="P2636" s="239"/>
      <c r="Q2636" s="239"/>
      <c r="R2636" s="239"/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/>
      <c r="AC2636" s="196">
        <f t="shared" si="641"/>
        <v>0</v>
      </c>
      <c r="AD2636" s="196">
        <f t="shared" si="642"/>
        <v>0</v>
      </c>
      <c r="AE2636" s="196">
        <f t="shared" si="643"/>
        <v>0</v>
      </c>
      <c r="AF2636" s="2">
        <f t="shared" si="644"/>
        <v>0</v>
      </c>
      <c r="AG2636" s="2">
        <f t="shared" si="645"/>
        <v>0</v>
      </c>
    </row>
    <row r="2637" spans="1:33">
      <c r="A2637" s="20" t="s">
        <v>2449</v>
      </c>
      <c r="B2637" s="156" t="s">
        <v>15701</v>
      </c>
      <c r="C2637" s="21" t="s">
        <v>503</v>
      </c>
      <c r="D2637" s="109" t="s">
        <v>13866</v>
      </c>
      <c r="E2637" s="109" t="s">
        <v>26462</v>
      </c>
      <c r="F2637" s="391" t="s">
        <v>15702</v>
      </c>
      <c r="G2637" s="23" t="s">
        <v>15703</v>
      </c>
      <c r="H2637" s="23"/>
      <c r="I2637" s="23"/>
      <c r="J2637" s="23"/>
      <c r="K2637" s="23"/>
      <c r="L2637" s="375" t="s">
        <v>45</v>
      </c>
      <c r="M2637" s="351" t="s">
        <v>45</v>
      </c>
      <c r="N2637" s="267">
        <f t="shared" si="648"/>
        <v>0</v>
      </c>
      <c r="O2637" s="268">
        <f t="shared" si="649"/>
        <v>100</v>
      </c>
      <c r="P2637" s="239"/>
      <c r="Q2637" s="239"/>
      <c r="R2637" s="239">
        <f>2000-1800+2000-1200-500-400</f>
        <v>100</v>
      </c>
      <c r="S2637" s="239"/>
      <c r="T2637" s="239"/>
      <c r="U2637" s="240"/>
      <c r="V2637" s="240"/>
      <c r="W2637" s="240"/>
      <c r="X2637" s="278"/>
      <c r="Y2637" s="237"/>
      <c r="Z2637" s="237"/>
      <c r="AA2637" s="279"/>
      <c r="AB2637" s="238" t="s">
        <v>26491</v>
      </c>
      <c r="AC2637" s="196">
        <f t="shared" si="641"/>
        <v>100</v>
      </c>
      <c r="AD2637" s="196">
        <f t="shared" si="642"/>
        <v>100</v>
      </c>
      <c r="AE2637" s="196">
        <f t="shared" si="643"/>
        <v>0</v>
      </c>
      <c r="AF2637" s="2">
        <f t="shared" si="644"/>
        <v>100</v>
      </c>
      <c r="AG2637" s="2">
        <f t="shared" si="645"/>
        <v>0</v>
      </c>
    </row>
    <row r="2638" spans="1:33">
      <c r="A2638" s="20" t="s">
        <v>2450</v>
      </c>
      <c r="B2638" s="151" t="s">
        <v>15704</v>
      </c>
      <c r="C2638" s="21" t="s">
        <v>504</v>
      </c>
      <c r="D2638" s="109" t="s">
        <v>15694</v>
      </c>
      <c r="E2638" s="109"/>
      <c r="F2638" s="391" t="s">
        <v>15705</v>
      </c>
      <c r="G2638" s="23" t="s">
        <v>15696</v>
      </c>
      <c r="H2638" s="23" t="s">
        <v>15697</v>
      </c>
      <c r="I2638" s="23"/>
      <c r="J2638" s="23"/>
      <c r="K2638" s="23"/>
      <c r="L2638" s="375" t="s">
        <v>7787</v>
      </c>
      <c r="M2638" s="357" t="s">
        <v>7787</v>
      </c>
      <c r="N2638" s="267">
        <f t="shared" si="648"/>
        <v>0</v>
      </c>
      <c r="O2638" s="268">
        <f t="shared" si="649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37"/>
      <c r="Z2638" s="237"/>
      <c r="AA2638" s="279"/>
      <c r="AB2638" s="238"/>
      <c r="AC2638" s="196">
        <f t="shared" si="641"/>
        <v>0</v>
      </c>
      <c r="AD2638" s="196">
        <f t="shared" si="642"/>
        <v>0</v>
      </c>
      <c r="AE2638" s="196">
        <f t="shared" si="643"/>
        <v>0</v>
      </c>
      <c r="AF2638" s="2">
        <f t="shared" si="644"/>
        <v>0</v>
      </c>
      <c r="AG2638" s="2">
        <f t="shared" si="645"/>
        <v>0</v>
      </c>
    </row>
    <row r="2639" spans="1:33">
      <c r="A2639" s="20" t="s">
        <v>2451</v>
      </c>
      <c r="B2639" s="161"/>
      <c r="C2639" s="21" t="s">
        <v>505</v>
      </c>
      <c r="D2639" s="109" t="s">
        <v>13296</v>
      </c>
      <c r="E2639" s="109"/>
      <c r="F2639" s="391" t="s">
        <v>15706</v>
      </c>
      <c r="G2639" s="23" t="s">
        <v>15707</v>
      </c>
      <c r="H2639" s="23"/>
      <c r="I2639" s="23"/>
      <c r="J2639" s="23"/>
      <c r="K2639" s="23"/>
      <c r="L2639" s="375" t="s">
        <v>7787</v>
      </c>
      <c r="M2639" s="362">
        <v>100</v>
      </c>
      <c r="N2639" s="267">
        <f t="shared" si="648"/>
        <v>100</v>
      </c>
      <c r="O2639" s="268">
        <f t="shared" si="649"/>
        <v>0</v>
      </c>
      <c r="P2639" s="239"/>
      <c r="Q2639" s="239"/>
      <c r="R2639" s="239"/>
      <c r="S2639" s="239"/>
      <c r="T2639" s="239"/>
      <c r="U2639" s="240"/>
      <c r="V2639" s="240"/>
      <c r="W2639" s="240"/>
      <c r="X2639" s="278"/>
      <c r="Y2639" s="278"/>
      <c r="Z2639" s="237"/>
      <c r="AA2639" s="279"/>
      <c r="AB2639" s="238"/>
      <c r="AC2639" s="196">
        <f t="shared" si="641"/>
        <v>0</v>
      </c>
      <c r="AD2639" s="196">
        <f t="shared" si="642"/>
        <v>0</v>
      </c>
      <c r="AE2639" s="196">
        <f t="shared" si="643"/>
        <v>0</v>
      </c>
      <c r="AF2639" s="2">
        <f t="shared" si="644"/>
        <v>0</v>
      </c>
      <c r="AG2639" s="2">
        <f t="shared" si="645"/>
        <v>0</v>
      </c>
    </row>
    <row r="2640" spans="1:33">
      <c r="A2640" s="20" t="s">
        <v>21444</v>
      </c>
      <c r="B2640" s="161"/>
      <c r="C2640" s="21" t="s">
        <v>505</v>
      </c>
      <c r="D2640" s="109" t="s">
        <v>20859</v>
      </c>
      <c r="E2640" s="109"/>
      <c r="F2640" s="391" t="s">
        <v>4981</v>
      </c>
      <c r="G2640" s="23" t="s">
        <v>20857</v>
      </c>
      <c r="H2640" s="23"/>
      <c r="I2640" s="23"/>
      <c r="J2640" s="23"/>
      <c r="K2640" s="23"/>
      <c r="L2640" s="375" t="s">
        <v>7787</v>
      </c>
      <c r="M2640" s="351" t="s">
        <v>7787</v>
      </c>
      <c r="N2640" s="267">
        <f t="shared" si="648"/>
        <v>0</v>
      </c>
      <c r="O2640" s="268">
        <f t="shared" si="649"/>
        <v>0</v>
      </c>
      <c r="P2640" s="239"/>
      <c r="Q2640" s="239"/>
      <c r="R2640" s="239"/>
      <c r="S2640" s="239"/>
      <c r="T2640" s="239"/>
      <c r="U2640" s="240"/>
      <c r="V2640" s="240"/>
      <c r="W2640" s="240"/>
      <c r="X2640" s="278"/>
      <c r="Y2640" s="278"/>
      <c r="Z2640" s="237"/>
      <c r="AA2640" s="279"/>
      <c r="AB2640" s="238"/>
      <c r="AC2640" s="196">
        <f t="shared" si="641"/>
        <v>0</v>
      </c>
      <c r="AD2640" s="196">
        <f t="shared" si="642"/>
        <v>0</v>
      </c>
      <c r="AE2640" s="196">
        <f t="shared" si="643"/>
        <v>0</v>
      </c>
      <c r="AF2640" s="2">
        <f t="shared" si="644"/>
        <v>0</v>
      </c>
      <c r="AG2640" s="2">
        <f t="shared" si="645"/>
        <v>0</v>
      </c>
    </row>
    <row r="2641" spans="1:33">
      <c r="A2641" s="20" t="s">
        <v>2457</v>
      </c>
      <c r="B2641" s="161"/>
      <c r="C2641" s="21" t="s">
        <v>4978</v>
      </c>
      <c r="D2641" s="109" t="s">
        <v>13866</v>
      </c>
      <c r="E2641" s="109"/>
      <c r="F2641" s="391" t="s">
        <v>15708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8"/>
        <v>0</v>
      </c>
      <c r="O2641" s="268">
        <f t="shared" si="649"/>
        <v>0</v>
      </c>
      <c r="P2641" s="239"/>
      <c r="Q2641" s="239"/>
      <c r="R2641" s="239"/>
      <c r="S2641" s="239"/>
      <c r="T2641" s="239"/>
      <c r="U2641" s="240">
        <v>0</v>
      </c>
      <c r="V2641" s="240"/>
      <c r="W2641" s="240"/>
      <c r="X2641" s="278"/>
      <c r="Y2641" s="237"/>
      <c r="Z2641" s="237"/>
      <c r="AA2641" s="279"/>
      <c r="AB2641" s="238"/>
      <c r="AC2641" s="196">
        <f t="shared" si="641"/>
        <v>0</v>
      </c>
      <c r="AD2641" s="196">
        <f t="shared" si="642"/>
        <v>0</v>
      </c>
      <c r="AE2641" s="196">
        <f t="shared" si="643"/>
        <v>0</v>
      </c>
      <c r="AF2641" s="2">
        <f t="shared" si="644"/>
        <v>0</v>
      </c>
      <c r="AG2641" s="2">
        <f t="shared" si="645"/>
        <v>0</v>
      </c>
    </row>
    <row r="2642" spans="1:33">
      <c r="A2642" s="20" t="s">
        <v>2459</v>
      </c>
      <c r="B2642" s="150"/>
      <c r="C2642" s="21" t="s">
        <v>4978</v>
      </c>
      <c r="D2642" s="109" t="s">
        <v>13866</v>
      </c>
      <c r="E2642" s="109"/>
      <c r="F2642" s="391" t="s">
        <v>15709</v>
      </c>
      <c r="G2642" s="23" t="s">
        <v>15688</v>
      </c>
      <c r="H2642" s="23"/>
      <c r="I2642" s="23"/>
      <c r="J2642" s="23"/>
      <c r="K2642" s="23"/>
      <c r="L2642" s="350"/>
      <c r="M2642" s="351"/>
      <c r="N2642" s="267">
        <f t="shared" si="648"/>
        <v>0</v>
      </c>
      <c r="O2642" s="268">
        <f t="shared" si="649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79"/>
      <c r="AB2642" s="238"/>
      <c r="AC2642" s="196">
        <f t="shared" si="641"/>
        <v>0</v>
      </c>
      <c r="AD2642" s="196">
        <f t="shared" si="642"/>
        <v>0</v>
      </c>
      <c r="AE2642" s="196">
        <f t="shared" si="643"/>
        <v>0</v>
      </c>
      <c r="AF2642" s="2">
        <f t="shared" si="644"/>
        <v>0</v>
      </c>
      <c r="AG2642" s="2">
        <f t="shared" si="645"/>
        <v>0</v>
      </c>
    </row>
    <row r="2643" spans="1:33">
      <c r="A2643" s="20" t="s">
        <v>2461</v>
      </c>
      <c r="B2643" s="150"/>
      <c r="C2643" s="21" t="s">
        <v>4979</v>
      </c>
      <c r="D2643" s="109" t="s">
        <v>15710</v>
      </c>
      <c r="E2643" s="109" t="s">
        <v>13303</v>
      </c>
      <c r="F2643" s="391" t="s">
        <v>15709</v>
      </c>
      <c r="G2643" s="23" t="s">
        <v>15688</v>
      </c>
      <c r="H2643" s="23"/>
      <c r="I2643" s="23"/>
      <c r="J2643" s="23"/>
      <c r="K2643" s="23"/>
      <c r="L2643" s="350"/>
      <c r="M2643" s="351"/>
      <c r="N2643" s="267">
        <f t="shared" si="648"/>
        <v>0</v>
      </c>
      <c r="O2643" s="268">
        <f t="shared" si="649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85"/>
      <c r="AB2643" s="238"/>
      <c r="AC2643" s="196">
        <f t="shared" si="641"/>
        <v>0</v>
      </c>
      <c r="AD2643" s="196">
        <f t="shared" si="642"/>
        <v>0</v>
      </c>
      <c r="AE2643" s="196">
        <f t="shared" si="643"/>
        <v>0</v>
      </c>
      <c r="AF2643" s="2">
        <f t="shared" si="644"/>
        <v>0</v>
      </c>
      <c r="AG2643" s="2">
        <f t="shared" si="645"/>
        <v>0</v>
      </c>
    </row>
    <row r="2644" spans="1:33">
      <c r="A2644" s="20" t="s">
        <v>2458</v>
      </c>
      <c r="B2644" s="161"/>
      <c r="C2644" s="21" t="s">
        <v>4979</v>
      </c>
      <c r="D2644" s="109" t="s">
        <v>13866</v>
      </c>
      <c r="E2644" s="109"/>
      <c r="F2644" s="391" t="s">
        <v>15708</v>
      </c>
      <c r="G2644" s="23" t="s">
        <v>15688</v>
      </c>
      <c r="H2644" s="23"/>
      <c r="I2644" s="23"/>
      <c r="J2644" s="23"/>
      <c r="K2644" s="23"/>
      <c r="L2644" s="375" t="s">
        <v>7787</v>
      </c>
      <c r="M2644" s="351"/>
      <c r="N2644" s="267">
        <f t="shared" si="648"/>
        <v>0</v>
      </c>
      <c r="O2644" s="268">
        <f t="shared" si="649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41"/>
        <v>0</v>
      </c>
      <c r="AD2644" s="196">
        <f t="shared" si="642"/>
        <v>0</v>
      </c>
      <c r="AE2644" s="196">
        <f t="shared" si="643"/>
        <v>0</v>
      </c>
      <c r="AF2644" s="2">
        <f t="shared" si="644"/>
        <v>0</v>
      </c>
      <c r="AG2644" s="2">
        <f t="shared" si="645"/>
        <v>0</v>
      </c>
    </row>
    <row r="2645" spans="1:33">
      <c r="A2645" s="20" t="s">
        <v>2460</v>
      </c>
      <c r="B2645" s="156" t="s">
        <v>5859</v>
      </c>
      <c r="C2645" s="21" t="s">
        <v>4979</v>
      </c>
      <c r="D2645" s="109" t="s">
        <v>13866</v>
      </c>
      <c r="E2645" s="109"/>
      <c r="F2645" s="391" t="s">
        <v>15709</v>
      </c>
      <c r="G2645" s="23" t="s">
        <v>15688</v>
      </c>
      <c r="H2645" s="23"/>
      <c r="I2645" s="23"/>
      <c r="J2645" s="23"/>
      <c r="K2645" s="23"/>
      <c r="L2645" s="375" t="s">
        <v>7787</v>
      </c>
      <c r="M2645" s="351" t="s">
        <v>7787</v>
      </c>
      <c r="N2645" s="267">
        <f t="shared" si="648"/>
        <v>0</v>
      </c>
      <c r="O2645" s="268">
        <f t="shared" si="649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41"/>
        <v>0</v>
      </c>
      <c r="AD2645" s="196">
        <f t="shared" si="642"/>
        <v>0</v>
      </c>
      <c r="AE2645" s="196">
        <f t="shared" si="643"/>
        <v>0</v>
      </c>
      <c r="AF2645" s="2">
        <f t="shared" si="644"/>
        <v>0</v>
      </c>
      <c r="AG2645" s="2">
        <f t="shared" si="645"/>
        <v>0</v>
      </c>
    </row>
    <row r="2646" spans="1:33" ht="17.25" customHeight="1">
      <c r="A2646" s="20" t="s">
        <v>2462</v>
      </c>
      <c r="B2646" s="150"/>
      <c r="C2646" s="21" t="s">
        <v>4980</v>
      </c>
      <c r="D2646" s="109" t="s">
        <v>13866</v>
      </c>
      <c r="E2646" s="109"/>
      <c r="F2646" s="391" t="s">
        <v>15708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8"/>
        <v>0</v>
      </c>
      <c r="O2646" s="268">
        <f t="shared" si="649"/>
        <v>0</v>
      </c>
      <c r="P2646" s="239"/>
      <c r="Q2646" s="239"/>
      <c r="R2646" s="239"/>
      <c r="S2646" s="239"/>
      <c r="T2646" s="239"/>
      <c r="U2646" s="240"/>
      <c r="V2646" s="240"/>
      <c r="W2646" s="240"/>
      <c r="X2646" s="278"/>
      <c r="Y2646" s="237"/>
      <c r="Z2646" s="237"/>
      <c r="AA2646" s="279"/>
      <c r="AB2646" s="238"/>
      <c r="AC2646" s="196">
        <f t="shared" si="641"/>
        <v>0</v>
      </c>
      <c r="AD2646" s="196">
        <f t="shared" si="642"/>
        <v>0</v>
      </c>
      <c r="AE2646" s="196">
        <f t="shared" si="643"/>
        <v>0</v>
      </c>
      <c r="AF2646" s="2">
        <f t="shared" si="644"/>
        <v>0</v>
      </c>
      <c r="AG2646" s="2">
        <f t="shared" si="645"/>
        <v>0</v>
      </c>
    </row>
    <row r="2647" spans="1:33" ht="17.25" customHeight="1">
      <c r="A2647" s="20" t="s">
        <v>2452</v>
      </c>
      <c r="B2647" s="150"/>
      <c r="C2647" s="21" t="s">
        <v>15711</v>
      </c>
      <c r="D2647" s="109" t="s">
        <v>13293</v>
      </c>
      <c r="E2647" s="109"/>
      <c r="F2647" s="391" t="s">
        <v>15709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8"/>
        <v>0</v>
      </c>
      <c r="O2647" s="268">
        <f t="shared" si="649"/>
        <v>0</v>
      </c>
      <c r="P2647" s="239"/>
      <c r="Q2647" s="239"/>
      <c r="R2647" s="239"/>
      <c r="S2647" s="239"/>
      <c r="T2647" s="239"/>
      <c r="U2647" s="240"/>
      <c r="V2647" s="240"/>
      <c r="W2647" s="240"/>
      <c r="X2647" s="278"/>
      <c r="Y2647" s="237"/>
      <c r="Z2647" s="237"/>
      <c r="AA2647" s="279"/>
      <c r="AB2647" s="238"/>
      <c r="AC2647" s="196">
        <f t="shared" si="641"/>
        <v>0</v>
      </c>
      <c r="AD2647" s="196">
        <f t="shared" si="642"/>
        <v>0</v>
      </c>
      <c r="AE2647" s="196">
        <f t="shared" si="643"/>
        <v>0</v>
      </c>
      <c r="AF2647" s="2">
        <f t="shared" si="644"/>
        <v>0</v>
      </c>
      <c r="AG2647" s="2">
        <f t="shared" si="645"/>
        <v>0</v>
      </c>
    </row>
    <row r="2648" spans="1:33" ht="17.25" customHeight="1">
      <c r="A2648" s="20" t="s">
        <v>2453</v>
      </c>
      <c r="B2648" s="150"/>
      <c r="C2648" s="21" t="s">
        <v>15711</v>
      </c>
      <c r="D2648" s="109" t="s">
        <v>13293</v>
      </c>
      <c r="E2648" s="109"/>
      <c r="F2648" s="391" t="s">
        <v>15712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8"/>
        <v>0</v>
      </c>
      <c r="O2648" s="268">
        <f t="shared" si="649"/>
        <v>0</v>
      </c>
      <c r="P2648" s="239"/>
      <c r="Q2648" s="239"/>
      <c r="R2648" s="239"/>
      <c r="S2648" s="239"/>
      <c r="T2648" s="239"/>
      <c r="U2648" s="240">
        <v>0</v>
      </c>
      <c r="V2648" s="240"/>
      <c r="W2648" s="240"/>
      <c r="X2648" s="278"/>
      <c r="Y2648" s="237"/>
      <c r="Z2648" s="237"/>
      <c r="AA2648" s="279"/>
      <c r="AB2648" s="238"/>
      <c r="AC2648" s="196">
        <f t="shared" si="641"/>
        <v>0</v>
      </c>
      <c r="AD2648" s="196">
        <f t="shared" si="642"/>
        <v>0</v>
      </c>
      <c r="AE2648" s="196">
        <f t="shared" si="643"/>
        <v>0</v>
      </c>
      <c r="AF2648" s="2">
        <f t="shared" si="644"/>
        <v>0</v>
      </c>
      <c r="AG2648" s="2">
        <f t="shared" si="645"/>
        <v>0</v>
      </c>
    </row>
    <row r="2649" spans="1:33" ht="17.25" customHeight="1">
      <c r="A2649" s="20" t="s">
        <v>2454</v>
      </c>
      <c r="B2649" s="150"/>
      <c r="C2649" s="21" t="s">
        <v>4978</v>
      </c>
      <c r="D2649" s="109" t="s">
        <v>13293</v>
      </c>
      <c r="E2649" s="109"/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8"/>
        <v>0</v>
      </c>
      <c r="O2649" s="268">
        <f t="shared" si="649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79"/>
      <c r="AB2649" s="238"/>
      <c r="AC2649" s="196">
        <f t="shared" si="641"/>
        <v>0</v>
      </c>
      <c r="AD2649" s="196">
        <f t="shared" si="642"/>
        <v>0</v>
      </c>
      <c r="AE2649" s="196">
        <f t="shared" si="643"/>
        <v>0</v>
      </c>
      <c r="AF2649" s="2">
        <f t="shared" si="644"/>
        <v>0</v>
      </c>
      <c r="AG2649" s="2">
        <f t="shared" si="645"/>
        <v>0</v>
      </c>
    </row>
    <row r="2650" spans="1:33" ht="17.25" customHeight="1">
      <c r="A2650" s="20" t="s">
        <v>2455</v>
      </c>
      <c r="B2650" s="150"/>
      <c r="C2650" s="21" t="s">
        <v>4979</v>
      </c>
      <c r="D2650" s="109" t="s">
        <v>13293</v>
      </c>
      <c r="E2650" s="109"/>
      <c r="F2650" s="391" t="s">
        <v>15709</v>
      </c>
      <c r="G2650" s="23" t="s">
        <v>15688</v>
      </c>
      <c r="H2650" s="23"/>
      <c r="I2650" s="23"/>
      <c r="J2650" s="23"/>
      <c r="K2650" s="23"/>
      <c r="L2650" s="350"/>
      <c r="M2650" s="351"/>
      <c r="N2650" s="267">
        <f t="shared" si="648"/>
        <v>0</v>
      </c>
      <c r="O2650" s="268">
        <f t="shared" si="649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79"/>
      <c r="AB2650" s="238"/>
      <c r="AC2650" s="196">
        <f t="shared" si="641"/>
        <v>0</v>
      </c>
      <c r="AD2650" s="196">
        <f t="shared" si="642"/>
        <v>0</v>
      </c>
      <c r="AE2650" s="196">
        <f t="shared" si="643"/>
        <v>0</v>
      </c>
      <c r="AF2650" s="2">
        <f t="shared" si="644"/>
        <v>0</v>
      </c>
      <c r="AG2650" s="2">
        <f t="shared" si="645"/>
        <v>0</v>
      </c>
    </row>
    <row r="2651" spans="1:33">
      <c r="A2651" s="20" t="s">
        <v>2456</v>
      </c>
      <c r="B2651" s="150"/>
      <c r="C2651" s="21" t="s">
        <v>4979</v>
      </c>
      <c r="D2651" s="109" t="s">
        <v>15686</v>
      </c>
      <c r="E2651" s="109" t="s">
        <v>13303</v>
      </c>
      <c r="F2651" s="391" t="s">
        <v>15709</v>
      </c>
      <c r="G2651" s="23" t="s">
        <v>15688</v>
      </c>
      <c r="H2651" s="23"/>
      <c r="I2651" s="23"/>
      <c r="J2651" s="23"/>
      <c r="K2651" s="23"/>
      <c r="L2651" s="350"/>
      <c r="M2651" s="351"/>
      <c r="N2651" s="267">
        <f t="shared" si="648"/>
        <v>0</v>
      </c>
      <c r="O2651" s="268">
        <f t="shared" si="649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85"/>
      <c r="AB2651" s="238"/>
      <c r="AC2651" s="196">
        <f t="shared" si="641"/>
        <v>0</v>
      </c>
      <c r="AD2651" s="196">
        <f t="shared" si="642"/>
        <v>0</v>
      </c>
      <c r="AE2651" s="196">
        <f t="shared" si="643"/>
        <v>0</v>
      </c>
      <c r="AF2651" s="2">
        <f t="shared" si="644"/>
        <v>0</v>
      </c>
      <c r="AG2651" s="2">
        <f t="shared" si="645"/>
        <v>0</v>
      </c>
    </row>
    <row r="2652" spans="1:33">
      <c r="A2652" s="20" t="s">
        <v>2464</v>
      </c>
      <c r="B2652" s="161"/>
      <c r="C2652" s="21" t="s">
        <v>507</v>
      </c>
      <c r="D2652" s="109" t="s">
        <v>13859</v>
      </c>
      <c r="E2652" s="109" t="s">
        <v>15713</v>
      </c>
      <c r="F2652" s="391" t="s">
        <v>15714</v>
      </c>
      <c r="G2652" s="23" t="s">
        <v>15715</v>
      </c>
      <c r="H2652" s="23"/>
      <c r="I2652" s="23"/>
      <c r="J2652" s="23"/>
      <c r="K2652" s="23"/>
      <c r="L2652" s="350"/>
      <c r="M2652" s="351"/>
      <c r="N2652" s="267">
        <f t="shared" si="648"/>
        <v>0</v>
      </c>
      <c r="O2652" s="268">
        <f t="shared" si="649"/>
        <v>0</v>
      </c>
      <c r="P2652" s="239"/>
      <c r="Q2652" s="239"/>
      <c r="R2652" s="239"/>
      <c r="S2652" s="239"/>
      <c r="T2652" s="239"/>
      <c r="U2652" s="240"/>
      <c r="V2652" s="240"/>
      <c r="W2652" s="240"/>
      <c r="X2652" s="278"/>
      <c r="Y2652" s="237"/>
      <c r="Z2652" s="237"/>
      <c r="AA2652" s="279"/>
      <c r="AB2652" s="238"/>
      <c r="AC2652" s="196">
        <f t="shared" si="641"/>
        <v>0</v>
      </c>
      <c r="AD2652" s="196">
        <f t="shared" si="642"/>
        <v>0</v>
      </c>
      <c r="AE2652" s="196">
        <f t="shared" si="643"/>
        <v>0</v>
      </c>
      <c r="AF2652" s="2">
        <f t="shared" si="644"/>
        <v>0</v>
      </c>
      <c r="AG2652" s="2">
        <f t="shared" si="645"/>
        <v>0</v>
      </c>
    </row>
    <row r="2653" spans="1:33">
      <c r="A2653" s="20" t="s">
        <v>2463</v>
      </c>
      <c r="B2653" s="151" t="s">
        <v>15716</v>
      </c>
      <c r="C2653" s="21" t="s">
        <v>507</v>
      </c>
      <c r="D2653" s="109" t="s">
        <v>13859</v>
      </c>
      <c r="E2653" s="109" t="s">
        <v>13303</v>
      </c>
      <c r="F2653" s="391" t="s">
        <v>15714</v>
      </c>
      <c r="G2653" s="23" t="s">
        <v>15715</v>
      </c>
      <c r="H2653" s="23"/>
      <c r="I2653" s="23"/>
      <c r="J2653" s="23"/>
      <c r="K2653" s="23"/>
      <c r="L2653" s="350"/>
      <c r="M2653" s="357" t="s">
        <v>7787</v>
      </c>
      <c r="N2653" s="267">
        <f t="shared" si="648"/>
        <v>0</v>
      </c>
      <c r="O2653" s="268">
        <f t="shared" si="649"/>
        <v>0</v>
      </c>
      <c r="P2653" s="239"/>
      <c r="Q2653" s="239"/>
      <c r="R2653" s="239"/>
      <c r="S2653" s="239"/>
      <c r="T2653" s="239"/>
      <c r="U2653" s="240"/>
      <c r="V2653" s="240"/>
      <c r="W2653" s="240"/>
      <c r="X2653" s="278"/>
      <c r="Y2653" s="237"/>
      <c r="Z2653" s="237"/>
      <c r="AA2653" s="279"/>
      <c r="AB2653" s="238"/>
      <c r="AC2653" s="196">
        <f t="shared" si="641"/>
        <v>0</v>
      </c>
      <c r="AD2653" s="196">
        <f t="shared" si="642"/>
        <v>0</v>
      </c>
      <c r="AE2653" s="196">
        <f t="shared" si="643"/>
        <v>0</v>
      </c>
      <c r="AF2653" s="2">
        <f t="shared" si="644"/>
        <v>0</v>
      </c>
      <c r="AG2653" s="2">
        <f t="shared" si="645"/>
        <v>0</v>
      </c>
    </row>
    <row r="2654" spans="1:33">
      <c r="A2654" s="20" t="s">
        <v>6852</v>
      </c>
      <c r="B2654" s="156"/>
      <c r="C2654" s="21" t="s">
        <v>507</v>
      </c>
      <c r="D2654" s="109" t="s">
        <v>15717</v>
      </c>
      <c r="E2654" s="109"/>
      <c r="F2654" s="391" t="s">
        <v>15714</v>
      </c>
      <c r="G2654" s="23" t="s">
        <v>15718</v>
      </c>
      <c r="H2654" s="23" t="s">
        <v>13301</v>
      </c>
      <c r="I2654" s="23" t="s">
        <v>15719</v>
      </c>
      <c r="J2654" s="23" t="s">
        <v>15720</v>
      </c>
      <c r="K2654" s="23" t="s">
        <v>13865</v>
      </c>
      <c r="L2654" s="375" t="s">
        <v>27633</v>
      </c>
      <c r="M2654" s="351" t="s">
        <v>45</v>
      </c>
      <c r="N2654" s="267">
        <f t="shared" si="648"/>
        <v>0</v>
      </c>
      <c r="O2654" s="268">
        <f t="shared" si="649"/>
        <v>700</v>
      </c>
      <c r="P2654" s="241"/>
      <c r="Q2654" s="241">
        <f>1500-200-150-100-150-100-100</f>
        <v>700</v>
      </c>
      <c r="R2654" s="241"/>
      <c r="S2654" s="241"/>
      <c r="T2654" s="241"/>
      <c r="U2654" s="240"/>
      <c r="V2654" s="241"/>
      <c r="W2654" s="240"/>
      <c r="X2654" s="278"/>
      <c r="Y2654" s="237"/>
      <c r="Z2654" s="237"/>
      <c r="AA2654" s="279"/>
      <c r="AB2654" s="238" t="s">
        <v>27625</v>
      </c>
      <c r="AC2654" s="196">
        <f t="shared" si="641"/>
        <v>700</v>
      </c>
      <c r="AD2654" s="196">
        <f t="shared" si="642"/>
        <v>700</v>
      </c>
      <c r="AE2654" s="196">
        <f t="shared" si="643"/>
        <v>0</v>
      </c>
      <c r="AF2654" s="2">
        <f t="shared" si="644"/>
        <v>700</v>
      </c>
      <c r="AG2654" s="2">
        <f t="shared" si="645"/>
        <v>0</v>
      </c>
    </row>
    <row r="2655" spans="1:33">
      <c r="A2655" s="20" t="s">
        <v>2468</v>
      </c>
      <c r="B2655" s="150"/>
      <c r="C2655" s="21" t="s">
        <v>507</v>
      </c>
      <c r="D2655" s="109" t="s">
        <v>15721</v>
      </c>
      <c r="E2655" s="109"/>
      <c r="F2655" s="391" t="s">
        <v>15714</v>
      </c>
      <c r="G2655" s="23"/>
      <c r="H2655" s="23"/>
      <c r="I2655" s="23"/>
      <c r="J2655" s="23"/>
      <c r="K2655" s="23"/>
      <c r="L2655" s="350"/>
      <c r="M2655" s="351"/>
      <c r="N2655" s="267">
        <f t="shared" si="648"/>
        <v>0</v>
      </c>
      <c r="O2655" s="268">
        <f t="shared" si="649"/>
        <v>0</v>
      </c>
      <c r="P2655" s="239"/>
      <c r="Q2655" s="239"/>
      <c r="R2655" s="239"/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/>
      <c r="AC2655" s="196">
        <f t="shared" si="641"/>
        <v>0</v>
      </c>
      <c r="AD2655" s="196">
        <f t="shared" si="642"/>
        <v>0</v>
      </c>
      <c r="AE2655" s="196">
        <f t="shared" si="643"/>
        <v>0</v>
      </c>
      <c r="AF2655" s="2">
        <f t="shared" si="644"/>
        <v>0</v>
      </c>
      <c r="AG2655" s="2">
        <f t="shared" si="645"/>
        <v>0</v>
      </c>
    </row>
    <row r="2656" spans="1:33">
      <c r="A2656" s="377" t="s">
        <v>2465</v>
      </c>
      <c r="B2656" s="156"/>
      <c r="C2656" s="213" t="s">
        <v>20113</v>
      </c>
      <c r="D2656" s="109" t="s">
        <v>13866</v>
      </c>
      <c r="E2656" s="109" t="s">
        <v>24296</v>
      </c>
      <c r="F2656" s="393" t="s">
        <v>21161</v>
      </c>
      <c r="G2656" s="380" t="s">
        <v>15723</v>
      </c>
      <c r="H2656" s="380" t="s">
        <v>15724</v>
      </c>
      <c r="I2656" s="380" t="s">
        <v>27029</v>
      </c>
      <c r="J2656" s="380" t="s">
        <v>14248</v>
      </c>
      <c r="K2656" s="380" t="s">
        <v>14844</v>
      </c>
      <c r="L2656" s="359" t="s">
        <v>7787</v>
      </c>
      <c r="M2656" s="351" t="s">
        <v>7787</v>
      </c>
      <c r="N2656" s="267">
        <f t="shared" si="648"/>
        <v>0</v>
      </c>
      <c r="O2656" s="268">
        <f t="shared" si="649"/>
        <v>1650</v>
      </c>
      <c r="P2656" s="248"/>
      <c r="Q2656" s="248"/>
      <c r="R2656" s="239">
        <f>3000-250-450-200-500-400+2100-600-950-200-700-700+4000-800-800-300-300-200-500-700-500+5000-600-200-300-850-700-250-500</f>
        <v>1650</v>
      </c>
      <c r="S2656" s="239"/>
      <c r="T2656" s="239"/>
      <c r="U2656" s="240"/>
      <c r="V2656" s="240"/>
      <c r="W2656" s="240"/>
      <c r="X2656" s="278"/>
      <c r="Y2656" s="237"/>
      <c r="Z2656" s="237"/>
      <c r="AA2656" s="279"/>
      <c r="AB2656" s="238" t="s">
        <v>27258</v>
      </c>
      <c r="AC2656" s="196">
        <f t="shared" si="641"/>
        <v>1650</v>
      </c>
      <c r="AD2656" s="196">
        <f t="shared" si="642"/>
        <v>1650</v>
      </c>
      <c r="AE2656" s="196">
        <f t="shared" si="643"/>
        <v>0</v>
      </c>
      <c r="AF2656" s="2">
        <f t="shared" si="644"/>
        <v>1650</v>
      </c>
      <c r="AG2656" s="2">
        <f t="shared" si="645"/>
        <v>0</v>
      </c>
    </row>
    <row r="2657" spans="1:33">
      <c r="A2657" s="20" t="s">
        <v>2466</v>
      </c>
      <c r="B2657" s="156"/>
      <c r="C2657" s="21" t="s">
        <v>507</v>
      </c>
      <c r="D2657" s="109" t="s">
        <v>4059</v>
      </c>
      <c r="E2657" s="109"/>
      <c r="F2657" s="391" t="s">
        <v>15726</v>
      </c>
      <c r="G2657" s="23" t="s">
        <v>15727</v>
      </c>
      <c r="H2657" s="23" t="s">
        <v>15724</v>
      </c>
      <c r="I2657" s="23" t="s">
        <v>15728</v>
      </c>
      <c r="J2657" s="23" t="s">
        <v>15720</v>
      </c>
      <c r="K2657" s="23" t="s">
        <v>15729</v>
      </c>
      <c r="L2657" s="359" t="s">
        <v>7787</v>
      </c>
      <c r="M2657" s="351" t="s">
        <v>7787</v>
      </c>
      <c r="N2657" s="267">
        <f t="shared" si="648"/>
        <v>0</v>
      </c>
      <c r="O2657" s="268">
        <f t="shared" si="649"/>
        <v>0</v>
      </c>
      <c r="P2657" s="239"/>
      <c r="Q2657" s="239"/>
      <c r="R2657" s="239"/>
      <c r="S2657" s="239"/>
      <c r="T2657" s="239"/>
      <c r="U2657" s="240"/>
      <c r="V2657" s="240"/>
      <c r="W2657" s="240"/>
      <c r="X2657" s="278"/>
      <c r="Y2657" s="237"/>
      <c r="Z2657" s="237"/>
      <c r="AA2657" s="279"/>
      <c r="AB2657" s="238"/>
      <c r="AC2657" s="196">
        <f t="shared" si="641"/>
        <v>0</v>
      </c>
      <c r="AD2657" s="196">
        <f t="shared" si="642"/>
        <v>0</v>
      </c>
      <c r="AE2657" s="196">
        <f t="shared" si="643"/>
        <v>0</v>
      </c>
      <c r="AF2657" s="2">
        <f t="shared" si="644"/>
        <v>0</v>
      </c>
      <c r="AG2657" s="2">
        <f t="shared" si="645"/>
        <v>0</v>
      </c>
    </row>
    <row r="2658" spans="1:33">
      <c r="A2658" s="20" t="s">
        <v>2467</v>
      </c>
      <c r="B2658" s="151"/>
      <c r="C2658" s="21" t="s">
        <v>507</v>
      </c>
      <c r="D2658" s="109" t="s">
        <v>17309</v>
      </c>
      <c r="E2658" s="109" t="s">
        <v>22322</v>
      </c>
      <c r="F2658" s="391" t="s">
        <v>15730</v>
      </c>
      <c r="G2658" s="23" t="s">
        <v>15731</v>
      </c>
      <c r="H2658" s="23" t="s">
        <v>15732</v>
      </c>
      <c r="I2658" s="23" t="s">
        <v>15733</v>
      </c>
      <c r="J2658" s="23" t="s">
        <v>14533</v>
      </c>
      <c r="K2658" s="23"/>
      <c r="L2658" s="375" t="s">
        <v>7787</v>
      </c>
      <c r="M2658" s="351" t="s">
        <v>7787</v>
      </c>
      <c r="N2658" s="267">
        <f t="shared" si="648"/>
        <v>0</v>
      </c>
      <c r="O2658" s="268">
        <f t="shared" si="649"/>
        <v>1850</v>
      </c>
      <c r="P2658" s="239"/>
      <c r="Q2658" s="239"/>
      <c r="R2658" s="239"/>
      <c r="S2658" s="239"/>
      <c r="T2658" s="239">
        <f>2000-150</f>
        <v>1850</v>
      </c>
      <c r="U2658" s="240"/>
      <c r="V2658" s="240"/>
      <c r="W2658" s="240"/>
      <c r="X2658" s="278"/>
      <c r="Y2658" s="239"/>
      <c r="Z2658" s="237"/>
      <c r="AA2658" s="279"/>
      <c r="AB2658" s="238" t="s">
        <v>26904</v>
      </c>
      <c r="AC2658" s="196">
        <f t="shared" si="641"/>
        <v>1850</v>
      </c>
      <c r="AD2658" s="196">
        <f t="shared" si="642"/>
        <v>1850</v>
      </c>
      <c r="AE2658" s="196">
        <f t="shared" si="643"/>
        <v>0</v>
      </c>
      <c r="AF2658" s="2">
        <f t="shared" si="644"/>
        <v>1850</v>
      </c>
      <c r="AG2658" s="2">
        <f t="shared" si="645"/>
        <v>0</v>
      </c>
    </row>
    <row r="2659" spans="1:33">
      <c r="A2659" s="20" t="s">
        <v>7781</v>
      </c>
      <c r="B2659" s="156"/>
      <c r="C2659" s="21" t="s">
        <v>507</v>
      </c>
      <c r="D2659" s="109" t="s">
        <v>13866</v>
      </c>
      <c r="E2659" s="109" t="s">
        <v>15734</v>
      </c>
      <c r="F2659" s="391" t="s">
        <v>15714</v>
      </c>
      <c r="G2659" s="23" t="s">
        <v>15718</v>
      </c>
      <c r="H2659" s="23"/>
      <c r="I2659" s="23"/>
      <c r="J2659" s="23"/>
      <c r="K2659" s="23"/>
      <c r="L2659" s="350"/>
      <c r="M2659" s="351"/>
      <c r="N2659" s="267">
        <f t="shared" si="648"/>
        <v>0</v>
      </c>
      <c r="O2659" s="268">
        <f t="shared" si="649"/>
        <v>0</v>
      </c>
      <c r="P2659" s="239"/>
      <c r="Q2659" s="239"/>
      <c r="R2659" s="239"/>
      <c r="S2659" s="239"/>
      <c r="T2659" s="239"/>
      <c r="U2659" s="240"/>
      <c r="V2659" s="240"/>
      <c r="W2659" s="240"/>
      <c r="X2659" s="278"/>
      <c r="Y2659" s="237"/>
      <c r="Z2659" s="237"/>
      <c r="AA2659" s="279"/>
      <c r="AB2659" s="238"/>
      <c r="AC2659" s="196">
        <f t="shared" si="641"/>
        <v>0</v>
      </c>
      <c r="AD2659" s="196">
        <f t="shared" si="642"/>
        <v>0</v>
      </c>
      <c r="AE2659" s="196">
        <f t="shared" si="643"/>
        <v>0</v>
      </c>
      <c r="AF2659" s="2">
        <f t="shared" si="644"/>
        <v>0</v>
      </c>
      <c r="AG2659" s="2">
        <f t="shared" si="645"/>
        <v>0</v>
      </c>
    </row>
    <row r="2660" spans="1:33">
      <c r="A2660" s="20" t="s">
        <v>2469</v>
      </c>
      <c r="B2660" s="156" t="s">
        <v>15735</v>
      </c>
      <c r="C2660" s="21" t="s">
        <v>508</v>
      </c>
      <c r="D2660" s="109" t="s">
        <v>15736</v>
      </c>
      <c r="E2660" s="109"/>
      <c r="F2660" s="391" t="s">
        <v>15737</v>
      </c>
      <c r="G2660" s="23" t="s">
        <v>15738</v>
      </c>
      <c r="H2660" s="23"/>
      <c r="I2660" s="23"/>
      <c r="J2660" s="23"/>
      <c r="K2660" s="23"/>
      <c r="L2660" s="375" t="s">
        <v>7787</v>
      </c>
      <c r="M2660" s="351"/>
      <c r="N2660" s="267">
        <f t="shared" si="648"/>
        <v>0</v>
      </c>
      <c r="O2660" s="268">
        <f t="shared" si="649"/>
        <v>0</v>
      </c>
      <c r="P2660" s="239"/>
      <c r="Q2660" s="239"/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39"/>
      <c r="AB2660" s="238"/>
      <c r="AC2660" s="196">
        <f t="shared" si="641"/>
        <v>0</v>
      </c>
      <c r="AD2660" s="196">
        <f t="shared" si="642"/>
        <v>0</v>
      </c>
      <c r="AE2660" s="196">
        <f t="shared" si="643"/>
        <v>0</v>
      </c>
      <c r="AF2660" s="2">
        <f t="shared" si="644"/>
        <v>0</v>
      </c>
      <c r="AG2660" s="2">
        <f t="shared" si="645"/>
        <v>0</v>
      </c>
    </row>
    <row r="2661" spans="1:33">
      <c r="A2661" s="20" t="s">
        <v>2470</v>
      </c>
      <c r="B2661" s="162" t="s">
        <v>5860</v>
      </c>
      <c r="C2661" s="21" t="s">
        <v>509</v>
      </c>
      <c r="D2661" s="109" t="s">
        <v>15717</v>
      </c>
      <c r="E2661" s="109"/>
      <c r="F2661" s="391" t="s">
        <v>15739</v>
      </c>
      <c r="G2661" s="23" t="s">
        <v>15740</v>
      </c>
      <c r="H2661" s="23" t="s">
        <v>15699</v>
      </c>
      <c r="I2661" s="23" t="s">
        <v>25914</v>
      </c>
      <c r="J2661" s="23" t="s">
        <v>15741</v>
      </c>
      <c r="K2661" s="23" t="s">
        <v>15742</v>
      </c>
      <c r="L2661" s="375" t="s">
        <v>27989</v>
      </c>
      <c r="M2661" s="351" t="s">
        <v>45</v>
      </c>
      <c r="N2661" s="267">
        <f t="shared" si="648"/>
        <v>0</v>
      </c>
      <c r="O2661" s="268">
        <f t="shared" si="649"/>
        <v>3300</v>
      </c>
      <c r="P2661" s="239"/>
      <c r="Q2661" s="241">
        <f>900-750+5000-750-800-300</f>
        <v>3300</v>
      </c>
      <c r="R2661" s="239"/>
      <c r="S2661" s="239"/>
      <c r="T2661" s="239"/>
      <c r="U2661" s="240"/>
      <c r="V2661" s="240"/>
      <c r="W2661" s="240"/>
      <c r="X2661" s="278"/>
      <c r="Y2661" s="239"/>
      <c r="Z2661" s="237"/>
      <c r="AA2661" s="279"/>
      <c r="AB2661" s="238" t="s">
        <v>27996</v>
      </c>
      <c r="AC2661" s="196">
        <f t="shared" ref="AC2661:AC2724" si="650">SUM(P2661:AA2661)</f>
        <v>3300</v>
      </c>
      <c r="AD2661" s="196">
        <f t="shared" ref="AD2661:AD2724" si="651">SUM(P2661:AB2661)</f>
        <v>3300</v>
      </c>
      <c r="AE2661" s="196">
        <f t="shared" ref="AE2661:AE2724" si="652">SUM(AC2661-AD2661)</f>
        <v>0</v>
      </c>
      <c r="AF2661" s="2">
        <f t="shared" ref="AF2661:AF2724" si="653">+AC2661</f>
        <v>3300</v>
      </c>
      <c r="AG2661" s="2">
        <f t="shared" ref="AG2661:AG2724" si="654">+AC2661-AF2661</f>
        <v>0</v>
      </c>
    </row>
    <row r="2662" spans="1:33">
      <c r="A2662" s="20" t="s">
        <v>22775</v>
      </c>
      <c r="B2662" s="162"/>
      <c r="C2662" s="21" t="s">
        <v>509</v>
      </c>
      <c r="D2662" s="109" t="s">
        <v>4059</v>
      </c>
      <c r="E2662" s="109"/>
      <c r="F2662" s="391" t="s">
        <v>4987</v>
      </c>
      <c r="G2662" s="23" t="s">
        <v>22833</v>
      </c>
      <c r="H2662" s="23"/>
      <c r="I2662" s="23"/>
      <c r="J2662" s="23"/>
      <c r="K2662" s="23"/>
      <c r="L2662" s="375" t="s">
        <v>7787</v>
      </c>
      <c r="M2662" s="351" t="s">
        <v>7787</v>
      </c>
      <c r="N2662" s="267">
        <f t="shared" si="648"/>
        <v>0</v>
      </c>
      <c r="O2662" s="268">
        <f t="shared" si="649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9"/>
      <c r="Z2662" s="237"/>
      <c r="AA2662" s="279"/>
      <c r="AB2662" s="238"/>
      <c r="AC2662" s="196">
        <f t="shared" si="650"/>
        <v>0</v>
      </c>
      <c r="AD2662" s="196">
        <f t="shared" si="651"/>
        <v>0</v>
      </c>
      <c r="AE2662" s="196">
        <f t="shared" si="652"/>
        <v>0</v>
      </c>
      <c r="AF2662" s="2">
        <f t="shared" si="653"/>
        <v>0</v>
      </c>
      <c r="AG2662" s="2">
        <f t="shared" si="654"/>
        <v>0</v>
      </c>
    </row>
    <row r="2663" spans="1:33">
      <c r="A2663" s="20" t="s">
        <v>12234</v>
      </c>
      <c r="B2663" s="162"/>
      <c r="C2663" s="21" t="s">
        <v>509</v>
      </c>
      <c r="D2663" s="109" t="s">
        <v>15721</v>
      </c>
      <c r="E2663" s="109"/>
      <c r="F2663" s="391" t="s">
        <v>15739</v>
      </c>
      <c r="G2663" s="23" t="s">
        <v>15743</v>
      </c>
      <c r="H2663" s="23"/>
      <c r="I2663" s="23"/>
      <c r="J2663" s="23"/>
      <c r="K2663" s="23"/>
      <c r="L2663" s="375" t="s">
        <v>7787</v>
      </c>
      <c r="M2663" s="351"/>
      <c r="N2663" s="267">
        <f t="shared" si="648"/>
        <v>0</v>
      </c>
      <c r="O2663" s="268">
        <f t="shared" si="649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50"/>
        <v>0</v>
      </c>
      <c r="AD2663" s="196">
        <f t="shared" si="651"/>
        <v>0</v>
      </c>
      <c r="AE2663" s="196">
        <f t="shared" si="652"/>
        <v>0</v>
      </c>
      <c r="AF2663" s="2">
        <f t="shared" si="653"/>
        <v>0</v>
      </c>
      <c r="AG2663" s="2">
        <f t="shared" si="654"/>
        <v>0</v>
      </c>
    </row>
    <row r="2664" spans="1:33">
      <c r="A2664" s="20" t="s">
        <v>19919</v>
      </c>
      <c r="B2664" s="162"/>
      <c r="C2664" s="21" t="s">
        <v>509</v>
      </c>
      <c r="D2664" s="109" t="s">
        <v>19460</v>
      </c>
      <c r="E2664" s="109" t="s">
        <v>19459</v>
      </c>
      <c r="F2664" s="391" t="s">
        <v>4987</v>
      </c>
      <c r="G2664" s="23" t="s">
        <v>19461</v>
      </c>
      <c r="H2664" s="23"/>
      <c r="I2664" s="23"/>
      <c r="J2664" s="23"/>
      <c r="K2664" s="23"/>
      <c r="L2664" s="375" t="s">
        <v>7787</v>
      </c>
      <c r="M2664" s="351"/>
      <c r="N2664" s="267">
        <f t="shared" si="648"/>
        <v>0</v>
      </c>
      <c r="O2664" s="268">
        <f t="shared" si="649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79"/>
      <c r="AB2664" s="238"/>
      <c r="AC2664" s="196">
        <f t="shared" si="650"/>
        <v>0</v>
      </c>
      <c r="AD2664" s="196">
        <f t="shared" si="651"/>
        <v>0</v>
      </c>
      <c r="AE2664" s="196">
        <f t="shared" si="652"/>
        <v>0</v>
      </c>
      <c r="AF2664" s="2">
        <f t="shared" si="653"/>
        <v>0</v>
      </c>
      <c r="AG2664" s="2">
        <f t="shared" si="654"/>
        <v>0</v>
      </c>
    </row>
    <row r="2665" spans="1:33">
      <c r="A2665" s="20" t="s">
        <v>2471</v>
      </c>
      <c r="B2665" s="150"/>
      <c r="C2665" s="21" t="s">
        <v>510</v>
      </c>
      <c r="D2665" s="109" t="s">
        <v>15744</v>
      </c>
      <c r="E2665" s="109"/>
      <c r="F2665" s="391" t="s">
        <v>15745</v>
      </c>
      <c r="G2665" s="23"/>
      <c r="H2665" s="23"/>
      <c r="I2665" s="23"/>
      <c r="J2665" s="23"/>
      <c r="K2665" s="23"/>
      <c r="L2665" s="350"/>
      <c r="M2665" s="351"/>
      <c r="N2665" s="267">
        <f t="shared" si="648"/>
        <v>0</v>
      </c>
      <c r="O2665" s="268">
        <f t="shared" si="649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79"/>
      <c r="AB2665" s="238"/>
      <c r="AC2665" s="196">
        <f t="shared" si="650"/>
        <v>0</v>
      </c>
      <c r="AD2665" s="196">
        <f t="shared" si="651"/>
        <v>0</v>
      </c>
      <c r="AE2665" s="196">
        <f t="shared" si="652"/>
        <v>0</v>
      </c>
      <c r="AF2665" s="2">
        <f t="shared" si="653"/>
        <v>0</v>
      </c>
      <c r="AG2665" s="2">
        <f t="shared" si="654"/>
        <v>0</v>
      </c>
    </row>
    <row r="2666" spans="1:33">
      <c r="A2666" s="20" t="s">
        <v>2472</v>
      </c>
      <c r="B2666" s="150"/>
      <c r="C2666" s="21" t="s">
        <v>511</v>
      </c>
      <c r="D2666" s="109" t="s">
        <v>15744</v>
      </c>
      <c r="E2666" s="109"/>
      <c r="F2666" s="391" t="s">
        <v>15746</v>
      </c>
      <c r="G2666" s="23"/>
      <c r="H2666" s="23"/>
      <c r="I2666" s="23"/>
      <c r="J2666" s="23"/>
      <c r="K2666" s="23"/>
      <c r="L2666" s="350"/>
      <c r="M2666" s="351"/>
      <c r="N2666" s="267">
        <f t="shared" si="648"/>
        <v>0</v>
      </c>
      <c r="O2666" s="268">
        <f t="shared" si="649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85"/>
      <c r="AB2666" s="238"/>
      <c r="AC2666" s="196">
        <f t="shared" si="650"/>
        <v>0</v>
      </c>
      <c r="AD2666" s="196">
        <f t="shared" si="651"/>
        <v>0</v>
      </c>
      <c r="AE2666" s="196">
        <f t="shared" si="652"/>
        <v>0</v>
      </c>
      <c r="AF2666" s="2">
        <f t="shared" si="653"/>
        <v>0</v>
      </c>
      <c r="AG2666" s="2">
        <f t="shared" si="654"/>
        <v>0</v>
      </c>
    </row>
    <row r="2667" spans="1:33">
      <c r="A2667" s="20" t="s">
        <v>2473</v>
      </c>
      <c r="B2667" s="161"/>
      <c r="C2667" s="21" t="s">
        <v>512</v>
      </c>
      <c r="D2667" s="109" t="s">
        <v>13455</v>
      </c>
      <c r="E2667" s="109"/>
      <c r="F2667" s="391" t="s">
        <v>15747</v>
      </c>
      <c r="G2667" s="23"/>
      <c r="H2667" s="23"/>
      <c r="I2667" s="23"/>
      <c r="J2667" s="23"/>
      <c r="K2667" s="23"/>
      <c r="L2667" s="350"/>
      <c r="M2667" s="351"/>
      <c r="N2667" s="267">
        <f t="shared" si="648"/>
        <v>0</v>
      </c>
      <c r="O2667" s="268">
        <f t="shared" si="649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79"/>
      <c r="AB2667" s="238"/>
      <c r="AC2667" s="196">
        <f t="shared" si="650"/>
        <v>0</v>
      </c>
      <c r="AD2667" s="196">
        <f t="shared" si="651"/>
        <v>0</v>
      </c>
      <c r="AE2667" s="196">
        <f t="shared" si="652"/>
        <v>0</v>
      </c>
      <c r="AF2667" s="2">
        <f t="shared" si="653"/>
        <v>0</v>
      </c>
      <c r="AG2667" s="2">
        <f t="shared" si="654"/>
        <v>0</v>
      </c>
    </row>
    <row r="2668" spans="1:33">
      <c r="A2668" s="20" t="s">
        <v>2474</v>
      </c>
      <c r="B2668" s="161"/>
      <c r="C2668" s="21" t="s">
        <v>512</v>
      </c>
      <c r="D2668" s="109" t="s">
        <v>13455</v>
      </c>
      <c r="E2668" s="109"/>
      <c r="F2668" s="391" t="s">
        <v>15747</v>
      </c>
      <c r="G2668" s="23" t="s">
        <v>14822</v>
      </c>
      <c r="H2668" s="23"/>
      <c r="I2668" s="23"/>
      <c r="J2668" s="23"/>
      <c r="K2668" s="23"/>
      <c r="L2668" s="350"/>
      <c r="M2668" s="351"/>
      <c r="N2668" s="267">
        <f t="shared" si="648"/>
        <v>0</v>
      </c>
      <c r="O2668" s="268">
        <f t="shared" si="649"/>
        <v>0</v>
      </c>
      <c r="P2668" s="239"/>
      <c r="Q2668" s="239"/>
      <c r="R2668" s="239"/>
      <c r="S2668" s="239"/>
      <c r="T2668" s="239"/>
      <c r="U2668" s="240"/>
      <c r="V2668" s="240"/>
      <c r="W2668" s="240"/>
      <c r="X2668" s="278"/>
      <c r="Y2668" s="237"/>
      <c r="Z2668" s="237"/>
      <c r="AA2668" s="237"/>
      <c r="AB2668" s="238"/>
      <c r="AC2668" s="196">
        <f t="shared" si="650"/>
        <v>0</v>
      </c>
      <c r="AD2668" s="196">
        <f t="shared" si="651"/>
        <v>0</v>
      </c>
      <c r="AE2668" s="196">
        <f t="shared" si="652"/>
        <v>0</v>
      </c>
      <c r="AF2668" s="2">
        <f t="shared" si="653"/>
        <v>0</v>
      </c>
      <c r="AG2668" s="2">
        <f t="shared" si="654"/>
        <v>0</v>
      </c>
    </row>
    <row r="2669" spans="1:33">
      <c r="A2669" s="20" t="s">
        <v>2475</v>
      </c>
      <c r="B2669" s="161"/>
      <c r="C2669" s="21" t="s">
        <v>512</v>
      </c>
      <c r="D2669" s="109" t="s">
        <v>15748</v>
      </c>
      <c r="E2669" s="109"/>
      <c r="F2669" s="391" t="s">
        <v>15747</v>
      </c>
      <c r="G2669" s="23"/>
      <c r="H2669" s="23"/>
      <c r="I2669" s="23"/>
      <c r="J2669" s="23"/>
      <c r="K2669" s="23"/>
      <c r="L2669" s="350"/>
      <c r="M2669" s="351"/>
      <c r="N2669" s="267">
        <f t="shared" si="648"/>
        <v>0</v>
      </c>
      <c r="O2669" s="268">
        <f t="shared" si="649"/>
        <v>0</v>
      </c>
      <c r="P2669" s="239"/>
      <c r="Q2669" s="239"/>
      <c r="R2669" s="239"/>
      <c r="S2669" s="239"/>
      <c r="T2669" s="239"/>
      <c r="U2669" s="240"/>
      <c r="V2669" s="240"/>
      <c r="W2669" s="240"/>
      <c r="X2669" s="278"/>
      <c r="Y2669" s="237"/>
      <c r="Z2669" s="237"/>
      <c r="AA2669" s="279"/>
      <c r="AB2669" s="238"/>
      <c r="AC2669" s="196">
        <f t="shared" si="650"/>
        <v>0</v>
      </c>
      <c r="AD2669" s="196">
        <f t="shared" si="651"/>
        <v>0</v>
      </c>
      <c r="AE2669" s="196">
        <f t="shared" si="652"/>
        <v>0</v>
      </c>
      <c r="AF2669" s="2">
        <f t="shared" si="653"/>
        <v>0</v>
      </c>
      <c r="AG2669" s="2">
        <f t="shared" si="654"/>
        <v>0</v>
      </c>
    </row>
    <row r="2670" spans="1:33">
      <c r="A2670" s="20" t="s">
        <v>2476</v>
      </c>
      <c r="B2670" s="162" t="s">
        <v>15749</v>
      </c>
      <c r="C2670" s="21" t="s">
        <v>513</v>
      </c>
      <c r="D2670" s="109" t="s">
        <v>13441</v>
      </c>
      <c r="E2670" s="109"/>
      <c r="F2670" s="391" t="s">
        <v>15750</v>
      </c>
      <c r="G2670" s="23" t="s">
        <v>14843</v>
      </c>
      <c r="H2670" s="23" t="s">
        <v>15784</v>
      </c>
      <c r="I2670" s="23"/>
      <c r="J2670" s="23"/>
      <c r="K2670" s="23"/>
      <c r="L2670" s="375" t="s">
        <v>7787</v>
      </c>
      <c r="M2670" s="351" t="s">
        <v>7787</v>
      </c>
      <c r="N2670" s="267">
        <f t="shared" si="648"/>
        <v>0</v>
      </c>
      <c r="O2670" s="268">
        <f t="shared" si="649"/>
        <v>0</v>
      </c>
      <c r="P2670" s="239"/>
      <c r="Q2670" s="239"/>
      <c r="R2670" s="239"/>
      <c r="S2670" s="239"/>
      <c r="T2670" s="239"/>
      <c r="U2670" s="240"/>
      <c r="V2670" s="239"/>
      <c r="W2670" s="240"/>
      <c r="X2670" s="278"/>
      <c r="Y2670" s="241"/>
      <c r="Z2670" s="237"/>
      <c r="AA2670" s="279"/>
      <c r="AB2670" s="238"/>
      <c r="AC2670" s="196">
        <f t="shared" si="650"/>
        <v>0</v>
      </c>
      <c r="AD2670" s="196">
        <f t="shared" si="651"/>
        <v>0</v>
      </c>
      <c r="AE2670" s="196">
        <f t="shared" si="652"/>
        <v>0</v>
      </c>
      <c r="AF2670" s="2">
        <f t="shared" si="653"/>
        <v>0</v>
      </c>
      <c r="AG2670" s="2">
        <f t="shared" si="654"/>
        <v>0</v>
      </c>
    </row>
    <row r="2671" spans="1:33">
      <c r="A2671" s="20" t="s">
        <v>12414</v>
      </c>
      <c r="B2671" s="162"/>
      <c r="C2671" s="21" t="s">
        <v>513</v>
      </c>
      <c r="D2671" s="109" t="s">
        <v>14815</v>
      </c>
      <c r="E2671" s="109"/>
      <c r="F2671" s="391" t="s">
        <v>15750</v>
      </c>
      <c r="G2671" s="23" t="s">
        <v>15751</v>
      </c>
      <c r="H2671" s="23" t="s">
        <v>21948</v>
      </c>
      <c r="I2671" s="23" t="s">
        <v>25741</v>
      </c>
      <c r="J2671" s="23"/>
      <c r="K2671" s="23"/>
      <c r="L2671" s="375" t="s">
        <v>27585</v>
      </c>
      <c r="M2671" s="351" t="s">
        <v>45</v>
      </c>
      <c r="N2671" s="267">
        <f t="shared" si="648"/>
        <v>0</v>
      </c>
      <c r="O2671" s="268">
        <f t="shared" si="649"/>
        <v>350</v>
      </c>
      <c r="P2671" s="239"/>
      <c r="Q2671" s="239"/>
      <c r="R2671" s="239">
        <f>250-100-100+500-200</f>
        <v>350</v>
      </c>
      <c r="S2671" s="239"/>
      <c r="T2671" s="239"/>
      <c r="U2671" s="240"/>
      <c r="V2671" s="240"/>
      <c r="W2671" s="240"/>
      <c r="X2671" s="278"/>
      <c r="Y2671" s="241"/>
      <c r="Z2671" s="237"/>
      <c r="AA2671" s="279"/>
      <c r="AB2671" s="238" t="s">
        <v>27615</v>
      </c>
      <c r="AC2671" s="196">
        <f t="shared" si="650"/>
        <v>350</v>
      </c>
      <c r="AD2671" s="196">
        <f t="shared" si="651"/>
        <v>350</v>
      </c>
      <c r="AE2671" s="196">
        <f t="shared" si="652"/>
        <v>0</v>
      </c>
      <c r="AF2671" s="2">
        <f t="shared" si="653"/>
        <v>350</v>
      </c>
      <c r="AG2671" s="2">
        <f t="shared" si="654"/>
        <v>0</v>
      </c>
    </row>
    <row r="2672" spans="1:33">
      <c r="A2672" s="20" t="s">
        <v>12656</v>
      </c>
      <c r="B2672" s="162"/>
      <c r="C2672" s="21" t="s">
        <v>513</v>
      </c>
      <c r="D2672" s="109" t="s">
        <v>15752</v>
      </c>
      <c r="E2672" s="109" t="s">
        <v>13423</v>
      </c>
      <c r="F2672" s="391" t="s">
        <v>15750</v>
      </c>
      <c r="G2672" s="23" t="s">
        <v>15751</v>
      </c>
      <c r="H2672" s="23"/>
      <c r="I2672" s="23"/>
      <c r="J2672" s="23"/>
      <c r="K2672" s="23"/>
      <c r="L2672" s="375"/>
      <c r="M2672" s="351"/>
      <c r="N2672" s="267">
        <f t="shared" si="648"/>
        <v>0</v>
      </c>
      <c r="O2672" s="268">
        <f t="shared" si="649"/>
        <v>0</v>
      </c>
      <c r="P2672" s="239"/>
      <c r="Q2672" s="239"/>
      <c r="R2672" s="239"/>
      <c r="S2672" s="239"/>
      <c r="T2672" s="239"/>
      <c r="U2672" s="240"/>
      <c r="V2672" s="240"/>
      <c r="W2672" s="240"/>
      <c r="X2672" s="278"/>
      <c r="Y2672" s="241"/>
      <c r="Z2672" s="237"/>
      <c r="AA2672" s="279"/>
      <c r="AB2672" s="238"/>
      <c r="AC2672" s="196">
        <f t="shared" si="650"/>
        <v>0</v>
      </c>
      <c r="AD2672" s="196">
        <f t="shared" si="651"/>
        <v>0</v>
      </c>
      <c r="AE2672" s="196">
        <f t="shared" si="652"/>
        <v>0</v>
      </c>
      <c r="AF2672" s="2">
        <f t="shared" si="653"/>
        <v>0</v>
      </c>
      <c r="AG2672" s="2">
        <f t="shared" si="654"/>
        <v>0</v>
      </c>
    </row>
    <row r="2673" spans="1:33">
      <c r="A2673" s="20" t="s">
        <v>2477</v>
      </c>
      <c r="B2673" s="161"/>
      <c r="C2673" s="21" t="s">
        <v>514</v>
      </c>
      <c r="D2673" s="109" t="s">
        <v>14815</v>
      </c>
      <c r="E2673" s="109"/>
      <c r="F2673" s="391" t="s">
        <v>15753</v>
      </c>
      <c r="G2673" s="23" t="s">
        <v>13863</v>
      </c>
      <c r="H2673" s="23"/>
      <c r="I2673" s="23"/>
      <c r="J2673" s="23"/>
      <c r="K2673" s="23"/>
      <c r="L2673" s="375" t="s">
        <v>7787</v>
      </c>
      <c r="M2673" s="351"/>
      <c r="N2673" s="267">
        <f t="shared" si="648"/>
        <v>0</v>
      </c>
      <c r="O2673" s="268">
        <f t="shared" si="649"/>
        <v>0</v>
      </c>
      <c r="P2673" s="239"/>
      <c r="Q2673" s="239"/>
      <c r="R2673" s="239"/>
      <c r="S2673" s="239"/>
      <c r="T2673" s="239"/>
      <c r="U2673" s="240"/>
      <c r="V2673" s="240"/>
      <c r="W2673" s="240"/>
      <c r="X2673" s="278"/>
      <c r="Y2673" s="237"/>
      <c r="Z2673" s="237"/>
      <c r="AA2673" s="285"/>
      <c r="AB2673" s="238"/>
      <c r="AC2673" s="196">
        <f t="shared" si="650"/>
        <v>0</v>
      </c>
      <c r="AD2673" s="196">
        <f t="shared" si="651"/>
        <v>0</v>
      </c>
      <c r="AE2673" s="196">
        <f t="shared" si="652"/>
        <v>0</v>
      </c>
      <c r="AF2673" s="2">
        <f t="shared" si="653"/>
        <v>0</v>
      </c>
      <c r="AG2673" s="2">
        <f t="shared" si="654"/>
        <v>0</v>
      </c>
    </row>
    <row r="2674" spans="1:33">
      <c r="A2674" s="20" t="s">
        <v>2478</v>
      </c>
      <c r="B2674" s="152" t="s">
        <v>5861</v>
      </c>
      <c r="C2674" s="21" t="s">
        <v>514</v>
      </c>
      <c r="D2674" s="109" t="s">
        <v>13866</v>
      </c>
      <c r="E2674" s="109" t="s">
        <v>15754</v>
      </c>
      <c r="F2674" s="391" t="s">
        <v>15755</v>
      </c>
      <c r="G2674" s="23" t="s">
        <v>15718</v>
      </c>
      <c r="H2674" s="23" t="s">
        <v>15756</v>
      </c>
      <c r="I2674" s="23"/>
      <c r="J2674" s="23"/>
      <c r="K2674" s="23"/>
      <c r="L2674" s="375" t="s">
        <v>7787</v>
      </c>
      <c r="M2674" s="351" t="s">
        <v>7787</v>
      </c>
      <c r="N2674" s="267">
        <f t="shared" si="648"/>
        <v>0</v>
      </c>
      <c r="O2674" s="268">
        <f t="shared" si="649"/>
        <v>0</v>
      </c>
      <c r="P2674" s="239"/>
      <c r="Q2674" s="241"/>
      <c r="R2674" s="239"/>
      <c r="S2674" s="239"/>
      <c r="T2674" s="239"/>
      <c r="U2674" s="240"/>
      <c r="V2674" s="240"/>
      <c r="W2674" s="239"/>
      <c r="X2674" s="278"/>
      <c r="Y2674" s="239"/>
      <c r="Z2674" s="237"/>
      <c r="AA2674" s="279"/>
      <c r="AB2674" s="238"/>
      <c r="AC2674" s="196">
        <f t="shared" si="650"/>
        <v>0</v>
      </c>
      <c r="AD2674" s="196">
        <f t="shared" si="651"/>
        <v>0</v>
      </c>
      <c r="AE2674" s="196">
        <f t="shared" si="652"/>
        <v>0</v>
      </c>
      <c r="AF2674" s="2">
        <f t="shared" si="653"/>
        <v>0</v>
      </c>
      <c r="AG2674" s="2">
        <f t="shared" si="654"/>
        <v>0</v>
      </c>
    </row>
    <row r="2675" spans="1:33">
      <c r="A2675" s="20" t="s">
        <v>2478</v>
      </c>
      <c r="B2675" s="152" t="s">
        <v>5861</v>
      </c>
      <c r="C2675" s="21" t="s">
        <v>18176</v>
      </c>
      <c r="D2675" s="109" t="s">
        <v>3096</v>
      </c>
      <c r="E2675" s="109" t="s">
        <v>3940</v>
      </c>
      <c r="F2675" s="391" t="s">
        <v>4992</v>
      </c>
      <c r="G2675" s="23" t="s">
        <v>6133</v>
      </c>
      <c r="H2675" s="23" t="s">
        <v>14239</v>
      </c>
      <c r="I2675" s="23"/>
      <c r="J2675" s="23"/>
      <c r="K2675" s="23"/>
      <c r="L2675" s="375" t="s">
        <v>7787</v>
      </c>
      <c r="M2675" s="351" t="s">
        <v>7787</v>
      </c>
      <c r="N2675" s="267">
        <f t="shared" si="648"/>
        <v>0</v>
      </c>
      <c r="O2675" s="268">
        <f t="shared" si="649"/>
        <v>0</v>
      </c>
      <c r="P2675" s="239"/>
      <c r="Q2675" s="239"/>
      <c r="R2675" s="239"/>
      <c r="S2675" s="239"/>
      <c r="T2675" s="239"/>
      <c r="U2675" s="240"/>
      <c r="V2675" s="240"/>
      <c r="W2675" s="239"/>
      <c r="X2675" s="278"/>
      <c r="Y2675" s="239"/>
      <c r="Z2675" s="237"/>
      <c r="AA2675" s="279"/>
      <c r="AB2675" s="238"/>
      <c r="AC2675" s="196">
        <f t="shared" si="650"/>
        <v>0</v>
      </c>
      <c r="AD2675" s="196">
        <f t="shared" si="651"/>
        <v>0</v>
      </c>
      <c r="AE2675" s="196">
        <f t="shared" si="652"/>
        <v>0</v>
      </c>
      <c r="AF2675" s="2">
        <f t="shared" si="653"/>
        <v>0</v>
      </c>
      <c r="AG2675" s="2">
        <f t="shared" si="654"/>
        <v>0</v>
      </c>
    </row>
    <row r="2676" spans="1:33">
      <c r="A2676" s="20" t="s">
        <v>6853</v>
      </c>
      <c r="B2676" s="152" t="s">
        <v>5861</v>
      </c>
      <c r="C2676" s="21" t="s">
        <v>514</v>
      </c>
      <c r="D2676" s="109" t="s">
        <v>13866</v>
      </c>
      <c r="E2676" s="109"/>
      <c r="F2676" s="391" t="s">
        <v>15755</v>
      </c>
      <c r="G2676" s="23" t="s">
        <v>13863</v>
      </c>
      <c r="H2676" s="23"/>
      <c r="I2676" s="23"/>
      <c r="J2676" s="23"/>
      <c r="K2676" s="23"/>
      <c r="L2676" s="350"/>
      <c r="M2676" s="351"/>
      <c r="N2676" s="267">
        <f t="shared" si="648"/>
        <v>0</v>
      </c>
      <c r="O2676" s="268">
        <f t="shared" si="649"/>
        <v>0</v>
      </c>
      <c r="P2676" s="239"/>
      <c r="Q2676" s="239"/>
      <c r="R2676" s="239"/>
      <c r="S2676" s="239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50"/>
        <v>0</v>
      </c>
      <c r="AD2676" s="196">
        <f t="shared" si="651"/>
        <v>0</v>
      </c>
      <c r="AE2676" s="196">
        <f t="shared" si="652"/>
        <v>0</v>
      </c>
      <c r="AF2676" s="2">
        <f t="shared" si="653"/>
        <v>0</v>
      </c>
      <c r="AG2676" s="2">
        <f t="shared" si="654"/>
        <v>0</v>
      </c>
    </row>
    <row r="2677" spans="1:33">
      <c r="A2677" s="20" t="s">
        <v>2479</v>
      </c>
      <c r="B2677" s="151" t="s">
        <v>15757</v>
      </c>
      <c r="C2677" s="21" t="s">
        <v>514</v>
      </c>
      <c r="D2677" s="109" t="s">
        <v>15758</v>
      </c>
      <c r="E2677" s="109"/>
      <c r="F2677" s="391" t="s">
        <v>15755</v>
      </c>
      <c r="G2677" s="23" t="s">
        <v>25720</v>
      </c>
      <c r="H2677" s="23" t="s">
        <v>15759</v>
      </c>
      <c r="I2677" s="23" t="s">
        <v>13942</v>
      </c>
      <c r="J2677" s="23" t="s">
        <v>13350</v>
      </c>
      <c r="K2677" s="23" t="s">
        <v>25721</v>
      </c>
      <c r="L2677" s="375" t="s">
        <v>7787</v>
      </c>
      <c r="M2677" s="351" t="s">
        <v>7787</v>
      </c>
      <c r="N2677" s="267">
        <f t="shared" si="648"/>
        <v>0</v>
      </c>
      <c r="O2677" s="268">
        <f t="shared" si="649"/>
        <v>0</v>
      </c>
      <c r="P2677" s="239"/>
      <c r="Q2677" s="239"/>
      <c r="R2677" s="239"/>
      <c r="S2677" s="240"/>
      <c r="T2677" s="239"/>
      <c r="U2677" s="240"/>
      <c r="V2677" s="240"/>
      <c r="W2677" s="240"/>
      <c r="X2677" s="278"/>
      <c r="Y2677" s="278"/>
      <c r="Z2677" s="237"/>
      <c r="AA2677" s="279"/>
      <c r="AB2677" s="238"/>
      <c r="AC2677" s="196">
        <f t="shared" si="650"/>
        <v>0</v>
      </c>
      <c r="AD2677" s="196">
        <f t="shared" si="651"/>
        <v>0</v>
      </c>
      <c r="AE2677" s="196">
        <f t="shared" si="652"/>
        <v>0</v>
      </c>
      <c r="AF2677" s="2">
        <f t="shared" si="653"/>
        <v>0</v>
      </c>
      <c r="AG2677" s="2">
        <f t="shared" si="654"/>
        <v>0</v>
      </c>
    </row>
    <row r="2678" spans="1:33">
      <c r="A2678" s="20" t="s">
        <v>17291</v>
      </c>
      <c r="B2678" s="156"/>
      <c r="C2678" s="21" t="s">
        <v>514</v>
      </c>
      <c r="D2678" s="109" t="s">
        <v>17308</v>
      </c>
      <c r="E2678" s="109"/>
      <c r="F2678" s="391" t="s">
        <v>4992</v>
      </c>
      <c r="G2678" s="23" t="s">
        <v>13377</v>
      </c>
      <c r="H2678" s="23"/>
      <c r="I2678" s="23"/>
      <c r="J2678" s="23"/>
      <c r="K2678" s="23"/>
      <c r="L2678" s="375" t="s">
        <v>7787</v>
      </c>
      <c r="M2678" s="351"/>
      <c r="N2678" s="267">
        <f t="shared" si="648"/>
        <v>0</v>
      </c>
      <c r="O2678" s="268">
        <f t="shared" si="649"/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78"/>
      <c r="Z2678" s="237"/>
      <c r="AA2678" s="279"/>
      <c r="AB2678" s="238"/>
      <c r="AC2678" s="196">
        <f t="shared" si="650"/>
        <v>0</v>
      </c>
      <c r="AD2678" s="196">
        <f t="shared" si="651"/>
        <v>0</v>
      </c>
      <c r="AE2678" s="196">
        <f t="shared" si="652"/>
        <v>0</v>
      </c>
      <c r="AF2678" s="2">
        <f t="shared" si="653"/>
        <v>0</v>
      </c>
      <c r="AG2678" s="2">
        <f t="shared" si="654"/>
        <v>0</v>
      </c>
    </row>
    <row r="2679" spans="1:33">
      <c r="A2679" s="20" t="s">
        <v>2480</v>
      </c>
      <c r="B2679" s="156" t="s">
        <v>5862</v>
      </c>
      <c r="C2679" s="21" t="s">
        <v>15760</v>
      </c>
      <c r="D2679" s="109" t="s">
        <v>13293</v>
      </c>
      <c r="E2679" s="109"/>
      <c r="F2679" s="391" t="s">
        <v>15761</v>
      </c>
      <c r="G2679" s="23" t="s">
        <v>15688</v>
      </c>
      <c r="H2679" s="23"/>
      <c r="I2679" s="23"/>
      <c r="J2679" s="23"/>
      <c r="K2679" s="23"/>
      <c r="L2679" s="375" t="s">
        <v>7787</v>
      </c>
      <c r="M2679" s="351" t="s">
        <v>7787</v>
      </c>
      <c r="N2679" s="267">
        <f t="shared" ref="N2679:N2742" si="655">SUM(L2679:M2679)</f>
        <v>0</v>
      </c>
      <c r="O2679" s="268">
        <f t="shared" ref="O2679:O2742" si="656">SUM(P2679:Z2679)</f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7"/>
      <c r="Z2679" s="237"/>
      <c r="AA2679" s="278"/>
      <c r="AB2679" s="238"/>
      <c r="AC2679" s="196">
        <f t="shared" si="650"/>
        <v>0</v>
      </c>
      <c r="AD2679" s="196">
        <f t="shared" si="651"/>
        <v>0</v>
      </c>
      <c r="AE2679" s="196">
        <f t="shared" si="652"/>
        <v>0</v>
      </c>
      <c r="AF2679" s="2">
        <f t="shared" si="653"/>
        <v>0</v>
      </c>
      <c r="AG2679" s="2">
        <f t="shared" si="654"/>
        <v>0</v>
      </c>
    </row>
    <row r="2680" spans="1:33">
      <c r="A2680" s="20" t="s">
        <v>2481</v>
      </c>
      <c r="B2680" s="150"/>
      <c r="C2680" s="21" t="s">
        <v>4994</v>
      </c>
      <c r="D2680" s="109" t="s">
        <v>13293</v>
      </c>
      <c r="E2680" s="109"/>
      <c r="F2680" s="391" t="s">
        <v>15761</v>
      </c>
      <c r="G2680" s="23" t="s">
        <v>15688</v>
      </c>
      <c r="H2680" s="23"/>
      <c r="I2680" s="23"/>
      <c r="J2680" s="23"/>
      <c r="K2680" s="23"/>
      <c r="L2680" s="350"/>
      <c r="M2680" s="351"/>
      <c r="N2680" s="267">
        <f t="shared" si="655"/>
        <v>0</v>
      </c>
      <c r="O2680" s="268">
        <f t="shared" si="656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9"/>
      <c r="Z2680" s="237"/>
      <c r="AA2680" s="279"/>
      <c r="AB2680" s="238"/>
      <c r="AC2680" s="196">
        <f t="shared" si="650"/>
        <v>0</v>
      </c>
      <c r="AD2680" s="196">
        <f t="shared" si="651"/>
        <v>0</v>
      </c>
      <c r="AE2680" s="196">
        <f t="shared" si="652"/>
        <v>0</v>
      </c>
      <c r="AF2680" s="2">
        <f t="shared" si="653"/>
        <v>0</v>
      </c>
      <c r="AG2680" s="2">
        <f t="shared" si="654"/>
        <v>0</v>
      </c>
    </row>
    <row r="2681" spans="1:33">
      <c r="A2681" s="20" t="s">
        <v>2483</v>
      </c>
      <c r="B2681" s="150"/>
      <c r="C2681" s="21" t="s">
        <v>516</v>
      </c>
      <c r="D2681" s="109" t="s">
        <v>15710</v>
      </c>
      <c r="E2681" s="109" t="s">
        <v>13303</v>
      </c>
      <c r="F2681" s="391" t="s">
        <v>15762</v>
      </c>
      <c r="G2681" s="23" t="s">
        <v>15763</v>
      </c>
      <c r="H2681" s="23"/>
      <c r="I2681" s="23"/>
      <c r="J2681" s="23"/>
      <c r="K2681" s="23"/>
      <c r="L2681" s="375" t="s">
        <v>7787</v>
      </c>
      <c r="M2681" s="351">
        <v>0</v>
      </c>
      <c r="N2681" s="267">
        <f t="shared" si="655"/>
        <v>0</v>
      </c>
      <c r="O2681" s="268">
        <f t="shared" si="656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50"/>
        <v>0</v>
      </c>
      <c r="AD2681" s="196">
        <f t="shared" si="651"/>
        <v>0</v>
      </c>
      <c r="AE2681" s="196">
        <f t="shared" si="652"/>
        <v>0</v>
      </c>
      <c r="AF2681" s="2">
        <f t="shared" si="653"/>
        <v>0</v>
      </c>
      <c r="AG2681" s="2">
        <f t="shared" si="654"/>
        <v>0</v>
      </c>
    </row>
    <row r="2682" spans="1:33">
      <c r="A2682" s="20" t="s">
        <v>21445</v>
      </c>
      <c r="B2682" s="150"/>
      <c r="C2682" s="21" t="s">
        <v>516</v>
      </c>
      <c r="D2682" s="109" t="s">
        <v>3137</v>
      </c>
      <c r="E2682" s="109"/>
      <c r="F2682" s="391" t="s">
        <v>4996</v>
      </c>
      <c r="G2682" s="23" t="s">
        <v>20862</v>
      </c>
      <c r="H2682" s="23"/>
      <c r="I2682" s="23"/>
      <c r="J2682" s="23"/>
      <c r="K2682" s="23"/>
      <c r="L2682" s="375" t="s">
        <v>7787</v>
      </c>
      <c r="M2682" s="351" t="s">
        <v>7787</v>
      </c>
      <c r="N2682" s="267">
        <f t="shared" si="655"/>
        <v>0</v>
      </c>
      <c r="O2682" s="268">
        <f t="shared" si="656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50"/>
        <v>0</v>
      </c>
      <c r="AD2682" s="196">
        <f t="shared" si="651"/>
        <v>0</v>
      </c>
      <c r="AE2682" s="196">
        <f t="shared" si="652"/>
        <v>0</v>
      </c>
      <c r="AF2682" s="2">
        <f t="shared" si="653"/>
        <v>0</v>
      </c>
      <c r="AG2682" s="2">
        <f t="shared" si="654"/>
        <v>0</v>
      </c>
    </row>
    <row r="2683" spans="1:33">
      <c r="A2683" s="20" t="s">
        <v>2482</v>
      </c>
      <c r="B2683" s="150"/>
      <c r="C2683" s="21" t="s">
        <v>516</v>
      </c>
      <c r="D2683" s="109" t="s">
        <v>13866</v>
      </c>
      <c r="E2683" s="109" t="s">
        <v>15764</v>
      </c>
      <c r="F2683" s="391" t="s">
        <v>15762</v>
      </c>
      <c r="G2683" s="23" t="s">
        <v>15763</v>
      </c>
      <c r="H2683" s="23" t="s">
        <v>15765</v>
      </c>
      <c r="I2683" s="23"/>
      <c r="J2683" s="23"/>
      <c r="K2683" s="23"/>
      <c r="L2683" s="375" t="s">
        <v>7787</v>
      </c>
      <c r="M2683" s="351" t="s">
        <v>7787</v>
      </c>
      <c r="N2683" s="267">
        <f t="shared" si="655"/>
        <v>0</v>
      </c>
      <c r="O2683" s="268">
        <f t="shared" si="656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50"/>
        <v>0</v>
      </c>
      <c r="AD2683" s="196">
        <f t="shared" si="651"/>
        <v>0</v>
      </c>
      <c r="AE2683" s="196">
        <f t="shared" si="652"/>
        <v>0</v>
      </c>
      <c r="AF2683" s="2">
        <f t="shared" si="653"/>
        <v>0</v>
      </c>
      <c r="AG2683" s="2">
        <f t="shared" si="654"/>
        <v>0</v>
      </c>
    </row>
    <row r="2684" spans="1:33">
      <c r="A2684" s="20" t="s">
        <v>6854</v>
      </c>
      <c r="B2684" s="150"/>
      <c r="C2684" s="21" t="s">
        <v>516</v>
      </c>
      <c r="D2684" s="109" t="s">
        <v>13866</v>
      </c>
      <c r="E2684" s="109"/>
      <c r="F2684" s="391" t="s">
        <v>15762</v>
      </c>
      <c r="G2684" s="23" t="s">
        <v>15759</v>
      </c>
      <c r="H2684" s="23" t="s">
        <v>15765</v>
      </c>
      <c r="I2684" s="23"/>
      <c r="J2684" s="23"/>
      <c r="K2684" s="23"/>
      <c r="L2684" s="375" t="s">
        <v>7787</v>
      </c>
      <c r="M2684" s="351" t="s">
        <v>7787</v>
      </c>
      <c r="N2684" s="267">
        <f t="shared" si="655"/>
        <v>0</v>
      </c>
      <c r="O2684" s="268">
        <f t="shared" si="656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50"/>
        <v>0</v>
      </c>
      <c r="AD2684" s="196">
        <f t="shared" si="651"/>
        <v>0</v>
      </c>
      <c r="AE2684" s="196">
        <f t="shared" si="652"/>
        <v>0</v>
      </c>
      <c r="AF2684" s="2">
        <f t="shared" si="653"/>
        <v>0</v>
      </c>
      <c r="AG2684" s="2">
        <f t="shared" si="654"/>
        <v>0</v>
      </c>
    </row>
    <row r="2685" spans="1:33">
      <c r="A2685" s="20" t="s">
        <v>7519</v>
      </c>
      <c r="B2685" s="150"/>
      <c r="C2685" s="21" t="s">
        <v>516</v>
      </c>
      <c r="D2685" s="109" t="s">
        <v>13866</v>
      </c>
      <c r="E2685" s="109" t="s">
        <v>15766</v>
      </c>
      <c r="F2685" s="391" t="s">
        <v>15762</v>
      </c>
      <c r="G2685" s="23"/>
      <c r="H2685" s="23"/>
      <c r="I2685" s="23"/>
      <c r="J2685" s="23"/>
      <c r="K2685" s="23"/>
      <c r="L2685" s="375" t="s">
        <v>7787</v>
      </c>
      <c r="M2685" s="351"/>
      <c r="N2685" s="267">
        <f t="shared" si="655"/>
        <v>0</v>
      </c>
      <c r="O2685" s="268">
        <f t="shared" si="656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7"/>
      <c r="Z2685" s="237"/>
      <c r="AA2685" s="279"/>
      <c r="AB2685" s="238"/>
      <c r="AC2685" s="196">
        <f t="shared" si="650"/>
        <v>0</v>
      </c>
      <c r="AD2685" s="196">
        <f t="shared" si="651"/>
        <v>0</v>
      </c>
      <c r="AE2685" s="196">
        <f t="shared" si="652"/>
        <v>0</v>
      </c>
      <c r="AF2685" s="2">
        <f t="shared" si="653"/>
        <v>0</v>
      </c>
      <c r="AG2685" s="2">
        <f t="shared" si="654"/>
        <v>0</v>
      </c>
    </row>
    <row r="2686" spans="1:33">
      <c r="A2686" s="20" t="s">
        <v>7606</v>
      </c>
      <c r="B2686" s="150"/>
      <c r="C2686" s="21" t="s">
        <v>516</v>
      </c>
      <c r="D2686" s="109" t="s">
        <v>13866</v>
      </c>
      <c r="E2686" s="109" t="s">
        <v>15767</v>
      </c>
      <c r="F2686" s="391" t="s">
        <v>15762</v>
      </c>
      <c r="G2686" s="23" t="s">
        <v>15763</v>
      </c>
      <c r="H2686" s="23"/>
      <c r="I2686" s="23"/>
      <c r="J2686" s="23"/>
      <c r="K2686" s="23"/>
      <c r="L2686" s="375" t="s">
        <v>7787</v>
      </c>
      <c r="M2686" s="351" t="s">
        <v>7787</v>
      </c>
      <c r="N2686" s="267">
        <f t="shared" si="655"/>
        <v>0</v>
      </c>
      <c r="O2686" s="268">
        <f t="shared" si="656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7"/>
      <c r="Z2686" s="237"/>
      <c r="AA2686" s="279"/>
      <c r="AB2686" s="238"/>
      <c r="AC2686" s="196">
        <f t="shared" si="650"/>
        <v>0</v>
      </c>
      <c r="AD2686" s="196">
        <f t="shared" si="651"/>
        <v>0</v>
      </c>
      <c r="AE2686" s="196">
        <f t="shared" si="652"/>
        <v>0</v>
      </c>
      <c r="AF2686" s="2">
        <f t="shared" si="653"/>
        <v>0</v>
      </c>
      <c r="AG2686" s="2">
        <f t="shared" si="654"/>
        <v>0</v>
      </c>
    </row>
    <row r="2687" spans="1:33">
      <c r="A2687" s="20" t="s">
        <v>2488</v>
      </c>
      <c r="B2687" s="150"/>
      <c r="C2687" s="21" t="s">
        <v>517</v>
      </c>
      <c r="D2687" s="109" t="s">
        <v>15710</v>
      </c>
      <c r="E2687" s="109" t="s">
        <v>15766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50"/>
      <c r="M2687" s="351"/>
      <c r="N2687" s="267">
        <f t="shared" si="655"/>
        <v>0</v>
      </c>
      <c r="O2687" s="268">
        <f t="shared" si="656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79"/>
      <c r="AB2687" s="238"/>
      <c r="AC2687" s="196">
        <f t="shared" si="650"/>
        <v>0</v>
      </c>
      <c r="AD2687" s="196">
        <f t="shared" si="651"/>
        <v>0</v>
      </c>
      <c r="AE2687" s="196">
        <f t="shared" si="652"/>
        <v>0</v>
      </c>
      <c r="AF2687" s="2">
        <f t="shared" si="653"/>
        <v>0</v>
      </c>
      <c r="AG2687" s="2">
        <f t="shared" si="654"/>
        <v>0</v>
      </c>
    </row>
    <row r="2688" spans="1:33">
      <c r="A2688" s="20" t="s">
        <v>2487</v>
      </c>
      <c r="B2688" s="161"/>
      <c r="C2688" s="21" t="s">
        <v>517</v>
      </c>
      <c r="D2688" s="109" t="s">
        <v>15710</v>
      </c>
      <c r="E2688" s="109" t="s">
        <v>15767</v>
      </c>
      <c r="F2688" s="391" t="s">
        <v>15768</v>
      </c>
      <c r="G2688" s="23" t="s">
        <v>15763</v>
      </c>
      <c r="H2688" s="23"/>
      <c r="I2688" s="23"/>
      <c r="J2688" s="23"/>
      <c r="K2688" s="23"/>
      <c r="L2688" s="375" t="s">
        <v>7787</v>
      </c>
      <c r="M2688" s="351" t="s">
        <v>7787</v>
      </c>
      <c r="N2688" s="267">
        <f t="shared" si="655"/>
        <v>0</v>
      </c>
      <c r="O2688" s="268">
        <f t="shared" si="656"/>
        <v>0</v>
      </c>
      <c r="P2688" s="239"/>
      <c r="Q2688" s="239"/>
      <c r="R2688" s="239"/>
      <c r="S2688" s="239"/>
      <c r="T2688" s="239"/>
      <c r="U2688" s="240"/>
      <c r="V2688" s="240"/>
      <c r="W2688" s="240"/>
      <c r="X2688" s="278"/>
      <c r="Y2688" s="239"/>
      <c r="Z2688" s="237"/>
      <c r="AA2688" s="279"/>
      <c r="AB2688" s="238"/>
      <c r="AC2688" s="196">
        <f t="shared" si="650"/>
        <v>0</v>
      </c>
      <c r="AD2688" s="196">
        <f t="shared" si="651"/>
        <v>0</v>
      </c>
      <c r="AE2688" s="196">
        <f t="shared" si="652"/>
        <v>0</v>
      </c>
      <c r="AF2688" s="2">
        <f t="shared" si="653"/>
        <v>0</v>
      </c>
      <c r="AG2688" s="2">
        <f t="shared" si="654"/>
        <v>0</v>
      </c>
    </row>
    <row r="2689" spans="1:33">
      <c r="A2689" s="20" t="s">
        <v>2486</v>
      </c>
      <c r="B2689" s="150"/>
      <c r="C2689" s="21" t="s">
        <v>517</v>
      </c>
      <c r="D2689" s="109" t="s">
        <v>15710</v>
      </c>
      <c r="E2689" s="109" t="s">
        <v>13303</v>
      </c>
      <c r="F2689" s="391" t="s">
        <v>15768</v>
      </c>
      <c r="G2689" s="23" t="s">
        <v>15763</v>
      </c>
      <c r="H2689" s="23"/>
      <c r="I2689" s="23"/>
      <c r="J2689" s="23"/>
      <c r="K2689" s="23"/>
      <c r="L2689" s="375" t="s">
        <v>7787</v>
      </c>
      <c r="M2689" s="351" t="s">
        <v>7787</v>
      </c>
      <c r="N2689" s="267">
        <f t="shared" si="655"/>
        <v>0</v>
      </c>
      <c r="O2689" s="268">
        <f t="shared" si="656"/>
        <v>0</v>
      </c>
      <c r="P2689" s="239"/>
      <c r="Q2689" s="239"/>
      <c r="R2689" s="239"/>
      <c r="S2689" s="239"/>
      <c r="T2689" s="239"/>
      <c r="U2689" s="240"/>
      <c r="V2689" s="240"/>
      <c r="W2689" s="240"/>
      <c r="X2689" s="278"/>
      <c r="Y2689" s="239"/>
      <c r="Z2689" s="237"/>
      <c r="AA2689" s="239"/>
      <c r="AB2689" s="238"/>
      <c r="AC2689" s="196">
        <f t="shared" si="650"/>
        <v>0</v>
      </c>
      <c r="AD2689" s="196">
        <f t="shared" si="651"/>
        <v>0</v>
      </c>
      <c r="AE2689" s="196">
        <f t="shared" si="652"/>
        <v>0</v>
      </c>
      <c r="AF2689" s="2">
        <f t="shared" si="653"/>
        <v>0</v>
      </c>
      <c r="AG2689" s="2">
        <f t="shared" si="654"/>
        <v>0</v>
      </c>
    </row>
    <row r="2690" spans="1:33">
      <c r="A2690" s="20" t="s">
        <v>2485</v>
      </c>
      <c r="B2690" s="161"/>
      <c r="C2690" s="21" t="s">
        <v>517</v>
      </c>
      <c r="D2690" s="109" t="s">
        <v>13866</v>
      </c>
      <c r="E2690" s="109" t="s">
        <v>15764</v>
      </c>
      <c r="F2690" s="391" t="s">
        <v>15768</v>
      </c>
      <c r="G2690" s="23" t="s">
        <v>13218</v>
      </c>
      <c r="H2690" s="23" t="s">
        <v>13524</v>
      </c>
      <c r="I2690" s="23" t="s">
        <v>15765</v>
      </c>
      <c r="J2690" s="23" t="s">
        <v>14025</v>
      </c>
      <c r="K2690" s="23"/>
      <c r="L2690" s="375" t="s">
        <v>7787</v>
      </c>
      <c r="M2690" s="357" t="s">
        <v>7787</v>
      </c>
      <c r="N2690" s="267">
        <f t="shared" si="655"/>
        <v>0</v>
      </c>
      <c r="O2690" s="268">
        <f t="shared" si="656"/>
        <v>0</v>
      </c>
      <c r="P2690" s="239"/>
      <c r="Q2690" s="239"/>
      <c r="R2690" s="248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50"/>
        <v>0</v>
      </c>
      <c r="AD2690" s="196">
        <f t="shared" si="651"/>
        <v>0</v>
      </c>
      <c r="AE2690" s="196">
        <f t="shared" si="652"/>
        <v>0</v>
      </c>
      <c r="AF2690" s="2">
        <f t="shared" si="653"/>
        <v>0</v>
      </c>
      <c r="AG2690" s="2">
        <f t="shared" si="654"/>
        <v>0</v>
      </c>
    </row>
    <row r="2691" spans="1:33">
      <c r="A2691" s="20" t="s">
        <v>2484</v>
      </c>
      <c r="B2691" s="161"/>
      <c r="C2691" s="21" t="s">
        <v>517</v>
      </c>
      <c r="D2691" s="109" t="s">
        <v>13866</v>
      </c>
      <c r="E2691" s="109"/>
      <c r="F2691" s="391" t="s">
        <v>15768</v>
      </c>
      <c r="G2691" s="23" t="s">
        <v>13301</v>
      </c>
      <c r="H2691" s="23" t="s">
        <v>15725</v>
      </c>
      <c r="I2691" s="23" t="s">
        <v>13524</v>
      </c>
      <c r="J2691" s="23"/>
      <c r="K2691" s="23"/>
      <c r="L2691" s="375"/>
      <c r="M2691" s="351" t="s">
        <v>7787</v>
      </c>
      <c r="N2691" s="267">
        <f t="shared" si="655"/>
        <v>0</v>
      </c>
      <c r="O2691" s="268">
        <f t="shared" si="656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79"/>
      <c r="AB2691" s="238"/>
      <c r="AC2691" s="196">
        <f t="shared" si="650"/>
        <v>0</v>
      </c>
      <c r="AD2691" s="196">
        <f t="shared" si="651"/>
        <v>0</v>
      </c>
      <c r="AE2691" s="196">
        <f t="shared" si="652"/>
        <v>0</v>
      </c>
      <c r="AF2691" s="2">
        <f t="shared" si="653"/>
        <v>0</v>
      </c>
      <c r="AG2691" s="2">
        <f t="shared" si="654"/>
        <v>0</v>
      </c>
    </row>
    <row r="2692" spans="1:33">
      <c r="A2692" s="20" t="s">
        <v>21446</v>
      </c>
      <c r="B2692" s="161"/>
      <c r="C2692" s="21" t="s">
        <v>517</v>
      </c>
      <c r="D2692" s="109" t="s">
        <v>3137</v>
      </c>
      <c r="E2692" s="109"/>
      <c r="F2692" s="391" t="s">
        <v>4997</v>
      </c>
      <c r="G2692" s="23" t="s">
        <v>20862</v>
      </c>
      <c r="H2692" s="23"/>
      <c r="I2692" s="23"/>
      <c r="J2692" s="23"/>
      <c r="K2692" s="23"/>
      <c r="L2692" s="375" t="s">
        <v>7787</v>
      </c>
      <c r="M2692" s="351"/>
      <c r="N2692" s="267">
        <f t="shared" si="655"/>
        <v>0</v>
      </c>
      <c r="O2692" s="268">
        <f t="shared" si="656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79"/>
      <c r="AB2692" s="238"/>
      <c r="AC2692" s="196">
        <f t="shared" si="650"/>
        <v>0</v>
      </c>
      <c r="AD2692" s="196">
        <f t="shared" si="651"/>
        <v>0</v>
      </c>
      <c r="AE2692" s="196">
        <f t="shared" si="652"/>
        <v>0</v>
      </c>
      <c r="AF2692" s="2">
        <f t="shared" si="653"/>
        <v>0</v>
      </c>
      <c r="AG2692" s="2">
        <f t="shared" si="654"/>
        <v>0</v>
      </c>
    </row>
    <row r="2693" spans="1:33">
      <c r="A2693" s="20" t="s">
        <v>2489</v>
      </c>
      <c r="B2693" s="161"/>
      <c r="C2693" s="21" t="s">
        <v>518</v>
      </c>
      <c r="D2693" s="109" t="s">
        <v>13296</v>
      </c>
      <c r="E2693" s="109"/>
      <c r="F2693" s="391" t="s">
        <v>15769</v>
      </c>
      <c r="G2693" s="23" t="s">
        <v>15707</v>
      </c>
      <c r="H2693" s="23"/>
      <c r="I2693" s="23"/>
      <c r="J2693" s="23"/>
      <c r="K2693" s="23"/>
      <c r="L2693" s="350"/>
      <c r="M2693" s="351"/>
      <c r="N2693" s="267">
        <f t="shared" si="655"/>
        <v>0</v>
      </c>
      <c r="O2693" s="268">
        <f t="shared" si="656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85"/>
      <c r="AB2693" s="238"/>
      <c r="AC2693" s="196">
        <f t="shared" si="650"/>
        <v>0</v>
      </c>
      <c r="AD2693" s="196">
        <f t="shared" si="651"/>
        <v>0</v>
      </c>
      <c r="AE2693" s="196">
        <f t="shared" si="652"/>
        <v>0</v>
      </c>
      <c r="AF2693" s="2">
        <f t="shared" si="653"/>
        <v>0</v>
      </c>
      <c r="AG2693" s="2">
        <f t="shared" si="654"/>
        <v>0</v>
      </c>
    </row>
    <row r="2694" spans="1:33">
      <c r="A2694" s="20" t="s">
        <v>2491</v>
      </c>
      <c r="B2694" s="150"/>
      <c r="C2694" s="21" t="s">
        <v>519</v>
      </c>
      <c r="D2694" s="109" t="s">
        <v>15710</v>
      </c>
      <c r="E2694" s="109" t="s">
        <v>13303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75" t="s">
        <v>7787</v>
      </c>
      <c r="M2694" s="351" t="s">
        <v>7787</v>
      </c>
      <c r="N2694" s="267">
        <f t="shared" si="655"/>
        <v>0</v>
      </c>
      <c r="O2694" s="268">
        <f t="shared" si="656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50"/>
        <v>0</v>
      </c>
      <c r="AD2694" s="196">
        <f t="shared" si="651"/>
        <v>0</v>
      </c>
      <c r="AE2694" s="196">
        <f t="shared" si="652"/>
        <v>0</v>
      </c>
      <c r="AF2694" s="2">
        <f t="shared" si="653"/>
        <v>0</v>
      </c>
      <c r="AG2694" s="2">
        <f t="shared" si="654"/>
        <v>0</v>
      </c>
    </row>
    <row r="2695" spans="1:33">
      <c r="A2695" s="20" t="s">
        <v>6855</v>
      </c>
      <c r="B2695" s="150"/>
      <c r="C2695" s="21" t="s">
        <v>519</v>
      </c>
      <c r="D2695" s="109" t="s">
        <v>15710</v>
      </c>
      <c r="E2695" s="109" t="s">
        <v>15771</v>
      </c>
      <c r="F2695" s="391" t="s">
        <v>15770</v>
      </c>
      <c r="G2695" s="23" t="s">
        <v>7849</v>
      </c>
      <c r="H2695" s="23"/>
      <c r="I2695" s="23"/>
      <c r="J2695" s="23"/>
      <c r="K2695" s="23"/>
      <c r="L2695" s="375" t="s">
        <v>7787</v>
      </c>
      <c r="M2695" s="351" t="s">
        <v>7787</v>
      </c>
      <c r="N2695" s="267">
        <f t="shared" si="655"/>
        <v>0</v>
      </c>
      <c r="O2695" s="268">
        <f t="shared" si="656"/>
        <v>0</v>
      </c>
      <c r="P2695" s="239"/>
      <c r="Q2695" s="239"/>
      <c r="R2695" s="239"/>
      <c r="S2695" s="239"/>
      <c r="T2695" s="239"/>
      <c r="U2695" s="240"/>
      <c r="V2695" s="240"/>
      <c r="W2695" s="240"/>
      <c r="X2695" s="278"/>
      <c r="Y2695" s="237"/>
      <c r="Z2695" s="237"/>
      <c r="AA2695" s="279"/>
      <c r="AB2695" s="238"/>
      <c r="AC2695" s="196">
        <f t="shared" si="650"/>
        <v>0</v>
      </c>
      <c r="AD2695" s="196">
        <f t="shared" si="651"/>
        <v>0</v>
      </c>
      <c r="AE2695" s="196">
        <f t="shared" si="652"/>
        <v>0</v>
      </c>
      <c r="AF2695" s="2">
        <f t="shared" si="653"/>
        <v>0</v>
      </c>
      <c r="AG2695" s="2">
        <f t="shared" si="654"/>
        <v>0</v>
      </c>
    </row>
    <row r="2696" spans="1:33">
      <c r="A2696" s="20" t="s">
        <v>6856</v>
      </c>
      <c r="B2696" s="150"/>
      <c r="C2696" s="21" t="s">
        <v>519</v>
      </c>
      <c r="D2696" s="109" t="s">
        <v>15710</v>
      </c>
      <c r="E2696" s="109" t="s">
        <v>15766</v>
      </c>
      <c r="F2696" s="391" t="s">
        <v>15770</v>
      </c>
      <c r="G2696" s="23" t="s">
        <v>7849</v>
      </c>
      <c r="H2696" s="23"/>
      <c r="I2696" s="23"/>
      <c r="J2696" s="23"/>
      <c r="K2696" s="23"/>
      <c r="L2696" s="350"/>
      <c r="M2696" s="357"/>
      <c r="N2696" s="267">
        <f t="shared" si="655"/>
        <v>0</v>
      </c>
      <c r="O2696" s="268">
        <f t="shared" si="656"/>
        <v>0</v>
      </c>
      <c r="P2696" s="239"/>
      <c r="Q2696" s="239"/>
      <c r="R2696" s="239"/>
      <c r="S2696" s="239"/>
      <c r="T2696" s="239"/>
      <c r="U2696" s="240"/>
      <c r="V2696" s="240"/>
      <c r="W2696" s="240"/>
      <c r="X2696" s="278"/>
      <c r="Y2696" s="237"/>
      <c r="Z2696" s="237"/>
      <c r="AA2696" s="279"/>
      <c r="AB2696" s="238"/>
      <c r="AC2696" s="196">
        <f t="shared" si="650"/>
        <v>0</v>
      </c>
      <c r="AD2696" s="196">
        <f t="shared" si="651"/>
        <v>0</v>
      </c>
      <c r="AE2696" s="196">
        <f t="shared" si="652"/>
        <v>0</v>
      </c>
      <c r="AF2696" s="2">
        <f t="shared" si="653"/>
        <v>0</v>
      </c>
      <c r="AG2696" s="2">
        <f t="shared" si="654"/>
        <v>0</v>
      </c>
    </row>
    <row r="2697" spans="1:33">
      <c r="A2697" s="20" t="s">
        <v>2490</v>
      </c>
      <c r="B2697" s="150"/>
      <c r="C2697" s="21" t="s">
        <v>519</v>
      </c>
      <c r="D2697" s="109" t="s">
        <v>13866</v>
      </c>
      <c r="E2697" s="109" t="s">
        <v>26685</v>
      </c>
      <c r="F2697" s="391" t="s">
        <v>15770</v>
      </c>
      <c r="G2697" s="23" t="s">
        <v>15765</v>
      </c>
      <c r="H2697" s="23" t="s">
        <v>15725</v>
      </c>
      <c r="I2697" s="23" t="s">
        <v>25929</v>
      </c>
      <c r="J2697" s="23" t="s">
        <v>13524</v>
      </c>
      <c r="K2697" s="23" t="s">
        <v>15772</v>
      </c>
      <c r="L2697" s="375"/>
      <c r="M2697" s="351" t="s">
        <v>7787</v>
      </c>
      <c r="N2697" s="267">
        <f t="shared" si="655"/>
        <v>0</v>
      </c>
      <c r="O2697" s="268">
        <f t="shared" si="656"/>
        <v>4550</v>
      </c>
      <c r="P2697" s="239"/>
      <c r="Q2697" s="239"/>
      <c r="R2697" s="240"/>
      <c r="S2697" s="239"/>
      <c r="T2697" s="239"/>
      <c r="U2697" s="240">
        <f>4000-2450+3000</f>
        <v>4550</v>
      </c>
      <c r="V2697" s="240"/>
      <c r="W2697" s="240"/>
      <c r="X2697" s="278"/>
      <c r="Y2697" s="237"/>
      <c r="Z2697" s="237"/>
      <c r="AA2697" s="279"/>
      <c r="AB2697" s="238"/>
      <c r="AC2697" s="196">
        <f t="shared" si="650"/>
        <v>4550</v>
      </c>
      <c r="AD2697" s="196">
        <f t="shared" si="651"/>
        <v>4550</v>
      </c>
      <c r="AE2697" s="196">
        <f t="shared" si="652"/>
        <v>0</v>
      </c>
      <c r="AF2697" s="2">
        <f t="shared" si="653"/>
        <v>4550</v>
      </c>
      <c r="AG2697" s="2">
        <f t="shared" si="654"/>
        <v>0</v>
      </c>
    </row>
    <row r="2698" spans="1:33">
      <c r="A2698" s="20" t="s">
        <v>11409</v>
      </c>
      <c r="B2698" s="150"/>
      <c r="C2698" s="213" t="s">
        <v>15773</v>
      </c>
      <c r="D2698" s="109" t="s">
        <v>13296</v>
      </c>
      <c r="E2698" s="109"/>
      <c r="F2698" s="391" t="s">
        <v>15774</v>
      </c>
      <c r="G2698" s="23" t="s">
        <v>14843</v>
      </c>
      <c r="H2698" s="23" t="s">
        <v>15775</v>
      </c>
      <c r="I2698" s="23" t="s">
        <v>15776</v>
      </c>
      <c r="J2698" s="23" t="s">
        <v>19199</v>
      </c>
      <c r="K2698" s="23"/>
      <c r="L2698" s="375" t="s">
        <v>7787</v>
      </c>
      <c r="M2698" s="351" t="s">
        <v>7787</v>
      </c>
      <c r="N2698" s="267">
        <f t="shared" si="655"/>
        <v>0</v>
      </c>
      <c r="O2698" s="268">
        <f t="shared" si="656"/>
        <v>0</v>
      </c>
      <c r="P2698" s="239"/>
      <c r="Q2698" s="239"/>
      <c r="R2698" s="240"/>
      <c r="S2698" s="239"/>
      <c r="T2698" s="239"/>
      <c r="U2698" s="239"/>
      <c r="V2698" s="240"/>
      <c r="W2698" s="240"/>
      <c r="X2698" s="278"/>
      <c r="Y2698" s="237"/>
      <c r="Z2698" s="237"/>
      <c r="AA2698" s="279"/>
      <c r="AB2698" s="238"/>
      <c r="AC2698" s="196">
        <f t="shared" si="650"/>
        <v>0</v>
      </c>
      <c r="AD2698" s="196">
        <f t="shared" si="651"/>
        <v>0</v>
      </c>
      <c r="AE2698" s="196">
        <f t="shared" si="652"/>
        <v>0</v>
      </c>
      <c r="AF2698" s="2">
        <f t="shared" si="653"/>
        <v>0</v>
      </c>
      <c r="AG2698" s="2">
        <f t="shared" si="654"/>
        <v>0</v>
      </c>
    </row>
    <row r="2699" spans="1:33">
      <c r="A2699" s="20" t="s">
        <v>21447</v>
      </c>
      <c r="B2699" s="150"/>
      <c r="C2699" s="213" t="s">
        <v>11530</v>
      </c>
      <c r="D2699" s="109" t="s">
        <v>20859</v>
      </c>
      <c r="E2699" s="109"/>
      <c r="F2699" s="391" t="s">
        <v>15774</v>
      </c>
      <c r="G2699" s="23" t="s">
        <v>20857</v>
      </c>
      <c r="H2699" s="23"/>
      <c r="I2699" s="23"/>
      <c r="J2699" s="23"/>
      <c r="K2699" s="23"/>
      <c r="L2699" s="375" t="s">
        <v>7787</v>
      </c>
      <c r="M2699" s="351" t="s">
        <v>7787</v>
      </c>
      <c r="N2699" s="267">
        <f t="shared" si="655"/>
        <v>0</v>
      </c>
      <c r="O2699" s="268">
        <f t="shared" si="656"/>
        <v>0</v>
      </c>
      <c r="P2699" s="239"/>
      <c r="Q2699" s="239"/>
      <c r="R2699" s="239"/>
      <c r="S2699" s="239"/>
      <c r="T2699" s="239"/>
      <c r="U2699" s="239"/>
      <c r="V2699" s="240"/>
      <c r="W2699" s="240"/>
      <c r="X2699" s="278"/>
      <c r="Y2699" s="237"/>
      <c r="Z2699" s="237"/>
      <c r="AA2699" s="279"/>
      <c r="AB2699" s="238"/>
      <c r="AC2699" s="196">
        <f t="shared" si="650"/>
        <v>0</v>
      </c>
      <c r="AD2699" s="196">
        <f t="shared" si="651"/>
        <v>0</v>
      </c>
      <c r="AE2699" s="196">
        <f t="shared" si="652"/>
        <v>0</v>
      </c>
      <c r="AF2699" s="2">
        <f t="shared" si="653"/>
        <v>0</v>
      </c>
      <c r="AG2699" s="2">
        <f t="shared" si="654"/>
        <v>0</v>
      </c>
    </row>
    <row r="2700" spans="1:33">
      <c r="A2700" s="20" t="s">
        <v>2492</v>
      </c>
      <c r="B2700" s="150"/>
      <c r="C2700" s="21" t="s">
        <v>15777</v>
      </c>
      <c r="D2700" s="109" t="s">
        <v>14846</v>
      </c>
      <c r="E2700" s="109"/>
      <c r="F2700" s="391" t="s">
        <v>15778</v>
      </c>
      <c r="G2700" s="23" t="s">
        <v>15696</v>
      </c>
      <c r="H2700" s="23"/>
      <c r="I2700" s="23"/>
      <c r="J2700" s="23"/>
      <c r="K2700" s="23"/>
      <c r="L2700" s="350"/>
      <c r="M2700" s="351"/>
      <c r="N2700" s="267">
        <f t="shared" si="655"/>
        <v>0</v>
      </c>
      <c r="O2700" s="268">
        <f t="shared" si="656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50"/>
        <v>0</v>
      </c>
      <c r="AD2700" s="196">
        <f t="shared" si="651"/>
        <v>0</v>
      </c>
      <c r="AE2700" s="196">
        <f t="shared" si="652"/>
        <v>0</v>
      </c>
      <c r="AF2700" s="2">
        <f t="shared" si="653"/>
        <v>0</v>
      </c>
      <c r="AG2700" s="2">
        <f t="shared" si="654"/>
        <v>0</v>
      </c>
    </row>
    <row r="2701" spans="1:33">
      <c r="A2701" s="20" t="s">
        <v>6857</v>
      </c>
      <c r="B2701" s="156"/>
      <c r="C2701" s="157" t="s">
        <v>5001</v>
      </c>
      <c r="D2701" s="158" t="s">
        <v>15694</v>
      </c>
      <c r="E2701" s="158" t="s">
        <v>15690</v>
      </c>
      <c r="F2701" s="391" t="s">
        <v>15779</v>
      </c>
      <c r="G2701" s="23" t="s">
        <v>15696</v>
      </c>
      <c r="H2701" s="23" t="s">
        <v>15780</v>
      </c>
      <c r="I2701" s="23" t="s">
        <v>15781</v>
      </c>
      <c r="J2701" s="23"/>
      <c r="K2701" s="23"/>
      <c r="L2701" s="375" t="s">
        <v>7787</v>
      </c>
      <c r="M2701" s="351" t="s">
        <v>7787</v>
      </c>
      <c r="N2701" s="267">
        <f t="shared" si="655"/>
        <v>0</v>
      </c>
      <c r="O2701" s="268">
        <f t="shared" si="656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50"/>
        <v>0</v>
      </c>
      <c r="AD2701" s="196">
        <f t="shared" si="651"/>
        <v>0</v>
      </c>
      <c r="AE2701" s="196">
        <f t="shared" si="652"/>
        <v>0</v>
      </c>
      <c r="AF2701" s="2">
        <f t="shared" si="653"/>
        <v>0</v>
      </c>
      <c r="AG2701" s="2">
        <f t="shared" si="654"/>
        <v>0</v>
      </c>
    </row>
    <row r="2702" spans="1:33">
      <c r="A2702" s="20" t="s">
        <v>2493</v>
      </c>
      <c r="B2702" s="156"/>
      <c r="C2702" s="21" t="s">
        <v>5001</v>
      </c>
      <c r="D2702" s="109" t="s">
        <v>15694</v>
      </c>
      <c r="E2702" s="109"/>
      <c r="F2702" s="391" t="s">
        <v>15779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5"/>
        <v>0</v>
      </c>
      <c r="O2702" s="268">
        <f t="shared" si="656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50"/>
        <v>0</v>
      </c>
      <c r="AD2702" s="196">
        <f t="shared" si="651"/>
        <v>0</v>
      </c>
      <c r="AE2702" s="196">
        <f t="shared" si="652"/>
        <v>0</v>
      </c>
      <c r="AF2702" s="2">
        <f t="shared" si="653"/>
        <v>0</v>
      </c>
      <c r="AG2702" s="2">
        <f t="shared" si="654"/>
        <v>0</v>
      </c>
    </row>
    <row r="2703" spans="1:33">
      <c r="A2703" s="20" t="s">
        <v>2494</v>
      </c>
      <c r="B2703" s="156"/>
      <c r="C2703" s="21" t="s">
        <v>5002</v>
      </c>
      <c r="D2703" s="109" t="s">
        <v>15694</v>
      </c>
      <c r="E2703" s="109"/>
      <c r="F2703" s="391" t="s">
        <v>15782</v>
      </c>
      <c r="G2703" s="23" t="s">
        <v>15696</v>
      </c>
      <c r="H2703" s="23"/>
      <c r="I2703" s="23"/>
      <c r="J2703" s="23"/>
      <c r="K2703" s="23"/>
      <c r="L2703" s="350"/>
      <c r="M2703" s="351"/>
      <c r="N2703" s="267">
        <f t="shared" si="655"/>
        <v>0</v>
      </c>
      <c r="O2703" s="268">
        <f t="shared" si="656"/>
        <v>0</v>
      </c>
      <c r="P2703" s="239"/>
      <c r="Q2703" s="239"/>
      <c r="R2703" s="239"/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/>
      <c r="AC2703" s="196">
        <f t="shared" si="650"/>
        <v>0</v>
      </c>
      <c r="AD2703" s="196">
        <f t="shared" si="651"/>
        <v>0</v>
      </c>
      <c r="AE2703" s="196">
        <f t="shared" si="652"/>
        <v>0</v>
      </c>
      <c r="AF2703" s="2">
        <f t="shared" si="653"/>
        <v>0</v>
      </c>
      <c r="AG2703" s="2">
        <f t="shared" si="654"/>
        <v>0</v>
      </c>
    </row>
    <row r="2704" spans="1:33">
      <c r="A2704" s="20" t="s">
        <v>2495</v>
      </c>
      <c r="B2704" s="156"/>
      <c r="C2704" s="21" t="s">
        <v>5003</v>
      </c>
      <c r="D2704" s="109" t="s">
        <v>15694</v>
      </c>
      <c r="E2704" s="158" t="s">
        <v>15690</v>
      </c>
      <c r="F2704" s="391" t="s">
        <v>15782</v>
      </c>
      <c r="G2704" s="23" t="s">
        <v>15696</v>
      </c>
      <c r="H2704" s="23"/>
      <c r="I2704" s="23"/>
      <c r="J2704" s="23"/>
      <c r="K2704" s="23"/>
      <c r="L2704" s="350"/>
      <c r="M2704" s="351"/>
      <c r="N2704" s="267">
        <f t="shared" si="655"/>
        <v>0</v>
      </c>
      <c r="O2704" s="268">
        <f t="shared" si="656"/>
        <v>0</v>
      </c>
      <c r="P2704" s="239"/>
      <c r="Q2704" s="239"/>
      <c r="R2704" s="239"/>
      <c r="S2704" s="239"/>
      <c r="T2704" s="239"/>
      <c r="U2704" s="240"/>
      <c r="V2704" s="240"/>
      <c r="W2704" s="240"/>
      <c r="X2704" s="278"/>
      <c r="Y2704" s="237"/>
      <c r="Z2704" s="237"/>
      <c r="AA2704" s="279"/>
      <c r="AB2704" s="238"/>
      <c r="AC2704" s="196">
        <f t="shared" si="650"/>
        <v>0</v>
      </c>
      <c r="AD2704" s="196">
        <f t="shared" si="651"/>
        <v>0</v>
      </c>
      <c r="AE2704" s="196">
        <f t="shared" si="652"/>
        <v>0</v>
      </c>
      <c r="AF2704" s="2">
        <f t="shared" si="653"/>
        <v>0</v>
      </c>
      <c r="AG2704" s="2">
        <f t="shared" si="654"/>
        <v>0</v>
      </c>
    </row>
    <row r="2705" spans="1:33">
      <c r="A2705" s="20" t="s">
        <v>2496</v>
      </c>
      <c r="B2705" s="162" t="s">
        <v>5863</v>
      </c>
      <c r="C2705" s="21" t="s">
        <v>520</v>
      </c>
      <c r="D2705" s="109" t="s">
        <v>15717</v>
      </c>
      <c r="E2705" s="109" t="s">
        <v>15690</v>
      </c>
      <c r="F2705" s="391" t="s">
        <v>15783</v>
      </c>
      <c r="G2705" s="23" t="s">
        <v>6133</v>
      </c>
      <c r="H2705" s="23" t="s">
        <v>15784</v>
      </c>
      <c r="I2705" s="23" t="s">
        <v>15785</v>
      </c>
      <c r="J2705" s="23" t="s">
        <v>25391</v>
      </c>
      <c r="K2705" s="23"/>
      <c r="L2705" s="375" t="s">
        <v>45</v>
      </c>
      <c r="M2705" s="351" t="s">
        <v>45</v>
      </c>
      <c r="N2705" s="267">
        <f t="shared" si="655"/>
        <v>0</v>
      </c>
      <c r="O2705" s="268">
        <f t="shared" si="656"/>
        <v>300</v>
      </c>
      <c r="P2705" s="239"/>
      <c r="Q2705" s="239"/>
      <c r="R2705" s="239">
        <f>1550-400+550-400-1000</f>
        <v>300</v>
      </c>
      <c r="S2705" s="239"/>
      <c r="T2705" s="239"/>
      <c r="U2705" s="240"/>
      <c r="V2705" s="240"/>
      <c r="W2705" s="240"/>
      <c r="X2705" s="278"/>
      <c r="Y2705" s="237"/>
      <c r="Z2705" s="237"/>
      <c r="AA2705" s="279"/>
      <c r="AB2705" s="238" t="s">
        <v>25667</v>
      </c>
      <c r="AC2705" s="196">
        <f t="shared" si="650"/>
        <v>300</v>
      </c>
      <c r="AD2705" s="196">
        <f t="shared" si="651"/>
        <v>300</v>
      </c>
      <c r="AE2705" s="196">
        <f t="shared" si="652"/>
        <v>0</v>
      </c>
      <c r="AF2705" s="2">
        <f t="shared" si="653"/>
        <v>300</v>
      </c>
      <c r="AG2705" s="2">
        <f t="shared" si="654"/>
        <v>0</v>
      </c>
    </row>
    <row r="2706" spans="1:33">
      <c r="A2706" s="20" t="s">
        <v>2497</v>
      </c>
      <c r="B2706" s="150"/>
      <c r="C2706" s="21" t="s">
        <v>521</v>
      </c>
      <c r="D2706" s="109" t="s">
        <v>13293</v>
      </c>
      <c r="E2706" s="109"/>
      <c r="F2706" s="391" t="s">
        <v>15786</v>
      </c>
      <c r="G2706" s="23"/>
      <c r="H2706" s="23"/>
      <c r="I2706" s="23"/>
      <c r="J2706" s="23"/>
      <c r="K2706" s="23"/>
      <c r="L2706" s="375" t="s">
        <v>45</v>
      </c>
      <c r="M2706" s="351"/>
      <c r="N2706" s="267">
        <f t="shared" si="655"/>
        <v>0</v>
      </c>
      <c r="O2706" s="268">
        <f t="shared" si="656"/>
        <v>0</v>
      </c>
      <c r="P2706" s="239"/>
      <c r="Q2706" s="239"/>
      <c r="R2706" s="239"/>
      <c r="S2706" s="239"/>
      <c r="T2706" s="239"/>
      <c r="U2706" s="240"/>
      <c r="V2706" s="240"/>
      <c r="W2706" s="240"/>
      <c r="X2706" s="278"/>
      <c r="Y2706" s="237"/>
      <c r="Z2706" s="237"/>
      <c r="AA2706" s="285"/>
      <c r="AB2706" s="238"/>
      <c r="AC2706" s="196">
        <f t="shared" si="650"/>
        <v>0</v>
      </c>
      <c r="AD2706" s="196">
        <f t="shared" si="651"/>
        <v>0</v>
      </c>
      <c r="AE2706" s="196">
        <f t="shared" si="652"/>
        <v>0</v>
      </c>
      <c r="AF2706" s="2">
        <f t="shared" si="653"/>
        <v>0</v>
      </c>
      <c r="AG2706" s="2">
        <f t="shared" si="654"/>
        <v>0</v>
      </c>
    </row>
    <row r="2707" spans="1:33">
      <c r="A2707" s="20" t="s">
        <v>11840</v>
      </c>
      <c r="B2707" s="150"/>
      <c r="C2707" s="21" t="s">
        <v>522</v>
      </c>
      <c r="D2707" s="109" t="s">
        <v>4063</v>
      </c>
      <c r="E2707" s="109"/>
      <c r="F2707" s="391" t="s">
        <v>15787</v>
      </c>
      <c r="G2707" s="213" t="s">
        <v>15788</v>
      </c>
      <c r="H2707" s="213" t="s">
        <v>11805</v>
      </c>
      <c r="I2707" s="23"/>
      <c r="J2707" s="23"/>
      <c r="K2707" s="23"/>
      <c r="L2707" s="375" t="s">
        <v>7787</v>
      </c>
      <c r="M2707" s="351" t="s">
        <v>7787</v>
      </c>
      <c r="N2707" s="267">
        <f t="shared" si="655"/>
        <v>0</v>
      </c>
      <c r="O2707" s="268">
        <f t="shared" si="656"/>
        <v>0</v>
      </c>
      <c r="P2707" s="239"/>
      <c r="Q2707" s="239"/>
      <c r="R2707" s="239"/>
      <c r="S2707" s="239"/>
      <c r="T2707" s="239"/>
      <c r="U2707" s="240"/>
      <c r="V2707" s="240"/>
      <c r="W2707" s="240"/>
      <c r="X2707" s="278"/>
      <c r="Y2707" s="237"/>
      <c r="Z2707" s="237"/>
      <c r="AA2707" s="285"/>
      <c r="AB2707" s="238"/>
      <c r="AC2707" s="196">
        <f t="shared" si="650"/>
        <v>0</v>
      </c>
      <c r="AD2707" s="196">
        <f t="shared" si="651"/>
        <v>0</v>
      </c>
      <c r="AE2707" s="196">
        <f t="shared" si="652"/>
        <v>0</v>
      </c>
      <c r="AF2707" s="2">
        <f t="shared" si="653"/>
        <v>0</v>
      </c>
      <c r="AG2707" s="2">
        <f t="shared" si="654"/>
        <v>0</v>
      </c>
    </row>
    <row r="2708" spans="1:33">
      <c r="A2708" s="20" t="s">
        <v>2498</v>
      </c>
      <c r="B2708" s="150"/>
      <c r="C2708" s="21" t="s">
        <v>522</v>
      </c>
      <c r="D2708" s="109" t="s">
        <v>15717</v>
      </c>
      <c r="E2708" s="109"/>
      <c r="F2708" s="391" t="s">
        <v>15789</v>
      </c>
      <c r="G2708" s="23" t="s">
        <v>13863</v>
      </c>
      <c r="H2708" s="23" t="s">
        <v>13888</v>
      </c>
      <c r="I2708" s="23"/>
      <c r="J2708" s="23"/>
      <c r="K2708" s="23"/>
      <c r="L2708" s="375" t="s">
        <v>7787</v>
      </c>
      <c r="M2708" s="351"/>
      <c r="N2708" s="267">
        <f t="shared" si="655"/>
        <v>0</v>
      </c>
      <c r="O2708" s="268">
        <f t="shared" si="656"/>
        <v>500</v>
      </c>
      <c r="P2708" s="239"/>
      <c r="Q2708" s="239"/>
      <c r="R2708" s="239"/>
      <c r="S2708" s="239"/>
      <c r="T2708" s="239"/>
      <c r="U2708" s="239">
        <v>500</v>
      </c>
      <c r="V2708" s="240"/>
      <c r="W2708" s="240"/>
      <c r="X2708" s="278"/>
      <c r="Y2708" s="237"/>
      <c r="Z2708" s="237"/>
      <c r="AA2708" s="279"/>
      <c r="AB2708" s="238" t="s">
        <v>24302</v>
      </c>
      <c r="AC2708" s="196">
        <f t="shared" si="650"/>
        <v>500</v>
      </c>
      <c r="AD2708" s="196">
        <f t="shared" si="651"/>
        <v>500</v>
      </c>
      <c r="AE2708" s="196">
        <f t="shared" si="652"/>
        <v>0</v>
      </c>
      <c r="AF2708" s="2">
        <f t="shared" si="653"/>
        <v>500</v>
      </c>
      <c r="AG2708" s="2">
        <f t="shared" si="654"/>
        <v>0</v>
      </c>
    </row>
    <row r="2709" spans="1:33">
      <c r="A2709" s="20" t="s">
        <v>2499</v>
      </c>
      <c r="B2709" s="156" t="s">
        <v>15790</v>
      </c>
      <c r="C2709" s="21" t="s">
        <v>523</v>
      </c>
      <c r="D2709" s="109" t="s">
        <v>13293</v>
      </c>
      <c r="E2709" s="109"/>
      <c r="F2709" s="391" t="s">
        <v>15791</v>
      </c>
      <c r="G2709" s="23"/>
      <c r="H2709" s="23"/>
      <c r="I2709" s="23"/>
      <c r="J2709" s="23"/>
      <c r="K2709" s="23"/>
      <c r="L2709" s="375" t="s">
        <v>7787</v>
      </c>
      <c r="M2709" s="351" t="s">
        <v>7787</v>
      </c>
      <c r="N2709" s="267">
        <f t="shared" si="655"/>
        <v>0</v>
      </c>
      <c r="O2709" s="268">
        <f t="shared" si="656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79"/>
      <c r="AB2709" s="238"/>
      <c r="AC2709" s="196">
        <f t="shared" si="650"/>
        <v>0</v>
      </c>
      <c r="AD2709" s="196">
        <f t="shared" si="651"/>
        <v>0</v>
      </c>
      <c r="AE2709" s="196">
        <f t="shared" si="652"/>
        <v>0</v>
      </c>
      <c r="AF2709" s="2">
        <f t="shared" si="653"/>
        <v>0</v>
      </c>
      <c r="AG2709" s="2">
        <f t="shared" si="654"/>
        <v>0</v>
      </c>
    </row>
    <row r="2710" spans="1:33">
      <c r="A2710" s="20" t="s">
        <v>2500</v>
      </c>
      <c r="B2710" s="156"/>
      <c r="C2710" s="21" t="s">
        <v>523</v>
      </c>
      <c r="D2710" s="109" t="s">
        <v>13293</v>
      </c>
      <c r="E2710" s="109"/>
      <c r="F2710" s="391" t="s">
        <v>15792</v>
      </c>
      <c r="G2710" s="23" t="s">
        <v>15699</v>
      </c>
      <c r="H2710" s="23" t="s">
        <v>15688</v>
      </c>
      <c r="I2710" s="23"/>
      <c r="J2710" s="23"/>
      <c r="K2710" s="23"/>
      <c r="L2710" s="375" t="s">
        <v>7787</v>
      </c>
      <c r="M2710" s="351" t="s">
        <v>7787</v>
      </c>
      <c r="N2710" s="267">
        <f t="shared" si="655"/>
        <v>0</v>
      </c>
      <c r="O2710" s="268">
        <f t="shared" si="656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85"/>
      <c r="AB2710" s="238"/>
      <c r="AC2710" s="196">
        <f t="shared" si="650"/>
        <v>0</v>
      </c>
      <c r="AD2710" s="196">
        <f t="shared" si="651"/>
        <v>0</v>
      </c>
      <c r="AE2710" s="196">
        <f t="shared" si="652"/>
        <v>0</v>
      </c>
      <c r="AF2710" s="2">
        <f t="shared" si="653"/>
        <v>0</v>
      </c>
      <c r="AG2710" s="2">
        <f t="shared" si="654"/>
        <v>0</v>
      </c>
    </row>
    <row r="2711" spans="1:33">
      <c r="A2711" s="20" t="s">
        <v>2501</v>
      </c>
      <c r="B2711" s="161"/>
      <c r="C2711" s="21" t="s">
        <v>524</v>
      </c>
      <c r="D2711" s="109" t="s">
        <v>13866</v>
      </c>
      <c r="E2711" s="109"/>
      <c r="F2711" s="391" t="s">
        <v>15793</v>
      </c>
      <c r="G2711" s="23" t="s">
        <v>15794</v>
      </c>
      <c r="H2711" s="23"/>
      <c r="I2711" s="23"/>
      <c r="J2711" s="23"/>
      <c r="K2711" s="23"/>
      <c r="L2711" s="350"/>
      <c r="M2711" s="351"/>
      <c r="N2711" s="267">
        <f t="shared" si="655"/>
        <v>0</v>
      </c>
      <c r="O2711" s="268">
        <f t="shared" si="656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85"/>
      <c r="AB2711" s="238"/>
      <c r="AC2711" s="196">
        <f t="shared" si="650"/>
        <v>0</v>
      </c>
      <c r="AD2711" s="196">
        <f t="shared" si="651"/>
        <v>0</v>
      </c>
      <c r="AE2711" s="196">
        <f t="shared" si="652"/>
        <v>0</v>
      </c>
      <c r="AF2711" s="2">
        <f t="shared" si="653"/>
        <v>0</v>
      </c>
      <c r="AG2711" s="2">
        <f t="shared" si="654"/>
        <v>0</v>
      </c>
    </row>
    <row r="2712" spans="1:33">
      <c r="A2712" s="20" t="s">
        <v>2745</v>
      </c>
      <c r="B2712" s="161"/>
      <c r="C2712" s="21" t="s">
        <v>823</v>
      </c>
      <c r="D2712" s="109" t="s">
        <v>15795</v>
      </c>
      <c r="E2712" s="109" t="s">
        <v>13303</v>
      </c>
      <c r="F2712" s="391" t="s">
        <v>15796</v>
      </c>
      <c r="G2712" s="23"/>
      <c r="H2712" s="23"/>
      <c r="I2712" s="23"/>
      <c r="J2712" s="23"/>
      <c r="K2712" s="23"/>
      <c r="L2712" s="350"/>
      <c r="M2712" s="351"/>
      <c r="N2712" s="267">
        <f t="shared" si="655"/>
        <v>0</v>
      </c>
      <c r="O2712" s="268">
        <f t="shared" si="656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50"/>
        <v>0</v>
      </c>
      <c r="AD2712" s="196">
        <f t="shared" si="651"/>
        <v>0</v>
      </c>
      <c r="AE2712" s="196">
        <f t="shared" si="652"/>
        <v>0</v>
      </c>
      <c r="AF2712" s="2">
        <f t="shared" si="653"/>
        <v>0</v>
      </c>
      <c r="AG2712" s="2">
        <f t="shared" si="654"/>
        <v>0</v>
      </c>
    </row>
    <row r="2713" spans="1:33">
      <c r="A2713" s="20" t="s">
        <v>2744</v>
      </c>
      <c r="B2713" s="161"/>
      <c r="C2713" s="21" t="s">
        <v>823</v>
      </c>
      <c r="D2713" s="109" t="s">
        <v>13859</v>
      </c>
      <c r="E2713" s="109" t="s">
        <v>13303</v>
      </c>
      <c r="F2713" s="391" t="s">
        <v>15796</v>
      </c>
      <c r="G2713" s="23"/>
      <c r="H2713" s="23"/>
      <c r="I2713" s="23"/>
      <c r="J2713" s="23"/>
      <c r="K2713" s="23"/>
      <c r="L2713" s="350"/>
      <c r="M2713" s="351"/>
      <c r="N2713" s="267">
        <f t="shared" si="655"/>
        <v>0</v>
      </c>
      <c r="O2713" s="268">
        <f t="shared" si="656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50"/>
        <v>0</v>
      </c>
      <c r="AD2713" s="196">
        <f t="shared" si="651"/>
        <v>0</v>
      </c>
      <c r="AE2713" s="196">
        <f t="shared" si="652"/>
        <v>0</v>
      </c>
      <c r="AF2713" s="2">
        <f t="shared" si="653"/>
        <v>0</v>
      </c>
      <c r="AG2713" s="2">
        <f t="shared" si="654"/>
        <v>0</v>
      </c>
    </row>
    <row r="2714" spans="1:33">
      <c r="A2714" s="20" t="s">
        <v>2742</v>
      </c>
      <c r="B2714" s="161"/>
      <c r="C2714" s="21" t="s">
        <v>823</v>
      </c>
      <c r="D2714" s="109" t="s">
        <v>13296</v>
      </c>
      <c r="E2714" s="109"/>
      <c r="F2714" s="391" t="s">
        <v>15796</v>
      </c>
      <c r="G2714" s="23" t="s">
        <v>15731</v>
      </c>
      <c r="H2714" s="23" t="s">
        <v>15797</v>
      </c>
      <c r="I2714" s="23"/>
      <c r="J2714" s="23"/>
      <c r="K2714" s="23"/>
      <c r="L2714" s="375" t="s">
        <v>7787</v>
      </c>
      <c r="M2714" s="351" t="s">
        <v>7787</v>
      </c>
      <c r="N2714" s="267">
        <f t="shared" si="655"/>
        <v>0</v>
      </c>
      <c r="O2714" s="268">
        <f t="shared" si="656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79"/>
      <c r="AB2714" s="238"/>
      <c r="AC2714" s="196">
        <f t="shared" si="650"/>
        <v>0</v>
      </c>
      <c r="AD2714" s="196">
        <f t="shared" si="651"/>
        <v>0</v>
      </c>
      <c r="AE2714" s="196">
        <f t="shared" si="652"/>
        <v>0</v>
      </c>
      <c r="AF2714" s="2">
        <f t="shared" si="653"/>
        <v>0</v>
      </c>
      <c r="AG2714" s="2">
        <f t="shared" si="654"/>
        <v>0</v>
      </c>
    </row>
    <row r="2715" spans="1:33">
      <c r="A2715" s="20" t="s">
        <v>2743</v>
      </c>
      <c r="B2715" s="161"/>
      <c r="C2715" s="21" t="s">
        <v>823</v>
      </c>
      <c r="D2715" s="109" t="s">
        <v>13866</v>
      </c>
      <c r="E2715" s="109"/>
      <c r="F2715" s="391" t="s">
        <v>15796</v>
      </c>
      <c r="G2715" s="23"/>
      <c r="H2715" s="23"/>
      <c r="I2715" s="23"/>
      <c r="J2715" s="23"/>
      <c r="K2715" s="23"/>
      <c r="L2715" s="350"/>
      <c r="M2715" s="351"/>
      <c r="N2715" s="267">
        <f t="shared" si="655"/>
        <v>0</v>
      </c>
      <c r="O2715" s="268">
        <f t="shared" si="656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79"/>
      <c r="AB2715" s="238"/>
      <c r="AC2715" s="196">
        <f t="shared" si="650"/>
        <v>0</v>
      </c>
      <c r="AD2715" s="196">
        <f t="shared" si="651"/>
        <v>0</v>
      </c>
      <c r="AE2715" s="196">
        <f t="shared" si="652"/>
        <v>0</v>
      </c>
      <c r="AF2715" s="2">
        <f t="shared" si="653"/>
        <v>0</v>
      </c>
      <c r="AG2715" s="2">
        <f t="shared" si="654"/>
        <v>0</v>
      </c>
    </row>
    <row r="2716" spans="1:33">
      <c r="A2716" s="20" t="s">
        <v>20226</v>
      </c>
      <c r="B2716" s="150"/>
      <c r="C2716" s="21" t="s">
        <v>823</v>
      </c>
      <c r="D2716" s="109" t="s">
        <v>3091</v>
      </c>
      <c r="E2716" s="109" t="s">
        <v>20290</v>
      </c>
      <c r="F2716" s="391" t="s">
        <v>5177</v>
      </c>
      <c r="G2716" s="23" t="s">
        <v>20291</v>
      </c>
      <c r="H2716" s="23"/>
      <c r="I2716" s="23"/>
      <c r="J2716" s="23"/>
      <c r="K2716" s="23"/>
      <c r="L2716" s="350"/>
      <c r="M2716" s="351" t="s">
        <v>7787</v>
      </c>
      <c r="N2716" s="267">
        <f t="shared" si="655"/>
        <v>0</v>
      </c>
      <c r="O2716" s="268">
        <f t="shared" si="656"/>
        <v>0</v>
      </c>
      <c r="P2716" s="239"/>
      <c r="Q2716" s="239"/>
      <c r="R2716" s="239"/>
      <c r="S2716" s="239"/>
      <c r="T2716" s="239"/>
      <c r="U2716" s="240"/>
      <c r="V2716" s="240"/>
      <c r="W2716" s="240"/>
      <c r="X2716" s="278"/>
      <c r="Y2716" s="237"/>
      <c r="Z2716" s="237"/>
      <c r="AA2716" s="297"/>
      <c r="AB2716" s="238"/>
      <c r="AC2716" s="196">
        <f t="shared" si="650"/>
        <v>0</v>
      </c>
      <c r="AD2716" s="196">
        <f t="shared" si="651"/>
        <v>0</v>
      </c>
      <c r="AE2716" s="196">
        <f t="shared" si="652"/>
        <v>0</v>
      </c>
      <c r="AF2716" s="2">
        <f t="shared" si="653"/>
        <v>0</v>
      </c>
      <c r="AG2716" s="2">
        <f t="shared" si="654"/>
        <v>0</v>
      </c>
    </row>
    <row r="2717" spans="1:33">
      <c r="A2717" s="20" t="s">
        <v>2502</v>
      </c>
      <c r="B2717" s="156" t="s">
        <v>15798</v>
      </c>
      <c r="C2717" s="21" t="s">
        <v>525</v>
      </c>
      <c r="D2717" s="109" t="s">
        <v>15799</v>
      </c>
      <c r="E2717" s="109"/>
      <c r="F2717" s="391" t="s">
        <v>15800</v>
      </c>
      <c r="G2717" s="23" t="s">
        <v>15801</v>
      </c>
      <c r="H2717" s="23" t="s">
        <v>15802</v>
      </c>
      <c r="I2717" s="23"/>
      <c r="J2717" s="23"/>
      <c r="K2717" s="23"/>
      <c r="L2717" s="375" t="s">
        <v>7787</v>
      </c>
      <c r="M2717" s="351"/>
      <c r="N2717" s="267">
        <f t="shared" si="655"/>
        <v>0</v>
      </c>
      <c r="O2717" s="268">
        <f t="shared" si="656"/>
        <v>0</v>
      </c>
      <c r="P2717" s="239"/>
      <c r="Q2717" s="239"/>
      <c r="R2717" s="239"/>
      <c r="S2717" s="239"/>
      <c r="T2717" s="239"/>
      <c r="U2717" s="240"/>
      <c r="V2717" s="240"/>
      <c r="W2717" s="240"/>
      <c r="X2717" s="278"/>
      <c r="Y2717" s="237"/>
      <c r="Z2717" s="237"/>
      <c r="AA2717" s="239"/>
      <c r="AB2717" s="238"/>
      <c r="AC2717" s="196">
        <f t="shared" si="650"/>
        <v>0</v>
      </c>
      <c r="AD2717" s="196">
        <f t="shared" si="651"/>
        <v>0</v>
      </c>
      <c r="AE2717" s="196">
        <f t="shared" si="652"/>
        <v>0</v>
      </c>
      <c r="AF2717" s="2">
        <f t="shared" si="653"/>
        <v>0</v>
      </c>
      <c r="AG2717" s="2">
        <f t="shared" si="654"/>
        <v>0</v>
      </c>
    </row>
    <row r="2718" spans="1:33">
      <c r="A2718" s="20" t="s">
        <v>12632</v>
      </c>
      <c r="B2718" s="156"/>
      <c r="C2718" s="21" t="s">
        <v>15803</v>
      </c>
      <c r="D2718" s="109" t="s">
        <v>13441</v>
      </c>
      <c r="E2718" s="109"/>
      <c r="F2718" s="391" t="s">
        <v>15804</v>
      </c>
      <c r="G2718" s="23" t="s">
        <v>15805</v>
      </c>
      <c r="H2718" s="23"/>
      <c r="I2718" s="23"/>
      <c r="J2718" s="23"/>
      <c r="K2718" s="23"/>
      <c r="L2718" s="375" t="s">
        <v>7787</v>
      </c>
      <c r="M2718" s="351" t="s">
        <v>7787</v>
      </c>
      <c r="N2718" s="267">
        <f t="shared" si="655"/>
        <v>0</v>
      </c>
      <c r="O2718" s="268">
        <f t="shared" si="656"/>
        <v>0</v>
      </c>
      <c r="P2718" s="239"/>
      <c r="Q2718" s="239"/>
      <c r="R2718" s="241"/>
      <c r="S2718" s="239"/>
      <c r="T2718" s="239"/>
      <c r="U2718" s="240"/>
      <c r="V2718" s="240"/>
      <c r="W2718" s="240"/>
      <c r="X2718" s="278"/>
      <c r="Y2718" s="237"/>
      <c r="Z2718" s="237"/>
      <c r="AA2718" s="247"/>
      <c r="AB2718" s="238"/>
      <c r="AC2718" s="196">
        <f t="shared" si="650"/>
        <v>0</v>
      </c>
      <c r="AD2718" s="196">
        <f t="shared" si="651"/>
        <v>0</v>
      </c>
      <c r="AE2718" s="196">
        <f t="shared" si="652"/>
        <v>0</v>
      </c>
      <c r="AF2718" s="2">
        <f t="shared" si="653"/>
        <v>0</v>
      </c>
      <c r="AG2718" s="2">
        <f t="shared" si="654"/>
        <v>0</v>
      </c>
    </row>
    <row r="2719" spans="1:33">
      <c r="A2719" s="20" t="s">
        <v>2503</v>
      </c>
      <c r="B2719" s="172" t="s">
        <v>15806</v>
      </c>
      <c r="C2719" s="21" t="s">
        <v>526</v>
      </c>
      <c r="D2719" s="109" t="s">
        <v>13866</v>
      </c>
      <c r="E2719" s="109" t="s">
        <v>15722</v>
      </c>
      <c r="F2719" s="391" t="s">
        <v>15807</v>
      </c>
      <c r="G2719" s="23" t="s">
        <v>15727</v>
      </c>
      <c r="H2719" s="23" t="s">
        <v>15731</v>
      </c>
      <c r="I2719" s="23" t="s">
        <v>15808</v>
      </c>
      <c r="J2719" s="23" t="s">
        <v>18853</v>
      </c>
      <c r="K2719" s="23"/>
      <c r="L2719" s="375" t="s">
        <v>7787</v>
      </c>
      <c r="M2719" s="375" t="s">
        <v>7787</v>
      </c>
      <c r="N2719" s="267">
        <f t="shared" si="655"/>
        <v>0</v>
      </c>
      <c r="O2719" s="268">
        <f t="shared" si="656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79"/>
      <c r="AB2719" s="238"/>
      <c r="AC2719" s="196">
        <f t="shared" si="650"/>
        <v>0</v>
      </c>
      <c r="AD2719" s="196">
        <f t="shared" si="651"/>
        <v>0</v>
      </c>
      <c r="AE2719" s="196">
        <f t="shared" si="652"/>
        <v>0</v>
      </c>
      <c r="AF2719" s="2">
        <f t="shared" si="653"/>
        <v>0</v>
      </c>
      <c r="AG2719" s="2">
        <f t="shared" si="654"/>
        <v>0</v>
      </c>
    </row>
    <row r="2720" spans="1:33">
      <c r="A2720" s="20" t="s">
        <v>2504</v>
      </c>
      <c r="B2720" s="153" t="s">
        <v>15809</v>
      </c>
      <c r="C2720" s="21" t="s">
        <v>527</v>
      </c>
      <c r="D2720" s="109" t="s">
        <v>15694</v>
      </c>
      <c r="E2720" s="109"/>
      <c r="F2720" s="391" t="s">
        <v>15810</v>
      </c>
      <c r="G2720" s="23" t="s">
        <v>15811</v>
      </c>
      <c r="H2720" s="23"/>
      <c r="I2720" s="23"/>
      <c r="J2720" s="23"/>
      <c r="K2720" s="23"/>
      <c r="L2720" s="375" t="s">
        <v>7787</v>
      </c>
      <c r="M2720" s="351" t="s">
        <v>7787</v>
      </c>
      <c r="N2720" s="267">
        <f t="shared" si="655"/>
        <v>0</v>
      </c>
      <c r="O2720" s="268">
        <f t="shared" si="656"/>
        <v>0</v>
      </c>
      <c r="P2720" s="239"/>
      <c r="Q2720" s="239"/>
      <c r="R2720" s="239"/>
      <c r="S2720" s="239"/>
      <c r="T2720" s="239"/>
      <c r="U2720" s="240"/>
      <c r="V2720" s="240"/>
      <c r="W2720" s="240"/>
      <c r="X2720" s="278"/>
      <c r="Y2720" s="237"/>
      <c r="Z2720" s="237"/>
      <c r="AA2720" s="279"/>
      <c r="AB2720" s="238"/>
      <c r="AC2720" s="196">
        <f t="shared" si="650"/>
        <v>0</v>
      </c>
      <c r="AD2720" s="196">
        <f t="shared" si="651"/>
        <v>0</v>
      </c>
      <c r="AE2720" s="196">
        <f t="shared" si="652"/>
        <v>0</v>
      </c>
      <c r="AF2720" s="2">
        <f t="shared" si="653"/>
        <v>0</v>
      </c>
      <c r="AG2720" s="2">
        <f t="shared" si="654"/>
        <v>0</v>
      </c>
    </row>
    <row r="2721" spans="1:33">
      <c r="A2721" s="20" t="s">
        <v>2505</v>
      </c>
      <c r="B2721" s="161"/>
      <c r="C2721" s="21" t="s">
        <v>528</v>
      </c>
      <c r="D2721" s="109" t="s">
        <v>13422</v>
      </c>
      <c r="E2721" s="109" t="s">
        <v>13423</v>
      </c>
      <c r="F2721" s="391" t="s">
        <v>15812</v>
      </c>
      <c r="G2721" s="23" t="s">
        <v>15813</v>
      </c>
      <c r="H2721" s="23"/>
      <c r="I2721" s="23"/>
      <c r="J2721" s="23"/>
      <c r="K2721" s="23"/>
      <c r="L2721" s="350"/>
      <c r="M2721" s="351"/>
      <c r="N2721" s="267">
        <f t="shared" si="655"/>
        <v>0</v>
      </c>
      <c r="O2721" s="268">
        <f t="shared" si="656"/>
        <v>0</v>
      </c>
      <c r="P2721" s="239"/>
      <c r="Q2721" s="239"/>
      <c r="R2721" s="239"/>
      <c r="S2721" s="239"/>
      <c r="T2721" s="239"/>
      <c r="U2721" s="240"/>
      <c r="V2721" s="240"/>
      <c r="W2721" s="240"/>
      <c r="X2721" s="278"/>
      <c r="Y2721" s="237"/>
      <c r="Z2721" s="237"/>
      <c r="AA2721" s="285"/>
      <c r="AB2721" s="238"/>
      <c r="AC2721" s="196">
        <f t="shared" si="650"/>
        <v>0</v>
      </c>
      <c r="AD2721" s="196">
        <f t="shared" si="651"/>
        <v>0</v>
      </c>
      <c r="AE2721" s="196">
        <f t="shared" si="652"/>
        <v>0</v>
      </c>
      <c r="AF2721" s="2">
        <f t="shared" si="653"/>
        <v>0</v>
      </c>
      <c r="AG2721" s="2">
        <f t="shared" si="654"/>
        <v>0</v>
      </c>
    </row>
    <row r="2722" spans="1:33">
      <c r="A2722" s="20" t="s">
        <v>2508</v>
      </c>
      <c r="B2722" s="150"/>
      <c r="C2722" s="21" t="s">
        <v>528</v>
      </c>
      <c r="D2722" s="109" t="s">
        <v>4070</v>
      </c>
      <c r="E2722" s="109" t="s">
        <v>15814</v>
      </c>
      <c r="F2722" s="391" t="s">
        <v>5015</v>
      </c>
      <c r="G2722" s="23" t="s">
        <v>5333</v>
      </c>
      <c r="H2722" s="23"/>
      <c r="I2722" s="23"/>
      <c r="J2722" s="23"/>
      <c r="K2722" s="23"/>
      <c r="L2722" s="350"/>
      <c r="M2722" s="351"/>
      <c r="N2722" s="267">
        <f t="shared" si="655"/>
        <v>0</v>
      </c>
      <c r="O2722" s="268">
        <f t="shared" si="656"/>
        <v>0</v>
      </c>
      <c r="P2722" s="239"/>
      <c r="Q2722" s="239"/>
      <c r="R2722" s="239"/>
      <c r="S2722" s="239"/>
      <c r="T2722" s="239"/>
      <c r="U2722" s="240"/>
      <c r="V2722" s="240"/>
      <c r="W2722" s="240">
        <v>0</v>
      </c>
      <c r="X2722" s="278"/>
      <c r="Y2722" s="237"/>
      <c r="Z2722" s="237"/>
      <c r="AA2722" s="279"/>
      <c r="AB2722" s="238"/>
      <c r="AC2722" s="196">
        <f t="shared" si="650"/>
        <v>0</v>
      </c>
      <c r="AD2722" s="196">
        <f t="shared" si="651"/>
        <v>0</v>
      </c>
      <c r="AE2722" s="196">
        <f t="shared" si="652"/>
        <v>0</v>
      </c>
      <c r="AF2722" s="2">
        <f t="shared" si="653"/>
        <v>0</v>
      </c>
      <c r="AG2722" s="2">
        <f t="shared" si="654"/>
        <v>0</v>
      </c>
    </row>
    <row r="2723" spans="1:33">
      <c r="A2723" s="20" t="s">
        <v>2507</v>
      </c>
      <c r="B2723" s="152"/>
      <c r="C2723" s="21" t="s">
        <v>528</v>
      </c>
      <c r="D2723" s="109" t="s">
        <v>14815</v>
      </c>
      <c r="E2723" s="109" t="s">
        <v>15815</v>
      </c>
      <c r="F2723" s="391" t="s">
        <v>15812</v>
      </c>
      <c r="G2723" s="23" t="s">
        <v>13420</v>
      </c>
      <c r="H2723" s="23"/>
      <c r="I2723" s="23"/>
      <c r="J2723" s="23"/>
      <c r="K2723" s="23"/>
      <c r="L2723" s="375"/>
      <c r="M2723" s="351" t="s">
        <v>7787</v>
      </c>
      <c r="N2723" s="267">
        <f t="shared" si="655"/>
        <v>0</v>
      </c>
      <c r="O2723" s="268">
        <f t="shared" si="656"/>
        <v>0</v>
      </c>
      <c r="P2723" s="239"/>
      <c r="Q2723" s="239"/>
      <c r="R2723" s="239"/>
      <c r="S2723" s="239"/>
      <c r="T2723" s="239"/>
      <c r="U2723" s="240"/>
      <c r="V2723" s="240"/>
      <c r="W2723" s="240"/>
      <c r="X2723" s="278"/>
      <c r="Y2723" s="237"/>
      <c r="Z2723" s="237"/>
      <c r="AA2723" s="279"/>
      <c r="AB2723" s="238"/>
      <c r="AC2723" s="196">
        <f t="shared" si="650"/>
        <v>0</v>
      </c>
      <c r="AD2723" s="196">
        <f t="shared" si="651"/>
        <v>0</v>
      </c>
      <c r="AE2723" s="196">
        <f t="shared" si="652"/>
        <v>0</v>
      </c>
      <c r="AF2723" s="2">
        <f t="shared" si="653"/>
        <v>0</v>
      </c>
      <c r="AG2723" s="2">
        <f t="shared" si="654"/>
        <v>0</v>
      </c>
    </row>
    <row r="2724" spans="1:33">
      <c r="A2724" s="20" t="s">
        <v>2509</v>
      </c>
      <c r="B2724" s="162"/>
      <c r="C2724" s="21" t="s">
        <v>528</v>
      </c>
      <c r="D2724" s="109" t="s">
        <v>4070</v>
      </c>
      <c r="E2724" s="109" t="s">
        <v>15816</v>
      </c>
      <c r="F2724" s="391" t="s">
        <v>5015</v>
      </c>
      <c r="G2724" s="23" t="s">
        <v>5333</v>
      </c>
      <c r="H2724" s="23"/>
      <c r="I2724" s="23"/>
      <c r="J2724" s="23"/>
      <c r="K2724" s="23"/>
      <c r="L2724" s="375"/>
      <c r="M2724" s="351" t="s">
        <v>7787</v>
      </c>
      <c r="N2724" s="267">
        <f t="shared" si="655"/>
        <v>0</v>
      </c>
      <c r="O2724" s="268">
        <f t="shared" si="656"/>
        <v>0</v>
      </c>
      <c r="P2724" s="239"/>
      <c r="Q2724" s="239"/>
      <c r="R2724" s="239"/>
      <c r="S2724" s="239"/>
      <c r="T2724" s="239"/>
      <c r="U2724" s="240"/>
      <c r="V2724" s="240"/>
      <c r="W2724" s="240"/>
      <c r="X2724" s="278"/>
      <c r="Y2724" s="237"/>
      <c r="Z2724" s="237"/>
      <c r="AA2724" s="279"/>
      <c r="AB2724" s="238"/>
      <c r="AC2724" s="196">
        <f t="shared" si="650"/>
        <v>0</v>
      </c>
      <c r="AD2724" s="196">
        <f t="shared" si="651"/>
        <v>0</v>
      </c>
      <c r="AE2724" s="196">
        <f t="shared" si="652"/>
        <v>0</v>
      </c>
      <c r="AF2724" s="2">
        <f t="shared" si="653"/>
        <v>0</v>
      </c>
      <c r="AG2724" s="2">
        <f t="shared" si="654"/>
        <v>0</v>
      </c>
    </row>
    <row r="2725" spans="1:33">
      <c r="A2725" s="20" t="s">
        <v>7315</v>
      </c>
      <c r="B2725" s="162"/>
      <c r="C2725" s="21" t="s">
        <v>528</v>
      </c>
      <c r="D2725" s="109" t="s">
        <v>4070</v>
      </c>
      <c r="E2725" s="109" t="s">
        <v>26777</v>
      </c>
      <c r="F2725" s="391" t="s">
        <v>5015</v>
      </c>
      <c r="G2725" s="23" t="s">
        <v>15817</v>
      </c>
      <c r="H2725" s="23" t="s">
        <v>15818</v>
      </c>
      <c r="I2725" s="23" t="s">
        <v>13888</v>
      </c>
      <c r="J2725" s="23" t="s">
        <v>23849</v>
      </c>
      <c r="K2725" s="23" t="s">
        <v>24401</v>
      </c>
      <c r="L2725" s="375" t="s">
        <v>45</v>
      </c>
      <c r="M2725" s="351" t="s">
        <v>45</v>
      </c>
      <c r="N2725" s="267">
        <f t="shared" si="655"/>
        <v>0</v>
      </c>
      <c r="O2725" s="268">
        <f t="shared" si="656"/>
        <v>150</v>
      </c>
      <c r="P2725" s="239"/>
      <c r="Q2725" s="239"/>
      <c r="R2725" s="239"/>
      <c r="S2725" s="239"/>
      <c r="T2725" s="239">
        <f>350-50-200-50+400-300-100</f>
        <v>50</v>
      </c>
      <c r="U2725" s="240">
        <f>400-300</f>
        <v>100</v>
      </c>
      <c r="V2725" s="240"/>
      <c r="W2725" s="240"/>
      <c r="X2725" s="278"/>
      <c r="Y2725" s="240"/>
      <c r="Z2725" s="237"/>
      <c r="AA2725" s="279"/>
      <c r="AB2725" s="238" t="s">
        <v>26778</v>
      </c>
      <c r="AC2725" s="196">
        <f t="shared" ref="AC2725:AC2788" si="657">SUM(P2725:AA2725)</f>
        <v>150</v>
      </c>
      <c r="AD2725" s="196">
        <f t="shared" ref="AD2725:AD2788" si="658">SUM(P2725:AB2725)</f>
        <v>150</v>
      </c>
      <c r="AE2725" s="196">
        <f t="shared" ref="AE2725:AE2788" si="659">SUM(AC2725-AD2725)</f>
        <v>0</v>
      </c>
      <c r="AF2725" s="2">
        <f t="shared" ref="AF2725:AF2788" si="660">+AC2725</f>
        <v>150</v>
      </c>
      <c r="AG2725" s="2">
        <f t="shared" ref="AG2725:AG2788" si="661">+AC2725-AF2725</f>
        <v>0</v>
      </c>
    </row>
    <row r="2726" spans="1:33">
      <c r="A2726" s="20" t="s">
        <v>2506</v>
      </c>
      <c r="B2726" s="161"/>
      <c r="C2726" s="21" t="s">
        <v>528</v>
      </c>
      <c r="D2726" s="109" t="s">
        <v>15819</v>
      </c>
      <c r="E2726" s="109"/>
      <c r="F2726" s="391" t="s">
        <v>15812</v>
      </c>
      <c r="G2726" s="23" t="s">
        <v>15820</v>
      </c>
      <c r="H2726" s="23"/>
      <c r="I2726" s="23"/>
      <c r="J2726" s="23"/>
      <c r="K2726" s="23"/>
      <c r="L2726" s="375" t="s">
        <v>7787</v>
      </c>
      <c r="M2726" s="351" t="s">
        <v>7787</v>
      </c>
      <c r="N2726" s="267">
        <f t="shared" si="655"/>
        <v>0</v>
      </c>
      <c r="O2726" s="268">
        <f t="shared" si="656"/>
        <v>0</v>
      </c>
      <c r="P2726" s="239"/>
      <c r="Q2726" s="239"/>
      <c r="R2726" s="239"/>
      <c r="S2726" s="239"/>
      <c r="T2726" s="239"/>
      <c r="U2726" s="240"/>
      <c r="V2726" s="240"/>
      <c r="W2726" s="240"/>
      <c r="X2726" s="278"/>
      <c r="Y2726" s="237"/>
      <c r="Z2726" s="237"/>
      <c r="AA2726" s="279"/>
      <c r="AB2726" s="238"/>
      <c r="AC2726" s="196">
        <f t="shared" si="657"/>
        <v>0</v>
      </c>
      <c r="AD2726" s="196">
        <f t="shared" si="658"/>
        <v>0</v>
      </c>
      <c r="AE2726" s="196">
        <f t="shared" si="659"/>
        <v>0</v>
      </c>
      <c r="AF2726" s="2">
        <f t="shared" si="660"/>
        <v>0</v>
      </c>
      <c r="AG2726" s="2">
        <f t="shared" si="661"/>
        <v>0</v>
      </c>
    </row>
    <row r="2727" spans="1:33">
      <c r="A2727" s="20" t="s">
        <v>2516</v>
      </c>
      <c r="B2727" s="150"/>
      <c r="C2727" s="21" t="s">
        <v>15821</v>
      </c>
      <c r="D2727" s="109" t="s">
        <v>15822</v>
      </c>
      <c r="E2727" s="109" t="s">
        <v>13423</v>
      </c>
      <c r="F2727" s="391" t="s">
        <v>15823</v>
      </c>
      <c r="G2727" s="23" t="s">
        <v>13421</v>
      </c>
      <c r="H2727" s="23"/>
      <c r="I2727" s="23"/>
      <c r="J2727" s="23"/>
      <c r="K2727" s="23"/>
      <c r="L2727" s="350"/>
      <c r="M2727" s="351"/>
      <c r="N2727" s="267">
        <f t="shared" si="655"/>
        <v>0</v>
      </c>
      <c r="O2727" s="268">
        <f t="shared" si="656"/>
        <v>0</v>
      </c>
      <c r="P2727" s="239"/>
      <c r="Q2727" s="239"/>
      <c r="R2727" s="239"/>
      <c r="S2727" s="239"/>
      <c r="T2727" s="239"/>
      <c r="U2727" s="240">
        <v>0</v>
      </c>
      <c r="V2727" s="240"/>
      <c r="W2727" s="240"/>
      <c r="X2727" s="278"/>
      <c r="Y2727" s="237"/>
      <c r="Z2727" s="237"/>
      <c r="AA2727" s="279"/>
      <c r="AB2727" s="238"/>
      <c r="AC2727" s="196">
        <f t="shared" si="657"/>
        <v>0</v>
      </c>
      <c r="AD2727" s="196">
        <f t="shared" si="658"/>
        <v>0</v>
      </c>
      <c r="AE2727" s="196">
        <f t="shared" si="659"/>
        <v>0</v>
      </c>
      <c r="AF2727" s="2">
        <f t="shared" si="660"/>
        <v>0</v>
      </c>
      <c r="AG2727" s="2">
        <f t="shared" si="661"/>
        <v>0</v>
      </c>
    </row>
    <row r="2728" spans="1:33">
      <c r="A2728" s="20" t="s">
        <v>2510</v>
      </c>
      <c r="B2728" s="156"/>
      <c r="C2728" s="21" t="s">
        <v>15821</v>
      </c>
      <c r="D2728" s="109" t="s">
        <v>15744</v>
      </c>
      <c r="E2728" s="109" t="s">
        <v>13153</v>
      </c>
      <c r="F2728" s="391" t="s">
        <v>15823</v>
      </c>
      <c r="G2728" s="23" t="s">
        <v>13421</v>
      </c>
      <c r="H2728" s="23"/>
      <c r="I2728" s="23"/>
      <c r="J2728" s="23"/>
      <c r="K2728" s="23"/>
      <c r="L2728" s="375"/>
      <c r="M2728" s="367" t="s">
        <v>7787</v>
      </c>
      <c r="N2728" s="267">
        <f t="shared" si="655"/>
        <v>0</v>
      </c>
      <c r="O2728" s="268">
        <f t="shared" si="656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7"/>
        <v>0</v>
      </c>
      <c r="AD2728" s="196">
        <f t="shared" si="658"/>
        <v>0</v>
      </c>
      <c r="AE2728" s="196">
        <f t="shared" si="659"/>
        <v>0</v>
      </c>
      <c r="AF2728" s="2">
        <f t="shared" si="660"/>
        <v>0</v>
      </c>
      <c r="AG2728" s="2">
        <f t="shared" si="661"/>
        <v>0</v>
      </c>
    </row>
    <row r="2729" spans="1:33">
      <c r="A2729" s="20" t="s">
        <v>2511</v>
      </c>
      <c r="B2729" s="161"/>
      <c r="C2729" s="21" t="s">
        <v>5018</v>
      </c>
      <c r="D2729" s="109" t="s">
        <v>15744</v>
      </c>
      <c r="E2729" s="109"/>
      <c r="F2729" s="391" t="s">
        <v>15823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5"/>
        <v>0</v>
      </c>
      <c r="O2729" s="268">
        <f t="shared" si="656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7"/>
        <v>0</v>
      </c>
      <c r="AD2729" s="196">
        <f t="shared" si="658"/>
        <v>0</v>
      </c>
      <c r="AE2729" s="196">
        <f t="shared" si="659"/>
        <v>0</v>
      </c>
      <c r="AF2729" s="2">
        <f t="shared" si="660"/>
        <v>0</v>
      </c>
      <c r="AG2729" s="2">
        <f t="shared" si="661"/>
        <v>0</v>
      </c>
    </row>
    <row r="2730" spans="1:33">
      <c r="A2730" s="20" t="s">
        <v>2512</v>
      </c>
      <c r="B2730" s="156"/>
      <c r="C2730" s="21" t="s">
        <v>5018</v>
      </c>
      <c r="D2730" s="109" t="s">
        <v>15744</v>
      </c>
      <c r="E2730" s="109"/>
      <c r="F2730" s="391" t="s">
        <v>15824</v>
      </c>
      <c r="G2730" s="23" t="s">
        <v>13421</v>
      </c>
      <c r="H2730" s="23"/>
      <c r="I2730" s="23"/>
      <c r="J2730" s="23"/>
      <c r="K2730" s="23"/>
      <c r="L2730" s="350"/>
      <c r="M2730" s="351"/>
      <c r="N2730" s="267">
        <f t="shared" si="655"/>
        <v>0</v>
      </c>
      <c r="O2730" s="268">
        <f t="shared" si="656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37"/>
      <c r="Z2730" s="237"/>
      <c r="AA2730" s="279"/>
      <c r="AB2730" s="238"/>
      <c r="AC2730" s="196">
        <f t="shared" si="657"/>
        <v>0</v>
      </c>
      <c r="AD2730" s="196">
        <f t="shared" si="658"/>
        <v>0</v>
      </c>
      <c r="AE2730" s="196">
        <f t="shared" si="659"/>
        <v>0</v>
      </c>
      <c r="AF2730" s="2">
        <f t="shared" si="660"/>
        <v>0</v>
      </c>
      <c r="AG2730" s="2">
        <f t="shared" si="661"/>
        <v>0</v>
      </c>
    </row>
    <row r="2731" spans="1:33">
      <c r="A2731" s="20" t="s">
        <v>2513</v>
      </c>
      <c r="B2731" s="161"/>
      <c r="C2731" s="21" t="s">
        <v>5019</v>
      </c>
      <c r="D2731" s="109" t="s">
        <v>15744</v>
      </c>
      <c r="E2731" s="109"/>
      <c r="F2731" s="391" t="s">
        <v>15823</v>
      </c>
      <c r="G2731" s="23" t="s">
        <v>13421</v>
      </c>
      <c r="H2731" s="23"/>
      <c r="I2731" s="23"/>
      <c r="J2731" s="23"/>
      <c r="K2731" s="23"/>
      <c r="L2731" s="350"/>
      <c r="M2731" s="351"/>
      <c r="N2731" s="267">
        <f t="shared" si="655"/>
        <v>0</v>
      </c>
      <c r="O2731" s="268">
        <f t="shared" si="656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37"/>
      <c r="Z2731" s="237"/>
      <c r="AA2731" s="279"/>
      <c r="AB2731" s="238"/>
      <c r="AC2731" s="196">
        <f t="shared" si="657"/>
        <v>0</v>
      </c>
      <c r="AD2731" s="196">
        <f t="shared" si="658"/>
        <v>0</v>
      </c>
      <c r="AE2731" s="196">
        <f t="shared" si="659"/>
        <v>0</v>
      </c>
      <c r="AF2731" s="2">
        <f t="shared" si="660"/>
        <v>0</v>
      </c>
      <c r="AG2731" s="2">
        <f t="shared" si="661"/>
        <v>0</v>
      </c>
    </row>
    <row r="2732" spans="1:33">
      <c r="A2732" s="20" t="s">
        <v>2514</v>
      </c>
      <c r="B2732" s="151"/>
      <c r="C2732" s="21" t="s">
        <v>5020</v>
      </c>
      <c r="D2732" s="109" t="s">
        <v>15744</v>
      </c>
      <c r="E2732" s="109"/>
      <c r="F2732" s="391" t="s">
        <v>15823</v>
      </c>
      <c r="G2732" s="23" t="s">
        <v>13421</v>
      </c>
      <c r="H2732" s="23"/>
      <c r="I2732" s="23"/>
      <c r="J2732" s="23"/>
      <c r="K2732" s="23"/>
      <c r="L2732" s="350"/>
      <c r="M2732" s="362"/>
      <c r="N2732" s="267">
        <f t="shared" si="655"/>
        <v>0</v>
      </c>
      <c r="O2732" s="268">
        <f t="shared" si="656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79"/>
      <c r="AB2732" s="238"/>
      <c r="AC2732" s="196">
        <f t="shared" si="657"/>
        <v>0</v>
      </c>
      <c r="AD2732" s="196">
        <f t="shared" si="658"/>
        <v>0</v>
      </c>
      <c r="AE2732" s="196">
        <f t="shared" si="659"/>
        <v>0</v>
      </c>
      <c r="AF2732" s="2">
        <f t="shared" si="660"/>
        <v>0</v>
      </c>
      <c r="AG2732" s="2">
        <f t="shared" si="661"/>
        <v>0</v>
      </c>
    </row>
    <row r="2733" spans="1:33">
      <c r="A2733" s="20" t="s">
        <v>2515</v>
      </c>
      <c r="B2733" s="156"/>
      <c r="C2733" s="21" t="s">
        <v>5020</v>
      </c>
      <c r="D2733" s="109" t="s">
        <v>15744</v>
      </c>
      <c r="E2733" s="109"/>
      <c r="F2733" s="391" t="s">
        <v>15824</v>
      </c>
      <c r="G2733" s="23" t="s">
        <v>13421</v>
      </c>
      <c r="H2733" s="23"/>
      <c r="I2733" s="23"/>
      <c r="J2733" s="23"/>
      <c r="K2733" s="23"/>
      <c r="L2733" s="350"/>
      <c r="M2733" s="351"/>
      <c r="N2733" s="267">
        <f t="shared" si="655"/>
        <v>0</v>
      </c>
      <c r="O2733" s="268">
        <f t="shared" si="656"/>
        <v>0</v>
      </c>
      <c r="P2733" s="239"/>
      <c r="Q2733" s="239"/>
      <c r="R2733" s="239"/>
      <c r="S2733" s="239"/>
      <c r="T2733" s="239"/>
      <c r="U2733" s="240"/>
      <c r="V2733" s="240"/>
      <c r="W2733" s="240"/>
      <c r="X2733" s="278"/>
      <c r="Y2733" s="240"/>
      <c r="Z2733" s="237"/>
      <c r="AA2733" s="279"/>
      <c r="AB2733" s="238"/>
      <c r="AC2733" s="196">
        <f t="shared" si="657"/>
        <v>0</v>
      </c>
      <c r="AD2733" s="196">
        <f t="shared" si="658"/>
        <v>0</v>
      </c>
      <c r="AE2733" s="196">
        <f t="shared" si="659"/>
        <v>0</v>
      </c>
      <c r="AF2733" s="2">
        <f t="shared" si="660"/>
        <v>0</v>
      </c>
      <c r="AG2733" s="2">
        <f t="shared" si="661"/>
        <v>0</v>
      </c>
    </row>
    <row r="2734" spans="1:33">
      <c r="A2734" s="20" t="s">
        <v>2517</v>
      </c>
      <c r="B2734" s="151"/>
      <c r="C2734" s="21" t="s">
        <v>530</v>
      </c>
      <c r="D2734" s="109" t="s">
        <v>14846</v>
      </c>
      <c r="E2734" s="109"/>
      <c r="F2734" s="391" t="s">
        <v>15825</v>
      </c>
      <c r="G2734" s="23" t="s">
        <v>15775</v>
      </c>
      <c r="H2734" s="23" t="s">
        <v>15826</v>
      </c>
      <c r="I2734" s="23"/>
      <c r="J2734" s="23"/>
      <c r="K2734" s="23"/>
      <c r="L2734" s="375"/>
      <c r="M2734" s="351" t="s">
        <v>7787</v>
      </c>
      <c r="N2734" s="267">
        <f t="shared" si="655"/>
        <v>0</v>
      </c>
      <c r="O2734" s="268">
        <f t="shared" si="656"/>
        <v>0</v>
      </c>
      <c r="P2734" s="239"/>
      <c r="Q2734" s="239"/>
      <c r="R2734" s="239"/>
      <c r="S2734" s="239"/>
      <c r="T2734" s="239"/>
      <c r="U2734" s="240"/>
      <c r="V2734" s="240"/>
      <c r="W2734" s="240"/>
      <c r="X2734" s="278"/>
      <c r="Y2734" s="240"/>
      <c r="Z2734" s="237"/>
      <c r="AA2734" s="237"/>
      <c r="AB2734" s="238"/>
      <c r="AC2734" s="196">
        <f t="shared" si="657"/>
        <v>0</v>
      </c>
      <c r="AD2734" s="196">
        <f t="shared" si="658"/>
        <v>0</v>
      </c>
      <c r="AE2734" s="196">
        <f t="shared" si="659"/>
        <v>0</v>
      </c>
      <c r="AF2734" s="2">
        <f t="shared" si="660"/>
        <v>0</v>
      </c>
      <c r="AG2734" s="2">
        <f t="shared" si="661"/>
        <v>0</v>
      </c>
    </row>
    <row r="2735" spans="1:33">
      <c r="A2735" s="20" t="s">
        <v>11284</v>
      </c>
      <c r="B2735" s="156"/>
      <c r="C2735" s="21" t="s">
        <v>530</v>
      </c>
      <c r="D2735" s="109" t="s">
        <v>4071</v>
      </c>
      <c r="E2735" s="109"/>
      <c r="F2735" s="391" t="s">
        <v>10745</v>
      </c>
      <c r="G2735" s="23" t="s">
        <v>15827</v>
      </c>
      <c r="H2735" s="23" t="s">
        <v>15071</v>
      </c>
      <c r="I2735" s="23"/>
      <c r="J2735" s="23"/>
      <c r="K2735" s="23"/>
      <c r="L2735" s="375" t="s">
        <v>7787</v>
      </c>
      <c r="M2735" s="351" t="s">
        <v>7787</v>
      </c>
      <c r="N2735" s="267">
        <f t="shared" si="655"/>
        <v>0</v>
      </c>
      <c r="O2735" s="268">
        <f t="shared" si="656"/>
        <v>700</v>
      </c>
      <c r="P2735" s="239"/>
      <c r="Q2735" s="239"/>
      <c r="R2735" s="239"/>
      <c r="S2735" s="239"/>
      <c r="T2735" s="239"/>
      <c r="U2735" s="240">
        <f>1000-300</f>
        <v>700</v>
      </c>
      <c r="V2735" s="240"/>
      <c r="W2735" s="240"/>
      <c r="X2735" s="278"/>
      <c r="Y2735" s="240"/>
      <c r="Z2735" s="237"/>
      <c r="AA2735" s="237"/>
      <c r="AB2735" s="238" t="s">
        <v>23434</v>
      </c>
      <c r="AC2735" s="196">
        <f t="shared" si="657"/>
        <v>700</v>
      </c>
      <c r="AD2735" s="196">
        <f t="shared" si="658"/>
        <v>700</v>
      </c>
      <c r="AE2735" s="196">
        <f t="shared" si="659"/>
        <v>0</v>
      </c>
      <c r="AF2735" s="2">
        <f t="shared" si="660"/>
        <v>700</v>
      </c>
      <c r="AG2735" s="2">
        <f t="shared" si="661"/>
        <v>0</v>
      </c>
    </row>
    <row r="2736" spans="1:33">
      <c r="A2736" s="20" t="s">
        <v>2518</v>
      </c>
      <c r="B2736" s="156"/>
      <c r="C2736" s="21" t="s">
        <v>530</v>
      </c>
      <c r="D2736" s="109" t="s">
        <v>14846</v>
      </c>
      <c r="E2736" s="109"/>
      <c r="F2736" s="391" t="s">
        <v>15828</v>
      </c>
      <c r="G2736" s="23" t="s">
        <v>15829</v>
      </c>
      <c r="H2736" s="23" t="s">
        <v>15830</v>
      </c>
      <c r="I2736" s="23"/>
      <c r="J2736" s="23"/>
      <c r="K2736" s="23"/>
      <c r="L2736" s="375" t="s">
        <v>7787</v>
      </c>
      <c r="M2736" s="351" t="s">
        <v>7787</v>
      </c>
      <c r="N2736" s="267">
        <f t="shared" si="655"/>
        <v>0</v>
      </c>
      <c r="O2736" s="268">
        <f t="shared" si="656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37"/>
      <c r="AB2736" s="238"/>
      <c r="AC2736" s="196">
        <f t="shared" si="657"/>
        <v>0</v>
      </c>
      <c r="AD2736" s="196">
        <f t="shared" si="658"/>
        <v>0</v>
      </c>
      <c r="AE2736" s="196">
        <f t="shared" si="659"/>
        <v>0</v>
      </c>
      <c r="AF2736" s="2">
        <f t="shared" si="660"/>
        <v>0</v>
      </c>
      <c r="AG2736" s="2">
        <f t="shared" si="661"/>
        <v>0</v>
      </c>
    </row>
    <row r="2737" spans="1:33">
      <c r="A2737" s="20" t="s">
        <v>2519</v>
      </c>
      <c r="B2737" s="161"/>
      <c r="C2737" s="21" t="s">
        <v>531</v>
      </c>
      <c r="D2737" s="109" t="s">
        <v>13441</v>
      </c>
      <c r="E2737" s="109"/>
      <c r="F2737" s="391" t="s">
        <v>15831</v>
      </c>
      <c r="G2737" s="23" t="s">
        <v>15832</v>
      </c>
      <c r="H2737" s="23"/>
      <c r="I2737" s="23"/>
      <c r="J2737" s="23"/>
      <c r="K2737" s="23"/>
      <c r="L2737" s="375" t="s">
        <v>7787</v>
      </c>
      <c r="M2737" s="351"/>
      <c r="N2737" s="267">
        <f t="shared" si="655"/>
        <v>0</v>
      </c>
      <c r="O2737" s="268">
        <f t="shared" si="656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7"/>
        <v>0</v>
      </c>
      <c r="AD2737" s="196">
        <f t="shared" si="658"/>
        <v>0</v>
      </c>
      <c r="AE2737" s="196">
        <f t="shared" si="659"/>
        <v>0</v>
      </c>
      <c r="AF2737" s="2">
        <f t="shared" si="660"/>
        <v>0</v>
      </c>
      <c r="AG2737" s="2">
        <f t="shared" si="661"/>
        <v>0</v>
      </c>
    </row>
    <row r="2738" spans="1:33">
      <c r="A2738" s="20" t="s">
        <v>2746</v>
      </c>
      <c r="B2738" s="161"/>
      <c r="C2738" s="21" t="s">
        <v>824</v>
      </c>
      <c r="D2738" s="109" t="s">
        <v>13422</v>
      </c>
      <c r="E2738" s="109" t="s">
        <v>13423</v>
      </c>
      <c r="F2738" s="391" t="s">
        <v>15833</v>
      </c>
      <c r="G2738" s="23"/>
      <c r="H2738" s="23"/>
      <c r="I2738" s="23"/>
      <c r="J2738" s="23"/>
      <c r="K2738" s="23"/>
      <c r="L2738" s="350"/>
      <c r="M2738" s="351"/>
      <c r="N2738" s="267">
        <f t="shared" si="655"/>
        <v>0</v>
      </c>
      <c r="O2738" s="268">
        <f t="shared" si="656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37"/>
      <c r="Z2738" s="237"/>
      <c r="AA2738" s="279"/>
      <c r="AB2738" s="238"/>
      <c r="AC2738" s="196">
        <f t="shared" si="657"/>
        <v>0</v>
      </c>
      <c r="AD2738" s="196">
        <f t="shared" si="658"/>
        <v>0</v>
      </c>
      <c r="AE2738" s="196">
        <f t="shared" si="659"/>
        <v>0</v>
      </c>
      <c r="AF2738" s="2">
        <f t="shared" si="660"/>
        <v>0</v>
      </c>
      <c r="AG2738" s="2">
        <f t="shared" si="661"/>
        <v>0</v>
      </c>
    </row>
    <row r="2739" spans="1:33">
      <c r="A2739" s="20" t="s">
        <v>2747</v>
      </c>
      <c r="B2739" s="150"/>
      <c r="C2739" s="21" t="s">
        <v>824</v>
      </c>
      <c r="D2739" s="109" t="s">
        <v>13438</v>
      </c>
      <c r="E2739" s="109"/>
      <c r="F2739" s="391" t="s">
        <v>15833</v>
      </c>
      <c r="G2739" s="23" t="s">
        <v>13451</v>
      </c>
      <c r="H2739" s="23"/>
      <c r="I2739" s="23"/>
      <c r="J2739" s="23"/>
      <c r="K2739" s="23"/>
      <c r="L2739" s="350"/>
      <c r="M2739" s="351"/>
      <c r="N2739" s="267">
        <f t="shared" si="655"/>
        <v>0</v>
      </c>
      <c r="O2739" s="268">
        <f t="shared" si="656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37"/>
      <c r="Z2739" s="237"/>
      <c r="AA2739" s="279"/>
      <c r="AB2739" s="238"/>
      <c r="AC2739" s="196">
        <f t="shared" si="657"/>
        <v>0</v>
      </c>
      <c r="AD2739" s="196">
        <f t="shared" si="658"/>
        <v>0</v>
      </c>
      <c r="AE2739" s="196">
        <f t="shared" si="659"/>
        <v>0</v>
      </c>
      <c r="AF2739" s="2">
        <f t="shared" si="660"/>
        <v>0</v>
      </c>
      <c r="AG2739" s="2">
        <f t="shared" si="661"/>
        <v>0</v>
      </c>
    </row>
    <row r="2740" spans="1:33">
      <c r="A2740" s="20" t="s">
        <v>2748</v>
      </c>
      <c r="B2740" s="161"/>
      <c r="C2740" s="21" t="s">
        <v>824</v>
      </c>
      <c r="D2740" s="109" t="s">
        <v>13443</v>
      </c>
      <c r="E2740" s="109"/>
      <c r="F2740" s="391" t="s">
        <v>15833</v>
      </c>
      <c r="G2740" s="23"/>
      <c r="H2740" s="23"/>
      <c r="I2740" s="23"/>
      <c r="J2740" s="23"/>
      <c r="K2740" s="23"/>
      <c r="L2740" s="350"/>
      <c r="M2740" s="351"/>
      <c r="N2740" s="267">
        <f t="shared" si="655"/>
        <v>0</v>
      </c>
      <c r="O2740" s="268">
        <f t="shared" si="656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78"/>
      <c r="Y2740" s="240"/>
      <c r="Z2740" s="237"/>
      <c r="AA2740" s="279"/>
      <c r="AB2740" s="238"/>
      <c r="AC2740" s="196">
        <f t="shared" si="657"/>
        <v>0</v>
      </c>
      <c r="AD2740" s="196">
        <f t="shared" si="658"/>
        <v>0</v>
      </c>
      <c r="AE2740" s="196">
        <f t="shared" si="659"/>
        <v>0</v>
      </c>
      <c r="AF2740" s="2">
        <f t="shared" si="660"/>
        <v>0</v>
      </c>
      <c r="AG2740" s="2">
        <f t="shared" si="661"/>
        <v>0</v>
      </c>
    </row>
    <row r="2741" spans="1:33">
      <c r="A2741" s="20" t="s">
        <v>2522</v>
      </c>
      <c r="B2741" s="161"/>
      <c r="C2741" s="21" t="s">
        <v>532</v>
      </c>
      <c r="D2741" s="109" t="s">
        <v>15822</v>
      </c>
      <c r="E2741" s="109" t="s">
        <v>13423</v>
      </c>
      <c r="F2741" s="399" t="s">
        <v>15834</v>
      </c>
      <c r="G2741" s="23" t="s">
        <v>13421</v>
      </c>
      <c r="H2741" s="23"/>
      <c r="I2741" s="23"/>
      <c r="J2741" s="23"/>
      <c r="K2741" s="23"/>
      <c r="L2741" s="350"/>
      <c r="M2741" s="351"/>
      <c r="N2741" s="267">
        <f t="shared" si="655"/>
        <v>0</v>
      </c>
      <c r="O2741" s="268">
        <f t="shared" si="656"/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78"/>
      <c r="Y2741" s="278"/>
      <c r="Z2741" s="237"/>
      <c r="AA2741" s="279"/>
      <c r="AB2741" s="238"/>
      <c r="AC2741" s="196">
        <f t="shared" si="657"/>
        <v>0</v>
      </c>
      <c r="AD2741" s="196">
        <f t="shared" si="658"/>
        <v>0</v>
      </c>
      <c r="AE2741" s="196">
        <f t="shared" si="659"/>
        <v>0</v>
      </c>
      <c r="AF2741" s="2">
        <f t="shared" si="660"/>
        <v>0</v>
      </c>
      <c r="AG2741" s="2">
        <f t="shared" si="661"/>
        <v>0</v>
      </c>
    </row>
    <row r="2742" spans="1:33" ht="17.25" customHeight="1">
      <c r="A2742" s="20" t="s">
        <v>2521</v>
      </c>
      <c r="B2742" s="156" t="s">
        <v>5864</v>
      </c>
      <c r="C2742" s="21" t="s">
        <v>15835</v>
      </c>
      <c r="D2742" s="109" t="s">
        <v>4062</v>
      </c>
      <c r="E2742" s="109" t="s">
        <v>15836</v>
      </c>
      <c r="F2742" s="399" t="s">
        <v>15837</v>
      </c>
      <c r="G2742" s="23" t="s">
        <v>5512</v>
      </c>
      <c r="H2742" s="23" t="s">
        <v>5416</v>
      </c>
      <c r="I2742" s="23" t="s">
        <v>15838</v>
      </c>
      <c r="J2742" s="23"/>
      <c r="K2742" s="23"/>
      <c r="L2742" s="359" t="s">
        <v>7787</v>
      </c>
      <c r="M2742" s="357" t="s">
        <v>7787</v>
      </c>
      <c r="N2742" s="267">
        <f t="shared" si="655"/>
        <v>0</v>
      </c>
      <c r="O2742" s="268">
        <f t="shared" si="656"/>
        <v>0</v>
      </c>
      <c r="P2742" s="239"/>
      <c r="Q2742" s="239"/>
      <c r="R2742" s="239"/>
      <c r="S2742" s="239"/>
      <c r="T2742" s="239"/>
      <c r="U2742" s="240"/>
      <c r="V2742" s="240"/>
      <c r="W2742" s="240"/>
      <c r="X2742" s="240"/>
      <c r="Y2742" s="278"/>
      <c r="Z2742" s="237"/>
      <c r="AA2742" s="279"/>
      <c r="AB2742" s="238"/>
      <c r="AC2742" s="196">
        <f t="shared" si="657"/>
        <v>0</v>
      </c>
      <c r="AD2742" s="196">
        <f t="shared" si="658"/>
        <v>0</v>
      </c>
      <c r="AE2742" s="196">
        <f t="shared" si="659"/>
        <v>0</v>
      </c>
      <c r="AF2742" s="2">
        <f t="shared" si="660"/>
        <v>0</v>
      </c>
      <c r="AG2742" s="2">
        <f t="shared" si="661"/>
        <v>0</v>
      </c>
    </row>
    <row r="2743" spans="1:33" ht="17.25" customHeight="1">
      <c r="A2743" s="20" t="s">
        <v>12246</v>
      </c>
      <c r="B2743" s="156" t="s">
        <v>5864</v>
      </c>
      <c r="C2743" s="21" t="s">
        <v>12268</v>
      </c>
      <c r="D2743" s="109" t="s">
        <v>4062</v>
      </c>
      <c r="E2743" s="109" t="s">
        <v>11792</v>
      </c>
      <c r="F2743" s="399" t="s">
        <v>15839</v>
      </c>
      <c r="G2743" s="23" t="s">
        <v>10645</v>
      </c>
      <c r="H2743" s="23"/>
      <c r="I2743" s="23"/>
      <c r="J2743" s="23"/>
      <c r="K2743" s="23"/>
      <c r="L2743" s="359" t="s">
        <v>7787</v>
      </c>
      <c r="M2743" s="357" t="s">
        <v>7787</v>
      </c>
      <c r="N2743" s="267">
        <f t="shared" ref="N2743:N2808" si="662">SUM(L2743:M2743)</f>
        <v>0</v>
      </c>
      <c r="O2743" s="268">
        <f t="shared" ref="O2743:O2808" si="663">SUM(P2743:Z2743)</f>
        <v>0</v>
      </c>
      <c r="P2743" s="239"/>
      <c r="Q2743" s="239"/>
      <c r="R2743" s="239"/>
      <c r="S2743" s="239"/>
      <c r="T2743" s="239"/>
      <c r="U2743" s="240"/>
      <c r="V2743" s="240"/>
      <c r="W2743" s="240"/>
      <c r="X2743" s="240"/>
      <c r="Y2743" s="278"/>
      <c r="Z2743" s="237"/>
      <c r="AA2743" s="279"/>
      <c r="AB2743" s="238"/>
      <c r="AC2743" s="196">
        <f t="shared" si="657"/>
        <v>0</v>
      </c>
      <c r="AD2743" s="196">
        <f t="shared" si="658"/>
        <v>0</v>
      </c>
      <c r="AE2743" s="196">
        <f t="shared" si="659"/>
        <v>0</v>
      </c>
      <c r="AF2743" s="2">
        <f t="shared" si="660"/>
        <v>0</v>
      </c>
      <c r="AG2743" s="2">
        <f t="shared" si="661"/>
        <v>0</v>
      </c>
    </row>
    <row r="2744" spans="1:33">
      <c r="A2744" s="377" t="s">
        <v>2520</v>
      </c>
      <c r="B2744" s="150"/>
      <c r="C2744" s="213" t="s">
        <v>15840</v>
      </c>
      <c r="D2744" s="109" t="s">
        <v>13293</v>
      </c>
      <c r="E2744" s="109" t="s">
        <v>15690</v>
      </c>
      <c r="F2744" s="393" t="s">
        <v>15841</v>
      </c>
      <c r="G2744" s="380" t="s">
        <v>15688</v>
      </c>
      <c r="H2744" s="380" t="s">
        <v>15842</v>
      </c>
      <c r="I2744" s="380"/>
      <c r="J2744" s="380"/>
      <c r="K2744" s="380"/>
      <c r="L2744" s="359" t="s">
        <v>7787</v>
      </c>
      <c r="M2744" s="357" t="s">
        <v>7787</v>
      </c>
      <c r="N2744" s="267">
        <f t="shared" si="662"/>
        <v>0</v>
      </c>
      <c r="O2744" s="268">
        <f t="shared" si="663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7"/>
        <v>0</v>
      </c>
      <c r="AD2744" s="196">
        <f t="shared" si="658"/>
        <v>0</v>
      </c>
      <c r="AE2744" s="196">
        <f t="shared" si="659"/>
        <v>0</v>
      </c>
      <c r="AF2744" s="2">
        <f t="shared" si="660"/>
        <v>0</v>
      </c>
      <c r="AG2744" s="2">
        <f t="shared" si="661"/>
        <v>0</v>
      </c>
    </row>
    <row r="2745" spans="1:33">
      <c r="A2745" s="20" t="s">
        <v>8566</v>
      </c>
      <c r="B2745" s="150"/>
      <c r="C2745" s="21" t="s">
        <v>15843</v>
      </c>
      <c r="D2745" s="109" t="s">
        <v>13293</v>
      </c>
      <c r="E2745" s="109" t="s">
        <v>15844</v>
      </c>
      <c r="F2745" s="399" t="s">
        <v>15841</v>
      </c>
      <c r="G2745" s="23" t="s">
        <v>15688</v>
      </c>
      <c r="H2745" s="23" t="s">
        <v>15842</v>
      </c>
      <c r="I2745" s="23" t="s">
        <v>15838</v>
      </c>
      <c r="J2745" s="23" t="s">
        <v>15845</v>
      </c>
      <c r="K2745" s="23"/>
      <c r="L2745" s="359" t="s">
        <v>7787</v>
      </c>
      <c r="M2745" s="357"/>
      <c r="N2745" s="267">
        <f t="shared" si="662"/>
        <v>0</v>
      </c>
      <c r="O2745" s="268">
        <f t="shared" si="663"/>
        <v>0</v>
      </c>
      <c r="P2745" s="239"/>
      <c r="Q2745" s="239"/>
      <c r="R2745" s="239"/>
      <c r="S2745" s="239"/>
      <c r="T2745" s="239"/>
      <c r="U2745" s="240"/>
      <c r="V2745" s="239"/>
      <c r="W2745" s="240"/>
      <c r="X2745" s="278"/>
      <c r="Y2745" s="278"/>
      <c r="Z2745" s="237"/>
      <c r="AA2745" s="279"/>
      <c r="AB2745" s="238"/>
      <c r="AC2745" s="196">
        <f t="shared" si="657"/>
        <v>0</v>
      </c>
      <c r="AD2745" s="196">
        <f t="shared" si="658"/>
        <v>0</v>
      </c>
      <c r="AE2745" s="196">
        <f t="shared" si="659"/>
        <v>0</v>
      </c>
      <c r="AF2745" s="2">
        <f t="shared" si="660"/>
        <v>0</v>
      </c>
      <c r="AG2745" s="2">
        <f t="shared" si="661"/>
        <v>0</v>
      </c>
    </row>
    <row r="2746" spans="1:33">
      <c r="A2746" s="20" t="s">
        <v>11841</v>
      </c>
      <c r="B2746" s="150"/>
      <c r="C2746" s="21" t="s">
        <v>11791</v>
      </c>
      <c r="D2746" s="109" t="s">
        <v>4062</v>
      </c>
      <c r="E2746" s="109" t="s">
        <v>11792</v>
      </c>
      <c r="F2746" s="399" t="s">
        <v>15839</v>
      </c>
      <c r="G2746" s="23" t="s">
        <v>10645</v>
      </c>
      <c r="H2746" s="23"/>
      <c r="I2746" s="23"/>
      <c r="J2746" s="23"/>
      <c r="K2746" s="23"/>
      <c r="L2746" s="359" t="s">
        <v>7787</v>
      </c>
      <c r="M2746" s="357" t="s">
        <v>7787</v>
      </c>
      <c r="N2746" s="267">
        <f t="shared" si="662"/>
        <v>0</v>
      </c>
      <c r="O2746" s="268">
        <f t="shared" si="663"/>
        <v>0</v>
      </c>
      <c r="P2746" s="239"/>
      <c r="Q2746" s="239"/>
      <c r="R2746" s="239"/>
      <c r="S2746" s="239"/>
      <c r="T2746" s="239"/>
      <c r="U2746" s="240"/>
      <c r="V2746" s="239"/>
      <c r="W2746" s="240"/>
      <c r="X2746" s="278"/>
      <c r="Y2746" s="278"/>
      <c r="Z2746" s="237"/>
      <c r="AA2746" s="279"/>
      <c r="AB2746" s="238"/>
      <c r="AC2746" s="196">
        <f t="shared" si="657"/>
        <v>0</v>
      </c>
      <c r="AD2746" s="196">
        <f t="shared" si="658"/>
        <v>0</v>
      </c>
      <c r="AE2746" s="196">
        <f t="shared" si="659"/>
        <v>0</v>
      </c>
      <c r="AF2746" s="2">
        <f t="shared" si="660"/>
        <v>0</v>
      </c>
      <c r="AG2746" s="2">
        <f t="shared" si="661"/>
        <v>0</v>
      </c>
    </row>
    <row r="2747" spans="1:33">
      <c r="A2747" s="20" t="s">
        <v>8758</v>
      </c>
      <c r="B2747" s="150"/>
      <c r="C2747" s="21" t="s">
        <v>15843</v>
      </c>
      <c r="D2747" s="109" t="s">
        <v>13293</v>
      </c>
      <c r="E2747" s="109" t="s">
        <v>15846</v>
      </c>
      <c r="F2747" s="399" t="s">
        <v>15841</v>
      </c>
      <c r="G2747" s="23" t="s">
        <v>15847</v>
      </c>
      <c r="H2747" s="23"/>
      <c r="I2747" s="23"/>
      <c r="J2747" s="23"/>
      <c r="K2747" s="23"/>
      <c r="L2747" s="359" t="s">
        <v>7787</v>
      </c>
      <c r="M2747" s="357"/>
      <c r="N2747" s="267">
        <f t="shared" si="662"/>
        <v>0</v>
      </c>
      <c r="O2747" s="268">
        <f t="shared" si="663"/>
        <v>0</v>
      </c>
      <c r="P2747" s="239"/>
      <c r="Q2747" s="239"/>
      <c r="R2747" s="239"/>
      <c r="S2747" s="239"/>
      <c r="T2747" s="239"/>
      <c r="U2747" s="240"/>
      <c r="V2747" s="240"/>
      <c r="W2747" s="240"/>
      <c r="X2747" s="278"/>
      <c r="Y2747" s="237"/>
      <c r="Z2747" s="237"/>
      <c r="AA2747" s="279"/>
      <c r="AB2747" s="238"/>
      <c r="AC2747" s="196">
        <f t="shared" si="657"/>
        <v>0</v>
      </c>
      <c r="AD2747" s="196">
        <f t="shared" si="658"/>
        <v>0</v>
      </c>
      <c r="AE2747" s="196">
        <f t="shared" si="659"/>
        <v>0</v>
      </c>
      <c r="AF2747" s="2">
        <f t="shared" si="660"/>
        <v>0</v>
      </c>
      <c r="AG2747" s="2">
        <f t="shared" si="661"/>
        <v>0</v>
      </c>
    </row>
    <row r="2748" spans="1:33">
      <c r="A2748" s="20" t="s">
        <v>2520</v>
      </c>
      <c r="B2748" s="150"/>
      <c r="C2748" s="21" t="s">
        <v>15848</v>
      </c>
      <c r="D2748" s="109" t="s">
        <v>13293</v>
      </c>
      <c r="E2748" s="109" t="s">
        <v>15844</v>
      </c>
      <c r="F2748" s="399" t="s">
        <v>15841</v>
      </c>
      <c r="G2748" s="23" t="s">
        <v>15688</v>
      </c>
      <c r="H2748" s="23" t="s">
        <v>15842</v>
      </c>
      <c r="I2748" s="23"/>
      <c r="J2748" s="23"/>
      <c r="K2748" s="23"/>
      <c r="L2748" s="359" t="s">
        <v>7787</v>
      </c>
      <c r="M2748" s="357" t="s">
        <v>7787</v>
      </c>
      <c r="N2748" s="267">
        <f t="shared" si="662"/>
        <v>0</v>
      </c>
      <c r="O2748" s="268">
        <f t="shared" si="663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7"/>
        <v>0</v>
      </c>
      <c r="AD2748" s="196">
        <f t="shared" si="658"/>
        <v>0</v>
      </c>
      <c r="AE2748" s="196">
        <f t="shared" si="659"/>
        <v>0</v>
      </c>
      <c r="AF2748" s="2">
        <f t="shared" si="660"/>
        <v>0</v>
      </c>
      <c r="AG2748" s="2">
        <f t="shared" si="661"/>
        <v>0</v>
      </c>
    </row>
    <row r="2749" spans="1:33">
      <c r="A2749" s="20" t="s">
        <v>12633</v>
      </c>
      <c r="B2749" s="150"/>
      <c r="C2749" s="21" t="s">
        <v>12590</v>
      </c>
      <c r="D2749" s="109" t="s">
        <v>13293</v>
      </c>
      <c r="E2749" s="109" t="s">
        <v>15844</v>
      </c>
      <c r="F2749" s="399" t="s">
        <v>15841</v>
      </c>
      <c r="G2749" s="23" t="s">
        <v>15688</v>
      </c>
      <c r="H2749" s="23" t="s">
        <v>10645</v>
      </c>
      <c r="I2749" s="23"/>
      <c r="J2749" s="23"/>
      <c r="K2749" s="23"/>
      <c r="L2749" s="359" t="s">
        <v>7787</v>
      </c>
      <c r="M2749" s="357" t="s">
        <v>7787</v>
      </c>
      <c r="N2749" s="267">
        <f t="shared" si="662"/>
        <v>0</v>
      </c>
      <c r="O2749" s="268">
        <f t="shared" si="663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7"/>
        <v>0</v>
      </c>
      <c r="AD2749" s="196">
        <f t="shared" si="658"/>
        <v>0</v>
      </c>
      <c r="AE2749" s="196">
        <f t="shared" si="659"/>
        <v>0</v>
      </c>
      <c r="AF2749" s="2">
        <f t="shared" si="660"/>
        <v>0</v>
      </c>
      <c r="AG2749" s="2">
        <f t="shared" si="661"/>
        <v>0</v>
      </c>
    </row>
    <row r="2750" spans="1:33">
      <c r="A2750" s="20" t="s">
        <v>22364</v>
      </c>
      <c r="B2750" s="150"/>
      <c r="C2750" s="21" t="s">
        <v>22310</v>
      </c>
      <c r="D2750" s="109" t="s">
        <v>3097</v>
      </c>
      <c r="E2750" s="109" t="s">
        <v>22311</v>
      </c>
      <c r="F2750" s="399" t="s">
        <v>5514</v>
      </c>
      <c r="G2750" s="23" t="s">
        <v>13341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62"/>
        <v>0</v>
      </c>
      <c r="O2750" s="268">
        <f t="shared" si="663"/>
        <v>0</v>
      </c>
      <c r="P2750" s="239"/>
      <c r="Q2750" s="239"/>
      <c r="R2750" s="239"/>
      <c r="S2750" s="239"/>
      <c r="T2750" s="239"/>
      <c r="U2750" s="278"/>
      <c r="V2750" s="278"/>
      <c r="W2750" s="240"/>
      <c r="X2750" s="278"/>
      <c r="Y2750" s="237"/>
      <c r="Z2750" s="237"/>
      <c r="AA2750" s="279"/>
      <c r="AB2750" s="238"/>
      <c r="AC2750" s="196">
        <f t="shared" si="657"/>
        <v>0</v>
      </c>
      <c r="AD2750" s="196">
        <f t="shared" si="658"/>
        <v>0</v>
      </c>
      <c r="AE2750" s="196">
        <f t="shared" si="659"/>
        <v>0</v>
      </c>
      <c r="AF2750" s="2">
        <f t="shared" si="660"/>
        <v>0</v>
      </c>
      <c r="AG2750" s="2">
        <f t="shared" si="661"/>
        <v>0</v>
      </c>
    </row>
    <row r="2751" spans="1:33">
      <c r="A2751" s="20" t="s">
        <v>11842</v>
      </c>
      <c r="B2751" s="150"/>
      <c r="C2751" s="21" t="s">
        <v>533</v>
      </c>
      <c r="D2751" s="109" t="s">
        <v>15710</v>
      </c>
      <c r="E2751" s="109" t="s">
        <v>15771</v>
      </c>
      <c r="F2751" s="399" t="s">
        <v>15849</v>
      </c>
      <c r="G2751" s="23" t="s">
        <v>15763</v>
      </c>
      <c r="H2751" s="23"/>
      <c r="I2751" s="23"/>
      <c r="J2751" s="23"/>
      <c r="K2751" s="23"/>
      <c r="L2751" s="356" t="s">
        <v>7787</v>
      </c>
      <c r="M2751" s="360" t="s">
        <v>7787</v>
      </c>
      <c r="N2751" s="267">
        <f t="shared" si="662"/>
        <v>0</v>
      </c>
      <c r="O2751" s="268">
        <f t="shared" si="663"/>
        <v>0</v>
      </c>
      <c r="P2751" s="239"/>
      <c r="Q2751" s="239"/>
      <c r="R2751" s="239"/>
      <c r="S2751" s="239"/>
      <c r="T2751" s="239"/>
      <c r="U2751" s="278"/>
      <c r="V2751" s="278"/>
      <c r="W2751" s="240"/>
      <c r="X2751" s="278"/>
      <c r="Y2751" s="237"/>
      <c r="Z2751" s="237"/>
      <c r="AA2751" s="279"/>
      <c r="AB2751" s="238"/>
      <c r="AC2751" s="196">
        <f t="shared" si="657"/>
        <v>0</v>
      </c>
      <c r="AD2751" s="196">
        <f t="shared" si="658"/>
        <v>0</v>
      </c>
      <c r="AE2751" s="196">
        <f t="shared" si="659"/>
        <v>0</v>
      </c>
      <c r="AF2751" s="2">
        <f t="shared" si="660"/>
        <v>0</v>
      </c>
      <c r="AG2751" s="2">
        <f t="shared" si="661"/>
        <v>0</v>
      </c>
    </row>
    <row r="2752" spans="1:33">
      <c r="A2752" s="20" t="s">
        <v>2523</v>
      </c>
      <c r="B2752" s="161"/>
      <c r="C2752" s="21" t="s">
        <v>533</v>
      </c>
      <c r="D2752" s="109" t="s">
        <v>15710</v>
      </c>
      <c r="E2752" s="109" t="s">
        <v>13303</v>
      </c>
      <c r="F2752" s="399" t="s">
        <v>15849</v>
      </c>
      <c r="G2752" s="23" t="s">
        <v>15763</v>
      </c>
      <c r="H2752" s="23"/>
      <c r="I2752" s="23"/>
      <c r="J2752" s="23"/>
      <c r="K2752" s="23"/>
      <c r="L2752" s="356" t="s">
        <v>7787</v>
      </c>
      <c r="M2752" s="360" t="s">
        <v>7787</v>
      </c>
      <c r="N2752" s="267">
        <f t="shared" si="662"/>
        <v>0</v>
      </c>
      <c r="O2752" s="268">
        <f t="shared" si="663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85"/>
      <c r="AB2752" s="238"/>
      <c r="AC2752" s="196">
        <f t="shared" si="657"/>
        <v>0</v>
      </c>
      <c r="AD2752" s="196">
        <f t="shared" si="658"/>
        <v>0</v>
      </c>
      <c r="AE2752" s="196">
        <f t="shared" si="659"/>
        <v>0</v>
      </c>
      <c r="AF2752" s="2">
        <f t="shared" si="660"/>
        <v>0</v>
      </c>
      <c r="AG2752" s="2">
        <f t="shared" si="661"/>
        <v>0</v>
      </c>
    </row>
    <row r="2753" spans="1:33">
      <c r="A2753" s="20" t="s">
        <v>2524</v>
      </c>
      <c r="B2753" s="156" t="s">
        <v>15850</v>
      </c>
      <c r="C2753" s="21" t="s">
        <v>533</v>
      </c>
      <c r="D2753" s="109" t="s">
        <v>13866</v>
      </c>
      <c r="E2753" s="109" t="s">
        <v>15764</v>
      </c>
      <c r="F2753" s="399" t="s">
        <v>15849</v>
      </c>
      <c r="G2753" s="23" t="s">
        <v>15763</v>
      </c>
      <c r="H2753" s="23" t="s">
        <v>15765</v>
      </c>
      <c r="I2753" s="23" t="s">
        <v>15759</v>
      </c>
      <c r="J2753" s="23" t="s">
        <v>15851</v>
      </c>
      <c r="K2753" s="23"/>
      <c r="L2753" s="375" t="s">
        <v>7787</v>
      </c>
      <c r="M2753" s="351" t="s">
        <v>7787</v>
      </c>
      <c r="N2753" s="267">
        <f t="shared" si="662"/>
        <v>0</v>
      </c>
      <c r="O2753" s="268">
        <f t="shared" si="663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37"/>
      <c r="Z2753" s="237"/>
      <c r="AA2753" s="279"/>
      <c r="AB2753" s="238"/>
      <c r="AC2753" s="196">
        <f t="shared" si="657"/>
        <v>0</v>
      </c>
      <c r="AD2753" s="196">
        <f t="shared" si="658"/>
        <v>0</v>
      </c>
      <c r="AE2753" s="196">
        <f t="shared" si="659"/>
        <v>0</v>
      </c>
      <c r="AF2753" s="2">
        <f t="shared" si="660"/>
        <v>0</v>
      </c>
      <c r="AG2753" s="2">
        <f t="shared" si="661"/>
        <v>0</v>
      </c>
    </row>
    <row r="2754" spans="1:33">
      <c r="A2754" s="20" t="s">
        <v>2525</v>
      </c>
      <c r="B2754" s="156"/>
      <c r="C2754" s="21" t="s">
        <v>534</v>
      </c>
      <c r="D2754" s="109" t="s">
        <v>15694</v>
      </c>
      <c r="E2754" s="109"/>
      <c r="F2754" s="399" t="s">
        <v>15852</v>
      </c>
      <c r="G2754" s="23" t="s">
        <v>15696</v>
      </c>
      <c r="H2754" s="23" t="s">
        <v>15853</v>
      </c>
      <c r="I2754" s="23"/>
      <c r="J2754" s="23"/>
      <c r="K2754" s="23"/>
      <c r="L2754" s="350"/>
      <c r="M2754" s="351"/>
      <c r="N2754" s="267">
        <f t="shared" si="662"/>
        <v>0</v>
      </c>
      <c r="O2754" s="268">
        <f t="shared" si="663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37"/>
      <c r="Z2754" s="237"/>
      <c r="AA2754" s="279"/>
      <c r="AB2754" s="238"/>
      <c r="AC2754" s="196">
        <f t="shared" si="657"/>
        <v>0</v>
      </c>
      <c r="AD2754" s="196">
        <f t="shared" si="658"/>
        <v>0</v>
      </c>
      <c r="AE2754" s="196">
        <f t="shared" si="659"/>
        <v>0</v>
      </c>
      <c r="AF2754" s="2">
        <f t="shared" si="660"/>
        <v>0</v>
      </c>
      <c r="AG2754" s="2">
        <f t="shared" si="661"/>
        <v>0</v>
      </c>
    </row>
    <row r="2755" spans="1:33">
      <c r="A2755" s="20" t="s">
        <v>2526</v>
      </c>
      <c r="B2755" s="151"/>
      <c r="C2755" s="21" t="s">
        <v>534</v>
      </c>
      <c r="D2755" s="109" t="s">
        <v>15694</v>
      </c>
      <c r="E2755" s="109"/>
      <c r="F2755" s="399" t="s">
        <v>15854</v>
      </c>
      <c r="G2755" s="23" t="s">
        <v>15696</v>
      </c>
      <c r="H2755" s="23" t="s">
        <v>15853</v>
      </c>
      <c r="I2755" s="23"/>
      <c r="J2755" s="23"/>
      <c r="K2755" s="23"/>
      <c r="L2755" s="350"/>
      <c r="M2755" s="351"/>
      <c r="N2755" s="267">
        <f t="shared" si="662"/>
        <v>0</v>
      </c>
      <c r="O2755" s="268">
        <f t="shared" si="663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40"/>
      <c r="Z2755" s="237"/>
      <c r="AA2755" s="279"/>
      <c r="AB2755" s="238"/>
      <c r="AC2755" s="196">
        <f t="shared" si="657"/>
        <v>0</v>
      </c>
      <c r="AD2755" s="196">
        <f t="shared" si="658"/>
        <v>0</v>
      </c>
      <c r="AE2755" s="196">
        <f t="shared" si="659"/>
        <v>0</v>
      </c>
      <c r="AF2755" s="2">
        <f t="shared" si="660"/>
        <v>0</v>
      </c>
      <c r="AG2755" s="2">
        <f t="shared" si="661"/>
        <v>0</v>
      </c>
    </row>
    <row r="2756" spans="1:33">
      <c r="A2756" s="20" t="s">
        <v>2527</v>
      </c>
      <c r="B2756" s="161"/>
      <c r="C2756" s="21" t="s">
        <v>534</v>
      </c>
      <c r="D2756" s="109" t="s">
        <v>15694</v>
      </c>
      <c r="E2756" s="109"/>
      <c r="F2756" s="391" t="s">
        <v>15855</v>
      </c>
      <c r="G2756" s="23" t="s">
        <v>15699</v>
      </c>
      <c r="H2756" s="23"/>
      <c r="I2756" s="23"/>
      <c r="J2756" s="23"/>
      <c r="K2756" s="23"/>
      <c r="L2756" s="350"/>
      <c r="M2756" s="351"/>
      <c r="N2756" s="267">
        <f t="shared" si="662"/>
        <v>0</v>
      </c>
      <c r="O2756" s="268">
        <f t="shared" si="663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37"/>
      <c r="Z2756" s="237"/>
      <c r="AA2756" s="279"/>
      <c r="AB2756" s="238"/>
      <c r="AC2756" s="196">
        <f t="shared" si="657"/>
        <v>0</v>
      </c>
      <c r="AD2756" s="196">
        <f t="shared" si="658"/>
        <v>0</v>
      </c>
      <c r="AE2756" s="196">
        <f t="shared" si="659"/>
        <v>0</v>
      </c>
      <c r="AF2756" s="2">
        <f t="shared" si="660"/>
        <v>0</v>
      </c>
      <c r="AG2756" s="2">
        <f t="shared" si="661"/>
        <v>0</v>
      </c>
    </row>
    <row r="2757" spans="1:33">
      <c r="A2757" s="20" t="s">
        <v>2528</v>
      </c>
      <c r="B2757" s="161"/>
      <c r="C2757" s="21" t="s">
        <v>535</v>
      </c>
      <c r="D2757" s="109" t="s">
        <v>13293</v>
      </c>
      <c r="E2757" s="109"/>
      <c r="F2757" s="391" t="s">
        <v>15856</v>
      </c>
      <c r="G2757" s="23" t="s">
        <v>15688</v>
      </c>
      <c r="H2757" s="23"/>
      <c r="I2757" s="23"/>
      <c r="J2757" s="23"/>
      <c r="K2757" s="23"/>
      <c r="L2757" s="375" t="s">
        <v>7787</v>
      </c>
      <c r="M2757" s="351" t="s">
        <v>7787</v>
      </c>
      <c r="N2757" s="267">
        <f t="shared" si="662"/>
        <v>0</v>
      </c>
      <c r="O2757" s="268">
        <f t="shared" si="663"/>
        <v>0</v>
      </c>
      <c r="P2757" s="239"/>
      <c r="Q2757" s="239"/>
      <c r="R2757" s="239"/>
      <c r="S2757" s="239"/>
      <c r="T2757" s="239"/>
      <c r="U2757" s="240"/>
      <c r="V2757" s="240"/>
      <c r="W2757" s="240"/>
      <c r="X2757" s="278"/>
      <c r="Y2757" s="237"/>
      <c r="Z2757" s="237"/>
      <c r="AA2757" s="279"/>
      <c r="AB2757" s="238"/>
      <c r="AC2757" s="196">
        <f t="shared" si="657"/>
        <v>0</v>
      </c>
      <c r="AD2757" s="196">
        <f t="shared" si="658"/>
        <v>0</v>
      </c>
      <c r="AE2757" s="196">
        <f t="shared" si="659"/>
        <v>0</v>
      </c>
      <c r="AF2757" s="2">
        <f t="shared" si="660"/>
        <v>0</v>
      </c>
      <c r="AG2757" s="2">
        <f t="shared" si="661"/>
        <v>0</v>
      </c>
    </row>
    <row r="2758" spans="1:33">
      <c r="A2758" s="20" t="s">
        <v>2529</v>
      </c>
      <c r="B2758" s="150"/>
      <c r="C2758" s="21" t="s">
        <v>536</v>
      </c>
      <c r="D2758" s="109" t="s">
        <v>15694</v>
      </c>
      <c r="E2758" s="109"/>
      <c r="F2758" s="391" t="s">
        <v>15857</v>
      </c>
      <c r="G2758" s="23" t="s">
        <v>15696</v>
      </c>
      <c r="H2758" s="23"/>
      <c r="I2758" s="23"/>
      <c r="J2758" s="23"/>
      <c r="K2758" s="23"/>
      <c r="L2758" s="375"/>
      <c r="M2758" s="357" t="s">
        <v>7787</v>
      </c>
      <c r="N2758" s="267">
        <f t="shared" si="662"/>
        <v>0</v>
      </c>
      <c r="O2758" s="268">
        <f t="shared" si="663"/>
        <v>0</v>
      </c>
      <c r="P2758" s="239"/>
      <c r="Q2758" s="239"/>
      <c r="R2758" s="239"/>
      <c r="S2758" s="239"/>
      <c r="T2758" s="239"/>
      <c r="U2758" s="240"/>
      <c r="V2758" s="240"/>
      <c r="W2758" s="240"/>
      <c r="X2758" s="278"/>
      <c r="Y2758" s="240"/>
      <c r="Z2758" s="237"/>
      <c r="AA2758" s="279"/>
      <c r="AB2758" s="238"/>
      <c r="AC2758" s="196">
        <f t="shared" si="657"/>
        <v>0</v>
      </c>
      <c r="AD2758" s="196">
        <f t="shared" si="658"/>
        <v>0</v>
      </c>
      <c r="AE2758" s="196">
        <f t="shared" si="659"/>
        <v>0</v>
      </c>
      <c r="AF2758" s="2">
        <f t="shared" si="660"/>
        <v>0</v>
      </c>
      <c r="AG2758" s="2">
        <f t="shared" si="661"/>
        <v>0</v>
      </c>
    </row>
    <row r="2759" spans="1:33">
      <c r="A2759" s="20" t="s">
        <v>2531</v>
      </c>
      <c r="B2759" s="156" t="s">
        <v>15858</v>
      </c>
      <c r="C2759" s="21" t="s">
        <v>537</v>
      </c>
      <c r="D2759" s="109" t="s">
        <v>15717</v>
      </c>
      <c r="E2759" s="109"/>
      <c r="F2759" s="391" t="s">
        <v>15859</v>
      </c>
      <c r="G2759" s="23" t="s">
        <v>21339</v>
      </c>
      <c r="H2759" s="23" t="s">
        <v>15765</v>
      </c>
      <c r="I2759" s="23" t="s">
        <v>15860</v>
      </c>
      <c r="J2759" s="23" t="s">
        <v>13524</v>
      </c>
      <c r="K2759" s="23" t="s">
        <v>15727</v>
      </c>
      <c r="L2759" s="375" t="s">
        <v>45</v>
      </c>
      <c r="M2759" s="351" t="s">
        <v>45</v>
      </c>
      <c r="N2759" s="267">
        <f t="shared" si="662"/>
        <v>0</v>
      </c>
      <c r="O2759" s="268">
        <f t="shared" si="663"/>
        <v>400</v>
      </c>
      <c r="P2759" s="239"/>
      <c r="Q2759" s="239"/>
      <c r="R2759" s="239"/>
      <c r="S2759" s="239"/>
      <c r="T2759" s="239"/>
      <c r="U2759" s="240">
        <f>300</f>
        <v>300</v>
      </c>
      <c r="V2759" s="240">
        <f>600-500</f>
        <v>100</v>
      </c>
      <c r="W2759" s="240"/>
      <c r="X2759" s="278"/>
      <c r="Y2759" s="239"/>
      <c r="Z2759" s="237"/>
      <c r="AA2759" s="279"/>
      <c r="AB2759" s="238" t="s">
        <v>26617</v>
      </c>
      <c r="AC2759" s="196">
        <f t="shared" si="657"/>
        <v>400</v>
      </c>
      <c r="AD2759" s="196">
        <f t="shared" si="658"/>
        <v>400</v>
      </c>
      <c r="AE2759" s="196">
        <f t="shared" si="659"/>
        <v>0</v>
      </c>
      <c r="AF2759" s="2">
        <f t="shared" si="660"/>
        <v>400</v>
      </c>
      <c r="AG2759" s="2">
        <f t="shared" si="661"/>
        <v>0</v>
      </c>
    </row>
    <row r="2760" spans="1:33">
      <c r="A2760" s="20" t="s">
        <v>27069</v>
      </c>
      <c r="B2760" s="156"/>
      <c r="C2760" s="21" t="s">
        <v>537</v>
      </c>
      <c r="D2760" s="109" t="s">
        <v>4070</v>
      </c>
      <c r="E2760" s="109" t="s">
        <v>26799</v>
      </c>
      <c r="F2760" s="391" t="s">
        <v>26149</v>
      </c>
      <c r="G2760" s="23" t="s">
        <v>26800</v>
      </c>
      <c r="H2760" s="23"/>
      <c r="I2760" s="23"/>
      <c r="J2760" s="23"/>
      <c r="K2760" s="23"/>
      <c r="L2760" s="375" t="s">
        <v>7787</v>
      </c>
      <c r="M2760" s="351" t="s">
        <v>7787</v>
      </c>
      <c r="N2760" s="267">
        <f t="shared" ref="N2760" si="664">SUM(L2760:M2760)</f>
        <v>0</v>
      </c>
      <c r="O2760" s="268">
        <f t="shared" ref="O2760" si="665">SUM(P2760:Z2760)</f>
        <v>0</v>
      </c>
      <c r="P2760" s="239"/>
      <c r="Q2760" s="239"/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/>
      <c r="AC2760" s="196">
        <f t="shared" si="657"/>
        <v>0</v>
      </c>
      <c r="AD2760" s="196">
        <f t="shared" si="658"/>
        <v>0</v>
      </c>
      <c r="AE2760" s="196">
        <f t="shared" si="659"/>
        <v>0</v>
      </c>
      <c r="AF2760" s="2">
        <f t="shared" si="660"/>
        <v>0</v>
      </c>
      <c r="AG2760" s="2">
        <f t="shared" si="661"/>
        <v>0</v>
      </c>
    </row>
    <row r="2761" spans="1:33">
      <c r="A2761" s="20" t="s">
        <v>2530</v>
      </c>
      <c r="B2761" s="156" t="s">
        <v>15861</v>
      </c>
      <c r="C2761" s="21" t="s">
        <v>537</v>
      </c>
      <c r="D2761" s="109" t="s">
        <v>15862</v>
      </c>
      <c r="E2761" s="109" t="s">
        <v>15863</v>
      </c>
      <c r="F2761" s="391" t="s">
        <v>15859</v>
      </c>
      <c r="G2761" s="23" t="s">
        <v>15731</v>
      </c>
      <c r="H2761" s="23" t="s">
        <v>25668</v>
      </c>
      <c r="I2761" s="23" t="s">
        <v>15725</v>
      </c>
      <c r="J2761" s="23" t="s">
        <v>13934</v>
      </c>
      <c r="K2761" s="23" t="s">
        <v>13350</v>
      </c>
      <c r="L2761" s="375" t="s">
        <v>27721</v>
      </c>
      <c r="M2761" s="375" t="s">
        <v>45</v>
      </c>
      <c r="N2761" s="267">
        <f t="shared" si="662"/>
        <v>0</v>
      </c>
      <c r="O2761" s="268">
        <f t="shared" si="663"/>
        <v>550</v>
      </c>
      <c r="P2761" s="239"/>
      <c r="Q2761" s="240">
        <f>550-500+1000-500</f>
        <v>550</v>
      </c>
      <c r="R2761" s="239"/>
      <c r="S2761" s="239"/>
      <c r="T2761" s="239"/>
      <c r="U2761" s="240"/>
      <c r="V2761" s="240"/>
      <c r="W2761" s="240"/>
      <c r="X2761" s="278"/>
      <c r="Y2761" s="239"/>
      <c r="Z2761" s="237"/>
      <c r="AA2761" s="279"/>
      <c r="AB2761" s="238" t="s">
        <v>27717</v>
      </c>
      <c r="AC2761" s="196">
        <f t="shared" si="657"/>
        <v>550</v>
      </c>
      <c r="AD2761" s="196">
        <f t="shared" si="658"/>
        <v>550</v>
      </c>
      <c r="AE2761" s="196">
        <f t="shared" si="659"/>
        <v>0</v>
      </c>
      <c r="AF2761" s="2">
        <f t="shared" si="660"/>
        <v>550</v>
      </c>
      <c r="AG2761" s="2">
        <f t="shared" si="661"/>
        <v>0</v>
      </c>
    </row>
    <row r="2762" spans="1:33">
      <c r="A2762" s="20" t="s">
        <v>26123</v>
      </c>
      <c r="B2762" s="156"/>
      <c r="C2762" s="21" t="s">
        <v>537</v>
      </c>
      <c r="D2762" s="109" t="s">
        <v>4063</v>
      </c>
      <c r="E2762" s="109" t="s">
        <v>26152</v>
      </c>
      <c r="F2762" s="391" t="s">
        <v>26149</v>
      </c>
      <c r="G2762" s="23" t="s">
        <v>6774</v>
      </c>
      <c r="H2762" s="23" t="s">
        <v>26150</v>
      </c>
      <c r="I2762" s="23" t="s">
        <v>10708</v>
      </c>
      <c r="J2762" s="23" t="s">
        <v>26151</v>
      </c>
      <c r="K2762" s="23" t="s">
        <v>25687</v>
      </c>
      <c r="L2762" s="375" t="s">
        <v>7787</v>
      </c>
      <c r="M2762" s="367" t="s">
        <v>7787</v>
      </c>
      <c r="N2762" s="267">
        <f t="shared" ref="N2762" si="666">SUM(L2762:M2762)</f>
        <v>0</v>
      </c>
      <c r="O2762" s="268">
        <f t="shared" ref="O2762" si="667">SUM(P2762:Z2762)</f>
        <v>0</v>
      </c>
      <c r="P2762" s="239"/>
      <c r="Q2762" s="244"/>
      <c r="R2762" s="239"/>
      <c r="S2762" s="239"/>
      <c r="T2762" s="239"/>
      <c r="U2762" s="240"/>
      <c r="V2762" s="240"/>
      <c r="W2762" s="240"/>
      <c r="X2762" s="278"/>
      <c r="Y2762" s="239"/>
      <c r="Z2762" s="237"/>
      <c r="AA2762" s="279"/>
      <c r="AB2762" s="238"/>
      <c r="AC2762" s="196">
        <f t="shared" si="657"/>
        <v>0</v>
      </c>
      <c r="AD2762" s="196">
        <f t="shared" si="658"/>
        <v>0</v>
      </c>
      <c r="AE2762" s="196">
        <f t="shared" si="659"/>
        <v>0</v>
      </c>
      <c r="AF2762" s="2">
        <f t="shared" si="660"/>
        <v>0</v>
      </c>
      <c r="AG2762" s="2">
        <f t="shared" si="661"/>
        <v>0</v>
      </c>
    </row>
    <row r="2763" spans="1:33">
      <c r="A2763" s="377" t="s">
        <v>2532</v>
      </c>
      <c r="B2763" s="161"/>
      <c r="C2763" s="213" t="s">
        <v>538</v>
      </c>
      <c r="D2763" s="109" t="s">
        <v>15862</v>
      </c>
      <c r="E2763" s="109"/>
      <c r="F2763" s="393" t="s">
        <v>15864</v>
      </c>
      <c r="G2763" s="380" t="s">
        <v>15865</v>
      </c>
      <c r="H2763" s="380"/>
      <c r="I2763" s="380"/>
      <c r="J2763" s="380"/>
      <c r="K2763" s="380"/>
      <c r="L2763" s="375"/>
      <c r="M2763" s="357" t="s">
        <v>7787</v>
      </c>
      <c r="N2763" s="267">
        <f t="shared" si="662"/>
        <v>0</v>
      </c>
      <c r="O2763" s="268">
        <f t="shared" si="663"/>
        <v>0</v>
      </c>
      <c r="P2763" s="248"/>
      <c r="Q2763" s="248"/>
      <c r="R2763" s="248"/>
      <c r="S2763" s="248"/>
      <c r="T2763" s="248"/>
      <c r="U2763" s="240"/>
      <c r="V2763" s="240"/>
      <c r="W2763" s="240"/>
      <c r="X2763" s="278"/>
      <c r="Y2763" s="240"/>
      <c r="Z2763" s="240"/>
      <c r="AA2763" s="292"/>
      <c r="AB2763" s="389"/>
      <c r="AC2763" s="196">
        <f t="shared" si="657"/>
        <v>0</v>
      </c>
      <c r="AD2763" s="196">
        <f t="shared" si="658"/>
        <v>0</v>
      </c>
      <c r="AE2763" s="196">
        <f t="shared" si="659"/>
        <v>0</v>
      </c>
      <c r="AF2763" s="2">
        <f t="shared" si="660"/>
        <v>0</v>
      </c>
      <c r="AG2763" s="2">
        <f t="shared" si="661"/>
        <v>0</v>
      </c>
    </row>
    <row r="2764" spans="1:33">
      <c r="A2764" s="20" t="s">
        <v>11843</v>
      </c>
      <c r="B2764" s="161"/>
      <c r="C2764" s="21" t="s">
        <v>538</v>
      </c>
      <c r="D2764" s="109" t="s">
        <v>13296</v>
      </c>
      <c r="E2764" s="109"/>
      <c r="F2764" s="391" t="s">
        <v>15864</v>
      </c>
      <c r="G2764" s="23" t="s">
        <v>15865</v>
      </c>
      <c r="H2764" s="23"/>
      <c r="I2764" s="23"/>
      <c r="J2764" s="23"/>
      <c r="K2764" s="23"/>
      <c r="L2764" s="375" t="s">
        <v>7787</v>
      </c>
      <c r="M2764" s="357"/>
      <c r="N2764" s="267">
        <f t="shared" si="662"/>
        <v>0</v>
      </c>
      <c r="O2764" s="268">
        <f t="shared" si="663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7"/>
        <v>0</v>
      </c>
      <c r="AD2764" s="196">
        <f t="shared" si="658"/>
        <v>0</v>
      </c>
      <c r="AE2764" s="196">
        <f t="shared" si="659"/>
        <v>0</v>
      </c>
      <c r="AF2764" s="2">
        <f t="shared" si="660"/>
        <v>0</v>
      </c>
      <c r="AG2764" s="2">
        <f t="shared" si="661"/>
        <v>0</v>
      </c>
    </row>
    <row r="2765" spans="1:33">
      <c r="A2765" s="20" t="s">
        <v>10209</v>
      </c>
      <c r="B2765" s="161"/>
      <c r="C2765" s="21" t="s">
        <v>538</v>
      </c>
      <c r="D2765" s="109" t="s">
        <v>15678</v>
      </c>
      <c r="E2765" s="109"/>
      <c r="F2765" s="391" t="s">
        <v>15864</v>
      </c>
      <c r="G2765" s="23" t="s">
        <v>15707</v>
      </c>
      <c r="H2765" s="23"/>
      <c r="I2765" s="23"/>
      <c r="J2765" s="23"/>
      <c r="K2765" s="23"/>
      <c r="L2765" s="375" t="s">
        <v>7787</v>
      </c>
      <c r="M2765" s="357" t="s">
        <v>7787</v>
      </c>
      <c r="N2765" s="267">
        <f t="shared" si="662"/>
        <v>0</v>
      </c>
      <c r="O2765" s="268">
        <f t="shared" si="663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7"/>
        <v>0</v>
      </c>
      <c r="AD2765" s="196">
        <f t="shared" si="658"/>
        <v>0</v>
      </c>
      <c r="AE2765" s="196">
        <f t="shared" si="659"/>
        <v>0</v>
      </c>
      <c r="AF2765" s="2">
        <f t="shared" si="660"/>
        <v>0</v>
      </c>
      <c r="AG2765" s="2">
        <f t="shared" si="661"/>
        <v>0</v>
      </c>
    </row>
    <row r="2766" spans="1:33">
      <c r="A2766" s="20" t="s">
        <v>2533</v>
      </c>
      <c r="B2766" s="161"/>
      <c r="C2766" s="21" t="s">
        <v>539</v>
      </c>
      <c r="D2766" s="109" t="s">
        <v>15862</v>
      </c>
      <c r="E2766" s="109"/>
      <c r="F2766" s="391" t="s">
        <v>15866</v>
      </c>
      <c r="G2766" s="23" t="s">
        <v>15867</v>
      </c>
      <c r="H2766" s="23"/>
      <c r="I2766" s="23"/>
      <c r="J2766" s="23"/>
      <c r="K2766" s="23"/>
      <c r="L2766" s="375"/>
      <c r="M2766" s="351" t="s">
        <v>7787</v>
      </c>
      <c r="N2766" s="267">
        <f t="shared" si="662"/>
        <v>0</v>
      </c>
      <c r="O2766" s="268">
        <f t="shared" si="663"/>
        <v>0</v>
      </c>
      <c r="P2766" s="239"/>
      <c r="Q2766" s="239"/>
      <c r="R2766" s="239"/>
      <c r="S2766" s="239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7"/>
        <v>0</v>
      </c>
      <c r="AD2766" s="196">
        <f t="shared" si="658"/>
        <v>0</v>
      </c>
      <c r="AE2766" s="196">
        <f t="shared" si="659"/>
        <v>0</v>
      </c>
      <c r="AF2766" s="2">
        <f t="shared" si="660"/>
        <v>0</v>
      </c>
      <c r="AG2766" s="2">
        <f t="shared" si="661"/>
        <v>0</v>
      </c>
    </row>
    <row r="2767" spans="1:33">
      <c r="A2767" s="20" t="s">
        <v>2534</v>
      </c>
      <c r="B2767" s="150"/>
      <c r="C2767" s="21" t="s">
        <v>540</v>
      </c>
      <c r="D2767" s="109" t="s">
        <v>15717</v>
      </c>
      <c r="E2767" s="109"/>
      <c r="F2767" s="391" t="s">
        <v>15868</v>
      </c>
      <c r="G2767" s="23" t="s">
        <v>15869</v>
      </c>
      <c r="H2767" s="23"/>
      <c r="I2767" s="23"/>
      <c r="J2767" s="23"/>
      <c r="K2767" s="23"/>
      <c r="L2767" s="350"/>
      <c r="M2767" s="351"/>
      <c r="N2767" s="267">
        <f t="shared" si="662"/>
        <v>0</v>
      </c>
      <c r="O2767" s="268">
        <f t="shared" si="663"/>
        <v>0</v>
      </c>
      <c r="P2767" s="239"/>
      <c r="Q2767" s="239"/>
      <c r="R2767" s="239"/>
      <c r="S2767" s="239"/>
      <c r="T2767" s="239"/>
      <c r="U2767" s="240"/>
      <c r="V2767" s="240"/>
      <c r="W2767" s="240"/>
      <c r="X2767" s="278"/>
      <c r="Y2767" s="237"/>
      <c r="Z2767" s="237"/>
      <c r="AA2767" s="279"/>
      <c r="AB2767" s="238"/>
      <c r="AC2767" s="196">
        <f t="shared" si="657"/>
        <v>0</v>
      </c>
      <c r="AD2767" s="196">
        <f t="shared" si="658"/>
        <v>0</v>
      </c>
      <c r="AE2767" s="196">
        <f t="shared" si="659"/>
        <v>0</v>
      </c>
      <c r="AF2767" s="2">
        <f t="shared" si="660"/>
        <v>0</v>
      </c>
      <c r="AG2767" s="2">
        <f t="shared" si="661"/>
        <v>0</v>
      </c>
    </row>
    <row r="2768" spans="1:33">
      <c r="A2768" s="20" t="s">
        <v>2535</v>
      </c>
      <c r="B2768" s="150"/>
      <c r="C2768" s="21" t="s">
        <v>541</v>
      </c>
      <c r="D2768" s="109" t="s">
        <v>13296</v>
      </c>
      <c r="E2768" s="109"/>
      <c r="F2768" s="391" t="s">
        <v>15870</v>
      </c>
      <c r="G2768" s="23" t="s">
        <v>15707</v>
      </c>
      <c r="H2768" s="23" t="s">
        <v>26895</v>
      </c>
      <c r="I2768" s="23" t="s">
        <v>15230</v>
      </c>
      <c r="J2768" s="23" t="s">
        <v>13942</v>
      </c>
      <c r="K2768" s="23" t="s">
        <v>24207</v>
      </c>
      <c r="L2768" s="375"/>
      <c r="M2768" s="351" t="s">
        <v>7787</v>
      </c>
      <c r="N2768" s="267">
        <f t="shared" si="662"/>
        <v>0</v>
      </c>
      <c r="O2768" s="268">
        <f t="shared" si="663"/>
        <v>0</v>
      </c>
      <c r="P2768" s="241" t="s">
        <v>45</v>
      </c>
      <c r="Q2768" s="239"/>
      <c r="R2768" s="240"/>
      <c r="S2768" s="240"/>
      <c r="T2768" s="239"/>
      <c r="U2768" s="240"/>
      <c r="V2768" s="240"/>
      <c r="W2768" s="240"/>
      <c r="X2768" s="278"/>
      <c r="Y2768" s="237"/>
      <c r="Z2768" s="237"/>
      <c r="AA2768" s="279"/>
      <c r="AB2768" s="238"/>
      <c r="AC2768" s="196">
        <f t="shared" si="657"/>
        <v>0</v>
      </c>
      <c r="AD2768" s="196">
        <f t="shared" si="658"/>
        <v>0</v>
      </c>
      <c r="AE2768" s="196">
        <f t="shared" si="659"/>
        <v>0</v>
      </c>
      <c r="AF2768" s="2">
        <f t="shared" si="660"/>
        <v>0</v>
      </c>
      <c r="AG2768" s="2">
        <f t="shared" si="661"/>
        <v>0</v>
      </c>
    </row>
    <row r="2769" spans="1:33">
      <c r="A2769" s="20" t="s">
        <v>10760</v>
      </c>
      <c r="B2769" s="150"/>
      <c r="C2769" s="21" t="s">
        <v>541</v>
      </c>
      <c r="D2769" s="109" t="s">
        <v>15872</v>
      </c>
      <c r="E2769" s="109"/>
      <c r="F2769" s="391" t="s">
        <v>15873</v>
      </c>
      <c r="G2769" s="23" t="s">
        <v>13301</v>
      </c>
      <c r="H2769" s="23"/>
      <c r="I2769" s="23"/>
      <c r="J2769" s="23"/>
      <c r="K2769" s="23"/>
      <c r="L2769" s="375"/>
      <c r="M2769" s="351"/>
      <c r="N2769" s="267">
        <f t="shared" si="662"/>
        <v>0</v>
      </c>
      <c r="O2769" s="268">
        <f t="shared" si="663"/>
        <v>200</v>
      </c>
      <c r="P2769" s="239"/>
      <c r="Q2769" s="239"/>
      <c r="R2769" s="239"/>
      <c r="S2769" s="239"/>
      <c r="T2769" s="239"/>
      <c r="U2769" s="240">
        <f>500-300</f>
        <v>200</v>
      </c>
      <c r="V2769" s="240"/>
      <c r="W2769" s="240"/>
      <c r="X2769" s="278"/>
      <c r="Y2769" s="237"/>
      <c r="Z2769" s="237"/>
      <c r="AA2769" s="279"/>
      <c r="AB2769" s="238" t="s">
        <v>26320</v>
      </c>
      <c r="AC2769" s="196">
        <f t="shared" si="657"/>
        <v>200</v>
      </c>
      <c r="AD2769" s="196">
        <f t="shared" si="658"/>
        <v>200</v>
      </c>
      <c r="AE2769" s="196">
        <f t="shared" si="659"/>
        <v>0</v>
      </c>
      <c r="AF2769" s="2">
        <f t="shared" si="660"/>
        <v>200</v>
      </c>
      <c r="AG2769" s="2">
        <f t="shared" si="661"/>
        <v>0</v>
      </c>
    </row>
    <row r="2770" spans="1:33">
      <c r="A2770" s="20" t="s">
        <v>21448</v>
      </c>
      <c r="B2770" s="150"/>
      <c r="C2770" s="21" t="s">
        <v>541</v>
      </c>
      <c r="D2770" s="109" t="s">
        <v>20856</v>
      </c>
      <c r="E2770" s="109"/>
      <c r="F2770" s="391" t="s">
        <v>10855</v>
      </c>
      <c r="G2770" s="23" t="s">
        <v>20857</v>
      </c>
      <c r="H2770" s="23"/>
      <c r="I2770" s="23"/>
      <c r="J2770" s="23"/>
      <c r="K2770" s="23"/>
      <c r="L2770" s="375" t="s">
        <v>7787</v>
      </c>
      <c r="M2770" s="351" t="s">
        <v>7787</v>
      </c>
      <c r="N2770" s="267">
        <f t="shared" si="662"/>
        <v>0</v>
      </c>
      <c r="O2770" s="268">
        <f t="shared" si="663"/>
        <v>0</v>
      </c>
      <c r="P2770" s="239"/>
      <c r="Q2770" s="239"/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79"/>
      <c r="AB2770" s="238"/>
      <c r="AC2770" s="196">
        <f t="shared" si="657"/>
        <v>0</v>
      </c>
      <c r="AD2770" s="196">
        <f t="shared" si="658"/>
        <v>0</v>
      </c>
      <c r="AE2770" s="196">
        <f t="shared" si="659"/>
        <v>0</v>
      </c>
      <c r="AF2770" s="2">
        <f t="shared" si="660"/>
        <v>0</v>
      </c>
      <c r="AG2770" s="2">
        <f t="shared" si="661"/>
        <v>0</v>
      </c>
    </row>
    <row r="2771" spans="1:33">
      <c r="A2771" s="20" t="s">
        <v>2536</v>
      </c>
      <c r="B2771" s="150"/>
      <c r="C2771" s="21" t="s">
        <v>542</v>
      </c>
      <c r="D2771" s="109" t="s">
        <v>15717</v>
      </c>
      <c r="E2771" s="109" t="s">
        <v>15754</v>
      </c>
      <c r="F2771" s="391" t="s">
        <v>21027</v>
      </c>
      <c r="G2771" s="23" t="s">
        <v>13863</v>
      </c>
      <c r="H2771" s="23"/>
      <c r="I2771" s="23"/>
      <c r="J2771" s="23"/>
      <c r="K2771" s="23"/>
      <c r="L2771" s="350"/>
      <c r="M2771" s="351"/>
      <c r="N2771" s="267">
        <f t="shared" si="662"/>
        <v>0</v>
      </c>
      <c r="O2771" s="268">
        <f t="shared" si="663"/>
        <v>0</v>
      </c>
      <c r="P2771" s="239"/>
      <c r="Q2771" s="239"/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85"/>
      <c r="AB2771" s="238"/>
      <c r="AC2771" s="196">
        <f t="shared" si="657"/>
        <v>0</v>
      </c>
      <c r="AD2771" s="196">
        <f t="shared" si="658"/>
        <v>0</v>
      </c>
      <c r="AE2771" s="196">
        <f t="shared" si="659"/>
        <v>0</v>
      </c>
      <c r="AF2771" s="2">
        <f t="shared" si="660"/>
        <v>0</v>
      </c>
      <c r="AG2771" s="2">
        <f t="shared" si="661"/>
        <v>0</v>
      </c>
    </row>
    <row r="2772" spans="1:33">
      <c r="A2772" s="20" t="s">
        <v>2537</v>
      </c>
      <c r="B2772" s="162" t="s">
        <v>5865</v>
      </c>
      <c r="C2772" s="21" t="s">
        <v>542</v>
      </c>
      <c r="D2772" s="109" t="s">
        <v>15717</v>
      </c>
      <c r="E2772" s="109"/>
      <c r="F2772" s="391" t="s">
        <v>21027</v>
      </c>
      <c r="G2772" s="23" t="s">
        <v>15718</v>
      </c>
      <c r="H2772" s="23" t="s">
        <v>13301</v>
      </c>
      <c r="I2772" s="23" t="s">
        <v>15874</v>
      </c>
      <c r="J2772" s="23" t="s">
        <v>15784</v>
      </c>
      <c r="K2772" s="23" t="s">
        <v>16623</v>
      </c>
      <c r="L2772" s="375" t="s">
        <v>45</v>
      </c>
      <c r="M2772" s="351" t="s">
        <v>7787</v>
      </c>
      <c r="N2772" s="267">
        <f t="shared" si="662"/>
        <v>0</v>
      </c>
      <c r="O2772" s="268">
        <f t="shared" si="663"/>
        <v>1000</v>
      </c>
      <c r="P2772" s="239"/>
      <c r="Q2772" s="239">
        <f>750+2550-500-50-200-300-100-50-100-150-100-50-200-200-100-100-100-50-200-50-150-200+700-50</f>
        <v>1000</v>
      </c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 t="s">
        <v>26554</v>
      </c>
      <c r="AC2772" s="196">
        <f t="shared" si="657"/>
        <v>1000</v>
      </c>
      <c r="AD2772" s="196">
        <f t="shared" si="658"/>
        <v>1000</v>
      </c>
      <c r="AE2772" s="196">
        <f t="shared" si="659"/>
        <v>0</v>
      </c>
      <c r="AF2772" s="2">
        <f t="shared" si="660"/>
        <v>1000</v>
      </c>
      <c r="AG2772" s="2">
        <f t="shared" si="661"/>
        <v>0</v>
      </c>
    </row>
    <row r="2773" spans="1:33">
      <c r="A2773" s="20" t="s">
        <v>20227</v>
      </c>
      <c r="B2773" s="162"/>
      <c r="C2773" s="21" t="s">
        <v>542</v>
      </c>
      <c r="D2773" s="109" t="s">
        <v>3935</v>
      </c>
      <c r="E2773" s="109"/>
      <c r="F2773" s="391" t="s">
        <v>21028</v>
      </c>
      <c r="G2773" s="23" t="s">
        <v>13469</v>
      </c>
      <c r="H2773" s="23" t="s">
        <v>13330</v>
      </c>
      <c r="I2773" s="23"/>
      <c r="J2773" s="23"/>
      <c r="K2773" s="23"/>
      <c r="L2773" s="375"/>
      <c r="M2773" s="351"/>
      <c r="N2773" s="267">
        <f t="shared" si="662"/>
        <v>0</v>
      </c>
      <c r="O2773" s="268">
        <f t="shared" si="663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7"/>
        <v>0</v>
      </c>
      <c r="AD2773" s="196">
        <f t="shared" si="658"/>
        <v>0</v>
      </c>
      <c r="AE2773" s="196">
        <f t="shared" si="659"/>
        <v>0</v>
      </c>
      <c r="AF2773" s="2">
        <f t="shared" si="660"/>
        <v>0</v>
      </c>
      <c r="AG2773" s="2">
        <f t="shared" si="661"/>
        <v>0</v>
      </c>
    </row>
    <row r="2774" spans="1:33">
      <c r="A2774" s="20" t="s">
        <v>21449</v>
      </c>
      <c r="B2774" s="162"/>
      <c r="C2774" s="21" t="s">
        <v>542</v>
      </c>
      <c r="D2774" s="109" t="s">
        <v>3133</v>
      </c>
      <c r="E2774" s="109"/>
      <c r="F2774" s="391" t="s">
        <v>21027</v>
      </c>
      <c r="G2774" s="23" t="s">
        <v>13469</v>
      </c>
      <c r="H2774" s="23"/>
      <c r="I2774" s="23"/>
      <c r="J2774" s="23"/>
      <c r="K2774" s="23"/>
      <c r="L2774" s="375" t="s">
        <v>7787</v>
      </c>
      <c r="M2774" s="351" t="s">
        <v>7787</v>
      </c>
      <c r="N2774" s="267">
        <f t="shared" si="662"/>
        <v>0</v>
      </c>
      <c r="O2774" s="268">
        <f t="shared" si="663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7"/>
        <v>0</v>
      </c>
      <c r="AD2774" s="196">
        <f t="shared" si="658"/>
        <v>0</v>
      </c>
      <c r="AE2774" s="196">
        <f t="shared" si="659"/>
        <v>0</v>
      </c>
      <c r="AF2774" s="2">
        <f t="shared" si="660"/>
        <v>0</v>
      </c>
      <c r="AG2774" s="2">
        <f t="shared" si="661"/>
        <v>0</v>
      </c>
    </row>
    <row r="2775" spans="1:33">
      <c r="A2775" s="20" t="s">
        <v>2539</v>
      </c>
      <c r="B2775" s="162"/>
      <c r="C2775" s="21" t="s">
        <v>543</v>
      </c>
      <c r="D2775" s="109" t="s">
        <v>15717</v>
      </c>
      <c r="E2775" s="109" t="s">
        <v>15875</v>
      </c>
      <c r="F2775" s="391" t="s">
        <v>15876</v>
      </c>
      <c r="G2775" s="23" t="s">
        <v>15877</v>
      </c>
      <c r="H2775" s="23"/>
      <c r="I2775" s="23"/>
      <c r="J2775" s="23"/>
      <c r="K2775" s="23"/>
      <c r="L2775" s="375" t="s">
        <v>7787</v>
      </c>
      <c r="M2775" s="351"/>
      <c r="N2775" s="267">
        <f t="shared" si="662"/>
        <v>0</v>
      </c>
      <c r="O2775" s="268">
        <f t="shared" si="663"/>
        <v>0</v>
      </c>
      <c r="P2775" s="239"/>
      <c r="Q2775" s="239"/>
      <c r="R2775" s="239"/>
      <c r="S2775" s="239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7"/>
        <v>0</v>
      </c>
      <c r="AD2775" s="196">
        <f t="shared" si="658"/>
        <v>0</v>
      </c>
      <c r="AE2775" s="196">
        <f t="shared" si="659"/>
        <v>0</v>
      </c>
      <c r="AF2775" s="2">
        <f t="shared" si="660"/>
        <v>0</v>
      </c>
      <c r="AG2775" s="2">
        <f t="shared" si="661"/>
        <v>0</v>
      </c>
    </row>
    <row r="2776" spans="1:33">
      <c r="A2776" s="20" t="s">
        <v>2538</v>
      </c>
      <c r="B2776" s="152"/>
      <c r="C2776" s="21" t="s">
        <v>543</v>
      </c>
      <c r="D2776" s="109" t="s">
        <v>15717</v>
      </c>
      <c r="E2776" s="109"/>
      <c r="F2776" s="391" t="s">
        <v>15876</v>
      </c>
      <c r="G2776" s="23" t="s">
        <v>13301</v>
      </c>
      <c r="H2776" s="23" t="s">
        <v>15878</v>
      </c>
      <c r="I2776" s="23" t="s">
        <v>16623</v>
      </c>
      <c r="J2776" s="23"/>
      <c r="K2776" s="23"/>
      <c r="L2776" s="375" t="s">
        <v>7787</v>
      </c>
      <c r="M2776" s="351" t="s">
        <v>7787</v>
      </c>
      <c r="N2776" s="267">
        <f t="shared" si="662"/>
        <v>0</v>
      </c>
      <c r="O2776" s="268">
        <f t="shared" si="663"/>
        <v>0</v>
      </c>
      <c r="P2776" s="239"/>
      <c r="Q2776" s="239"/>
      <c r="R2776" s="239"/>
      <c r="S2776" s="239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7"/>
        <v>0</v>
      </c>
      <c r="AD2776" s="196">
        <f t="shared" si="658"/>
        <v>0</v>
      </c>
      <c r="AE2776" s="196">
        <f t="shared" si="659"/>
        <v>0</v>
      </c>
      <c r="AF2776" s="2">
        <f t="shared" si="660"/>
        <v>0</v>
      </c>
      <c r="AG2776" s="2">
        <f t="shared" si="661"/>
        <v>0</v>
      </c>
    </row>
    <row r="2777" spans="1:33">
      <c r="A2777" s="20" t="s">
        <v>8912</v>
      </c>
      <c r="B2777" s="152"/>
      <c r="C2777" s="213" t="s">
        <v>543</v>
      </c>
      <c r="D2777" s="109" t="s">
        <v>13866</v>
      </c>
      <c r="E2777" s="109"/>
      <c r="F2777" s="391" t="s">
        <v>8939</v>
      </c>
      <c r="G2777" s="23" t="s">
        <v>15879</v>
      </c>
      <c r="H2777" s="23"/>
      <c r="I2777" s="23"/>
      <c r="J2777" s="23"/>
      <c r="K2777" s="23"/>
      <c r="L2777" s="375" t="s">
        <v>7787</v>
      </c>
      <c r="M2777" s="351"/>
      <c r="N2777" s="267">
        <f t="shared" si="662"/>
        <v>0</v>
      </c>
      <c r="O2777" s="268">
        <f t="shared" si="663"/>
        <v>0</v>
      </c>
      <c r="P2777" s="239"/>
      <c r="Q2777" s="239"/>
      <c r="R2777" s="248"/>
      <c r="S2777" s="248"/>
      <c r="T2777" s="239"/>
      <c r="U2777" s="240"/>
      <c r="V2777" s="240"/>
      <c r="W2777" s="240"/>
      <c r="X2777" s="278"/>
      <c r="Y2777" s="237"/>
      <c r="Z2777" s="237"/>
      <c r="AA2777" s="279"/>
      <c r="AB2777" s="238"/>
      <c r="AC2777" s="196">
        <f t="shared" si="657"/>
        <v>0</v>
      </c>
      <c r="AD2777" s="196">
        <f t="shared" si="658"/>
        <v>0</v>
      </c>
      <c r="AE2777" s="196">
        <f t="shared" si="659"/>
        <v>0</v>
      </c>
      <c r="AF2777" s="2">
        <f t="shared" si="660"/>
        <v>0</v>
      </c>
      <c r="AG2777" s="2">
        <f t="shared" si="661"/>
        <v>0</v>
      </c>
    </row>
    <row r="2778" spans="1:33">
      <c r="A2778" s="20" t="s">
        <v>18757</v>
      </c>
      <c r="B2778" s="152"/>
      <c r="C2778" s="21" t="s">
        <v>543</v>
      </c>
      <c r="D2778" s="109" t="s">
        <v>18764</v>
      </c>
      <c r="E2778" s="109" t="s">
        <v>18765</v>
      </c>
      <c r="F2778" s="391" t="s">
        <v>18896</v>
      </c>
      <c r="G2778" s="23" t="s">
        <v>17560</v>
      </c>
      <c r="H2778" s="23"/>
      <c r="I2778" s="23"/>
      <c r="J2778" s="23"/>
      <c r="K2778" s="23"/>
      <c r="L2778" s="375" t="s">
        <v>7787</v>
      </c>
      <c r="M2778" s="351"/>
      <c r="N2778" s="267">
        <f t="shared" si="662"/>
        <v>0</v>
      </c>
      <c r="O2778" s="268">
        <f t="shared" si="663"/>
        <v>0</v>
      </c>
      <c r="P2778" s="239"/>
      <c r="Q2778" s="239"/>
      <c r="R2778" s="248"/>
      <c r="S2778" s="248"/>
      <c r="T2778" s="239"/>
      <c r="U2778" s="240"/>
      <c r="V2778" s="240"/>
      <c r="W2778" s="240"/>
      <c r="X2778" s="278"/>
      <c r="Y2778" s="237"/>
      <c r="Z2778" s="237"/>
      <c r="AA2778" s="279"/>
      <c r="AB2778" s="238"/>
      <c r="AC2778" s="196">
        <f t="shared" si="657"/>
        <v>0</v>
      </c>
      <c r="AD2778" s="196">
        <f t="shared" si="658"/>
        <v>0</v>
      </c>
      <c r="AE2778" s="196">
        <f t="shared" si="659"/>
        <v>0</v>
      </c>
      <c r="AF2778" s="2">
        <f t="shared" si="660"/>
        <v>0</v>
      </c>
      <c r="AG2778" s="2">
        <f t="shared" si="661"/>
        <v>0</v>
      </c>
    </row>
    <row r="2779" spans="1:33">
      <c r="A2779" s="20" t="s">
        <v>2540</v>
      </c>
      <c r="B2779" s="152"/>
      <c r="C2779" s="21" t="s">
        <v>544</v>
      </c>
      <c r="D2779" s="109" t="s">
        <v>15717</v>
      </c>
      <c r="E2779" s="109"/>
      <c r="F2779" s="391" t="s">
        <v>15880</v>
      </c>
      <c r="G2779" s="23" t="s">
        <v>15718</v>
      </c>
      <c r="H2779" s="23" t="s">
        <v>20712</v>
      </c>
      <c r="I2779" s="23"/>
      <c r="J2779" s="23"/>
      <c r="K2779" s="23"/>
      <c r="L2779" s="375" t="s">
        <v>7787</v>
      </c>
      <c r="M2779" s="351"/>
      <c r="N2779" s="267">
        <f t="shared" si="662"/>
        <v>0</v>
      </c>
      <c r="O2779" s="268">
        <f t="shared" si="663"/>
        <v>450</v>
      </c>
      <c r="P2779" s="239"/>
      <c r="Q2779" s="239">
        <f>1500-50-50-50-150-300-450</f>
        <v>450</v>
      </c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 t="s">
        <v>24801</v>
      </c>
      <c r="AC2779" s="196">
        <f t="shared" si="657"/>
        <v>450</v>
      </c>
      <c r="AD2779" s="196">
        <f t="shared" si="658"/>
        <v>450</v>
      </c>
      <c r="AE2779" s="196">
        <f t="shared" si="659"/>
        <v>0</v>
      </c>
      <c r="AF2779" s="2">
        <f t="shared" si="660"/>
        <v>450</v>
      </c>
      <c r="AG2779" s="2">
        <f t="shared" si="661"/>
        <v>0</v>
      </c>
    </row>
    <row r="2780" spans="1:33">
      <c r="A2780" s="20" t="s">
        <v>2541</v>
      </c>
      <c r="B2780" s="152"/>
      <c r="C2780" s="21" t="s">
        <v>544</v>
      </c>
      <c r="D2780" s="109" t="s">
        <v>15717</v>
      </c>
      <c r="E2780" s="109"/>
      <c r="F2780" s="391" t="s">
        <v>15880</v>
      </c>
      <c r="G2780" s="23" t="s">
        <v>15724</v>
      </c>
      <c r="H2780" s="23" t="s">
        <v>13863</v>
      </c>
      <c r="I2780" s="23"/>
      <c r="J2780" s="23"/>
      <c r="K2780" s="23"/>
      <c r="L2780" s="375" t="s">
        <v>7787</v>
      </c>
      <c r="M2780" s="351" t="s">
        <v>7787</v>
      </c>
      <c r="N2780" s="267">
        <f t="shared" si="662"/>
        <v>0</v>
      </c>
      <c r="O2780" s="268">
        <f t="shared" si="663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7"/>
        <v>0</v>
      </c>
      <c r="AD2780" s="196">
        <f t="shared" si="658"/>
        <v>0</v>
      </c>
      <c r="AE2780" s="196">
        <f t="shared" si="659"/>
        <v>0</v>
      </c>
      <c r="AF2780" s="2">
        <f t="shared" si="660"/>
        <v>0</v>
      </c>
      <c r="AG2780" s="2">
        <f t="shared" si="661"/>
        <v>0</v>
      </c>
    </row>
    <row r="2781" spans="1:33">
      <c r="A2781" s="20" t="s">
        <v>2542</v>
      </c>
      <c r="B2781" s="161"/>
      <c r="C2781" s="21" t="s">
        <v>545</v>
      </c>
      <c r="D2781" s="109" t="s">
        <v>13866</v>
      </c>
      <c r="E2781" s="109"/>
      <c r="F2781" s="391" t="s">
        <v>15881</v>
      </c>
      <c r="G2781" s="23" t="s">
        <v>15808</v>
      </c>
      <c r="H2781" s="23" t="s">
        <v>15727</v>
      </c>
      <c r="I2781" s="23" t="s">
        <v>15725</v>
      </c>
      <c r="J2781" s="23"/>
      <c r="K2781" s="23"/>
      <c r="L2781" s="375" t="s">
        <v>7787</v>
      </c>
      <c r="M2781" s="369" t="s">
        <v>7787</v>
      </c>
      <c r="N2781" s="267">
        <f t="shared" si="662"/>
        <v>0</v>
      </c>
      <c r="O2781" s="268">
        <f t="shared" si="663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7"/>
        <v>0</v>
      </c>
      <c r="AD2781" s="196">
        <f t="shared" si="658"/>
        <v>0</v>
      </c>
      <c r="AE2781" s="196">
        <f t="shared" si="659"/>
        <v>0</v>
      </c>
      <c r="AF2781" s="2">
        <f t="shared" si="660"/>
        <v>0</v>
      </c>
      <c r="AG2781" s="2">
        <f t="shared" si="661"/>
        <v>0</v>
      </c>
    </row>
    <row r="2782" spans="1:33">
      <c r="A2782" s="20" t="s">
        <v>2543</v>
      </c>
      <c r="B2782" s="161"/>
      <c r="C2782" s="21" t="s">
        <v>546</v>
      </c>
      <c r="D2782" s="109" t="s">
        <v>15717</v>
      </c>
      <c r="E2782" s="109"/>
      <c r="F2782" s="391" t="s">
        <v>15882</v>
      </c>
      <c r="G2782" s="23" t="s">
        <v>15718</v>
      </c>
      <c r="H2782" s="23"/>
      <c r="I2782" s="23"/>
      <c r="J2782" s="23"/>
      <c r="K2782" s="23"/>
      <c r="L2782" s="375" t="s">
        <v>7787</v>
      </c>
      <c r="M2782" s="351"/>
      <c r="N2782" s="267">
        <f t="shared" si="662"/>
        <v>0</v>
      </c>
      <c r="O2782" s="268">
        <f t="shared" si="663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7"/>
      <c r="Z2782" s="237"/>
      <c r="AA2782" s="279"/>
      <c r="AB2782" s="238"/>
      <c r="AC2782" s="196">
        <f t="shared" si="657"/>
        <v>0</v>
      </c>
      <c r="AD2782" s="196">
        <f t="shared" si="658"/>
        <v>0</v>
      </c>
      <c r="AE2782" s="196">
        <f t="shared" si="659"/>
        <v>0</v>
      </c>
      <c r="AF2782" s="2">
        <f t="shared" si="660"/>
        <v>0</v>
      </c>
      <c r="AG2782" s="2">
        <f t="shared" si="661"/>
        <v>0</v>
      </c>
    </row>
    <row r="2783" spans="1:33">
      <c r="A2783" s="20" t="s">
        <v>9863</v>
      </c>
      <c r="B2783" s="150"/>
      <c r="C2783" s="21" t="s">
        <v>546</v>
      </c>
      <c r="D2783" s="109" t="s">
        <v>13866</v>
      </c>
      <c r="E2783" s="109"/>
      <c r="F2783" s="391" t="s">
        <v>15882</v>
      </c>
      <c r="G2783" s="23" t="s">
        <v>6133</v>
      </c>
      <c r="H2783" s="23" t="s">
        <v>17475</v>
      </c>
      <c r="I2783" s="23"/>
      <c r="J2783" s="23"/>
      <c r="K2783" s="23"/>
      <c r="L2783" s="375" t="s">
        <v>7787</v>
      </c>
      <c r="M2783" s="351" t="s">
        <v>7787</v>
      </c>
      <c r="N2783" s="267">
        <f t="shared" si="662"/>
        <v>0</v>
      </c>
      <c r="O2783" s="268">
        <f t="shared" si="663"/>
        <v>0</v>
      </c>
      <c r="P2783" s="239"/>
      <c r="Q2783" s="239"/>
      <c r="R2783" s="239"/>
      <c r="S2783" s="239"/>
      <c r="T2783" s="239"/>
      <c r="U2783" s="240"/>
      <c r="V2783" s="240"/>
      <c r="W2783" s="240"/>
      <c r="X2783" s="278"/>
      <c r="Y2783" s="237"/>
      <c r="Z2783" s="237"/>
      <c r="AA2783" s="279"/>
      <c r="AB2783" s="238"/>
      <c r="AC2783" s="196">
        <f t="shared" si="657"/>
        <v>0</v>
      </c>
      <c r="AD2783" s="196">
        <f t="shared" si="658"/>
        <v>0</v>
      </c>
      <c r="AE2783" s="196">
        <f t="shared" si="659"/>
        <v>0</v>
      </c>
      <c r="AF2783" s="2">
        <f t="shared" si="660"/>
        <v>0</v>
      </c>
      <c r="AG2783" s="2">
        <f t="shared" si="661"/>
        <v>0</v>
      </c>
    </row>
    <row r="2784" spans="1:33">
      <c r="A2784" s="20" t="s">
        <v>20071</v>
      </c>
      <c r="B2784" s="150"/>
      <c r="C2784" s="21" t="s">
        <v>546</v>
      </c>
      <c r="D2784" s="109" t="s">
        <v>3096</v>
      </c>
      <c r="E2784" s="109" t="s">
        <v>3929</v>
      </c>
      <c r="F2784" s="391" t="s">
        <v>5041</v>
      </c>
      <c r="G2784" s="23" t="s">
        <v>6133</v>
      </c>
      <c r="H2784" s="23" t="s">
        <v>13934</v>
      </c>
      <c r="I2784" s="23"/>
      <c r="J2784" s="23"/>
      <c r="K2784" s="23"/>
      <c r="L2784" s="375" t="s">
        <v>7787</v>
      </c>
      <c r="M2784" s="351" t="s">
        <v>7787</v>
      </c>
      <c r="N2784" s="267">
        <f t="shared" si="662"/>
        <v>0</v>
      </c>
      <c r="O2784" s="268">
        <f t="shared" si="663"/>
        <v>0</v>
      </c>
      <c r="P2784" s="239"/>
      <c r="Q2784" s="239"/>
      <c r="R2784" s="239"/>
      <c r="S2784" s="239"/>
      <c r="T2784" s="239"/>
      <c r="U2784" s="240"/>
      <c r="V2784" s="240"/>
      <c r="W2784" s="240"/>
      <c r="X2784" s="278"/>
      <c r="Y2784" s="239"/>
      <c r="Z2784" s="237"/>
      <c r="AA2784" s="279"/>
      <c r="AB2784" s="238"/>
      <c r="AC2784" s="196">
        <f t="shared" si="657"/>
        <v>0</v>
      </c>
      <c r="AD2784" s="196">
        <f t="shared" si="658"/>
        <v>0</v>
      </c>
      <c r="AE2784" s="196">
        <f t="shared" si="659"/>
        <v>0</v>
      </c>
      <c r="AF2784" s="2">
        <f t="shared" si="660"/>
        <v>0</v>
      </c>
      <c r="AG2784" s="2">
        <f t="shared" si="661"/>
        <v>0</v>
      </c>
    </row>
    <row r="2785" spans="1:33">
      <c r="A2785" s="20" t="s">
        <v>20228</v>
      </c>
      <c r="B2785" s="150"/>
      <c r="C2785" s="21" t="s">
        <v>546</v>
      </c>
      <c r="D2785" s="109" t="s">
        <v>3096</v>
      </c>
      <c r="E2785" s="109" t="s">
        <v>3930</v>
      </c>
      <c r="F2785" s="391" t="s">
        <v>5041</v>
      </c>
      <c r="G2785" s="23" t="s">
        <v>13934</v>
      </c>
      <c r="H2785" s="23" t="s">
        <v>17522</v>
      </c>
      <c r="I2785" s="23"/>
      <c r="J2785" s="23"/>
      <c r="K2785" s="23"/>
      <c r="L2785" s="375" t="s">
        <v>7787</v>
      </c>
      <c r="M2785" s="351"/>
      <c r="N2785" s="267">
        <f t="shared" si="662"/>
        <v>0</v>
      </c>
      <c r="O2785" s="268">
        <f t="shared" si="663"/>
        <v>2800</v>
      </c>
      <c r="P2785" s="239"/>
      <c r="Q2785" s="239">
        <f>2200-150+600-200-300-200-200-400-200+800+2150-200-100-300-200-200-300</f>
        <v>2800</v>
      </c>
      <c r="R2785" s="239"/>
      <c r="S2785" s="239"/>
      <c r="T2785" s="239"/>
      <c r="U2785" s="240"/>
      <c r="V2785" s="240"/>
      <c r="W2785" s="240"/>
      <c r="X2785" s="278"/>
      <c r="Y2785" s="239"/>
      <c r="Z2785" s="237"/>
      <c r="AA2785" s="279"/>
      <c r="AB2785" s="238" t="s">
        <v>24453</v>
      </c>
      <c r="AC2785" s="196">
        <f t="shared" si="657"/>
        <v>2800</v>
      </c>
      <c r="AD2785" s="196">
        <f t="shared" si="658"/>
        <v>2800</v>
      </c>
      <c r="AE2785" s="196">
        <f t="shared" si="659"/>
        <v>0</v>
      </c>
      <c r="AF2785" s="2">
        <f t="shared" si="660"/>
        <v>2800</v>
      </c>
      <c r="AG2785" s="2">
        <f t="shared" si="661"/>
        <v>0</v>
      </c>
    </row>
    <row r="2786" spans="1:33">
      <c r="A2786" s="20" t="s">
        <v>2544</v>
      </c>
      <c r="B2786" s="150"/>
      <c r="C2786" s="21" t="s">
        <v>547</v>
      </c>
      <c r="D2786" s="109" t="s">
        <v>3096</v>
      </c>
      <c r="E2786" s="109" t="s">
        <v>26461</v>
      </c>
      <c r="F2786" s="391" t="s">
        <v>15883</v>
      </c>
      <c r="G2786" s="23" t="s">
        <v>15772</v>
      </c>
      <c r="H2786" s="23" t="s">
        <v>15765</v>
      </c>
      <c r="I2786" s="23" t="s">
        <v>13524</v>
      </c>
      <c r="J2786" s="23" t="s">
        <v>13301</v>
      </c>
      <c r="K2786" s="23"/>
      <c r="L2786" s="375" t="s">
        <v>7787</v>
      </c>
      <c r="M2786" s="351" t="s">
        <v>7787</v>
      </c>
      <c r="N2786" s="267">
        <f t="shared" si="662"/>
        <v>0</v>
      </c>
      <c r="O2786" s="268">
        <f t="shared" si="663"/>
        <v>2500</v>
      </c>
      <c r="P2786" s="239"/>
      <c r="Q2786" s="239"/>
      <c r="R2786" s="239"/>
      <c r="S2786" s="239"/>
      <c r="T2786" s="239"/>
      <c r="U2786" s="239">
        <f>5000-2500</f>
        <v>2500</v>
      </c>
      <c r="V2786" s="240"/>
      <c r="W2786" s="240"/>
      <c r="X2786" s="278"/>
      <c r="Y2786" s="239"/>
      <c r="Z2786" s="237"/>
      <c r="AA2786" s="279"/>
      <c r="AB2786" s="238"/>
      <c r="AC2786" s="196">
        <f t="shared" si="657"/>
        <v>2500</v>
      </c>
      <c r="AD2786" s="196">
        <f t="shared" si="658"/>
        <v>2500</v>
      </c>
      <c r="AE2786" s="196">
        <f t="shared" si="659"/>
        <v>0</v>
      </c>
      <c r="AF2786" s="2">
        <f t="shared" si="660"/>
        <v>2500</v>
      </c>
      <c r="AG2786" s="2">
        <f t="shared" si="661"/>
        <v>0</v>
      </c>
    </row>
    <row r="2787" spans="1:33">
      <c r="A2787" s="377" t="s">
        <v>2544</v>
      </c>
      <c r="B2787" s="150"/>
      <c r="C2787" s="21" t="s">
        <v>547</v>
      </c>
      <c r="D2787" s="109" t="s">
        <v>13866</v>
      </c>
      <c r="E2787" s="109"/>
      <c r="F2787" s="391" t="s">
        <v>15883</v>
      </c>
      <c r="G2787" s="23" t="s">
        <v>15759</v>
      </c>
      <c r="H2787" s="23" t="s">
        <v>13524</v>
      </c>
      <c r="I2787" s="23"/>
      <c r="J2787" s="23"/>
      <c r="K2787" s="23"/>
      <c r="L2787" s="375" t="s">
        <v>7787</v>
      </c>
      <c r="M2787" s="351" t="s">
        <v>7787</v>
      </c>
      <c r="N2787" s="267">
        <f t="shared" si="662"/>
        <v>0</v>
      </c>
      <c r="O2787" s="268">
        <f t="shared" si="663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37"/>
      <c r="Z2787" s="237"/>
      <c r="AA2787" s="285"/>
      <c r="AB2787" s="238"/>
      <c r="AC2787" s="196">
        <f t="shared" si="657"/>
        <v>0</v>
      </c>
      <c r="AD2787" s="196">
        <f t="shared" si="658"/>
        <v>0</v>
      </c>
      <c r="AE2787" s="196">
        <f t="shared" si="659"/>
        <v>0</v>
      </c>
      <c r="AF2787" s="2">
        <f t="shared" si="660"/>
        <v>0</v>
      </c>
      <c r="AG2787" s="2">
        <f t="shared" si="661"/>
        <v>0</v>
      </c>
    </row>
    <row r="2788" spans="1:33">
      <c r="A2788" s="20" t="s">
        <v>7520</v>
      </c>
      <c r="B2788" s="150"/>
      <c r="C2788" s="21" t="s">
        <v>547</v>
      </c>
      <c r="D2788" s="109" t="s">
        <v>13866</v>
      </c>
      <c r="E2788" s="109" t="s">
        <v>15766</v>
      </c>
      <c r="F2788" s="391" t="s">
        <v>15883</v>
      </c>
      <c r="G2788" s="23" t="s">
        <v>15763</v>
      </c>
      <c r="H2788" s="23"/>
      <c r="I2788" s="23"/>
      <c r="J2788" s="23"/>
      <c r="K2788" s="23"/>
      <c r="L2788" s="375" t="s">
        <v>7787</v>
      </c>
      <c r="M2788" s="351" t="s">
        <v>7787</v>
      </c>
      <c r="N2788" s="267">
        <f t="shared" si="662"/>
        <v>0</v>
      </c>
      <c r="O2788" s="268">
        <f t="shared" si="663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78"/>
      <c r="Z2788" s="237"/>
      <c r="AA2788" s="285"/>
      <c r="AB2788" s="238"/>
      <c r="AC2788" s="196">
        <f t="shared" si="657"/>
        <v>0</v>
      </c>
      <c r="AD2788" s="196">
        <f t="shared" si="658"/>
        <v>0</v>
      </c>
      <c r="AE2788" s="196">
        <f t="shared" si="659"/>
        <v>0</v>
      </c>
      <c r="AF2788" s="2">
        <f t="shared" si="660"/>
        <v>0</v>
      </c>
      <c r="AG2788" s="2">
        <f t="shared" si="661"/>
        <v>0</v>
      </c>
    </row>
    <row r="2789" spans="1:33">
      <c r="A2789" s="20" t="s">
        <v>7607</v>
      </c>
      <c r="B2789" s="150"/>
      <c r="C2789" s="21" t="s">
        <v>547</v>
      </c>
      <c r="D2789" s="109" t="s">
        <v>13866</v>
      </c>
      <c r="E2789" s="109" t="s">
        <v>15771</v>
      </c>
      <c r="F2789" s="391" t="s">
        <v>15883</v>
      </c>
      <c r="G2789" s="23" t="s">
        <v>15763</v>
      </c>
      <c r="H2789" s="23"/>
      <c r="I2789" s="23"/>
      <c r="J2789" s="23"/>
      <c r="K2789" s="23"/>
      <c r="L2789" s="375" t="s">
        <v>7787</v>
      </c>
      <c r="M2789" s="351" t="s">
        <v>7787</v>
      </c>
      <c r="N2789" s="267">
        <f t="shared" si="662"/>
        <v>0</v>
      </c>
      <c r="O2789" s="268">
        <f t="shared" si="663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85"/>
      <c r="AB2789" s="238"/>
      <c r="AC2789" s="196">
        <f t="shared" ref="AC2789:AC2852" si="668">SUM(P2789:AA2789)</f>
        <v>0</v>
      </c>
      <c r="AD2789" s="196">
        <f t="shared" ref="AD2789:AD2852" si="669">SUM(P2789:AB2789)</f>
        <v>0</v>
      </c>
      <c r="AE2789" s="196">
        <f t="shared" ref="AE2789:AE2852" si="670">SUM(AC2789-AD2789)</f>
        <v>0</v>
      </c>
      <c r="AF2789" s="2">
        <f t="shared" ref="AF2789:AF2852" si="671">+AC2789</f>
        <v>0</v>
      </c>
      <c r="AG2789" s="2">
        <f t="shared" ref="AG2789:AG2852" si="672">+AC2789-AF2789</f>
        <v>0</v>
      </c>
    </row>
    <row r="2790" spans="1:33">
      <c r="A2790" s="20" t="s">
        <v>19920</v>
      </c>
      <c r="B2790" s="150"/>
      <c r="C2790" s="21" t="s">
        <v>547</v>
      </c>
      <c r="D2790" s="109" t="s">
        <v>3096</v>
      </c>
      <c r="E2790" s="109" t="s">
        <v>19347</v>
      </c>
      <c r="F2790" s="391" t="s">
        <v>5042</v>
      </c>
      <c r="G2790" s="23" t="s">
        <v>14025</v>
      </c>
      <c r="H2790" s="23"/>
      <c r="I2790" s="23"/>
      <c r="J2790" s="23"/>
      <c r="K2790" s="23"/>
      <c r="L2790" s="375"/>
      <c r="M2790" s="351" t="s">
        <v>7787</v>
      </c>
      <c r="N2790" s="267">
        <f t="shared" si="662"/>
        <v>0</v>
      </c>
      <c r="O2790" s="268">
        <f t="shared" si="663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85"/>
      <c r="AB2790" s="238"/>
      <c r="AC2790" s="196">
        <f t="shared" si="668"/>
        <v>0</v>
      </c>
      <c r="AD2790" s="196">
        <f t="shared" si="669"/>
        <v>0</v>
      </c>
      <c r="AE2790" s="196">
        <f t="shared" si="670"/>
        <v>0</v>
      </c>
      <c r="AF2790" s="2">
        <f t="shared" si="671"/>
        <v>0</v>
      </c>
      <c r="AG2790" s="2">
        <f t="shared" si="672"/>
        <v>0</v>
      </c>
    </row>
    <row r="2791" spans="1:33">
      <c r="A2791" s="20" t="s">
        <v>2545</v>
      </c>
      <c r="B2791" s="150"/>
      <c r="C2791" s="21" t="s">
        <v>15884</v>
      </c>
      <c r="D2791" s="109" t="s">
        <v>13293</v>
      </c>
      <c r="E2791" s="109"/>
      <c r="F2791" s="391" t="s">
        <v>15885</v>
      </c>
      <c r="G2791" s="23" t="s">
        <v>15688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62"/>
        <v>0</v>
      </c>
      <c r="O2791" s="268">
        <f t="shared" si="663"/>
        <v>0</v>
      </c>
      <c r="P2791" s="239"/>
      <c r="Q2791" s="239"/>
      <c r="R2791" s="239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8"/>
        <v>0</v>
      </c>
      <c r="AD2791" s="196">
        <f t="shared" si="669"/>
        <v>0</v>
      </c>
      <c r="AE2791" s="196">
        <f t="shared" si="670"/>
        <v>0</v>
      </c>
      <c r="AF2791" s="2">
        <f t="shared" si="671"/>
        <v>0</v>
      </c>
      <c r="AG2791" s="2">
        <f t="shared" si="672"/>
        <v>0</v>
      </c>
    </row>
    <row r="2792" spans="1:33">
      <c r="A2792" s="20" t="s">
        <v>2546</v>
      </c>
      <c r="B2792" s="150"/>
      <c r="C2792" s="21" t="s">
        <v>15886</v>
      </c>
      <c r="D2792" s="109" t="s">
        <v>13293</v>
      </c>
      <c r="E2792" s="109"/>
      <c r="F2792" s="391" t="s">
        <v>15885</v>
      </c>
      <c r="G2792" s="23" t="s">
        <v>15688</v>
      </c>
      <c r="H2792" s="23"/>
      <c r="I2792" s="23"/>
      <c r="J2792" s="23"/>
      <c r="K2792" s="23"/>
      <c r="L2792" s="375" t="s">
        <v>7787</v>
      </c>
      <c r="M2792" s="351" t="s">
        <v>7787</v>
      </c>
      <c r="N2792" s="267">
        <f t="shared" si="662"/>
        <v>0</v>
      </c>
      <c r="O2792" s="268">
        <f t="shared" si="663"/>
        <v>0</v>
      </c>
      <c r="P2792" s="239"/>
      <c r="Q2792" s="239"/>
      <c r="R2792" s="239"/>
      <c r="S2792" s="239"/>
      <c r="T2792" s="239"/>
      <c r="U2792" s="240"/>
      <c r="V2792" s="240"/>
      <c r="W2792" s="240"/>
      <c r="X2792" s="278"/>
      <c r="Y2792" s="237"/>
      <c r="Z2792" s="237"/>
      <c r="AA2792" s="279"/>
      <c r="AB2792" s="238"/>
      <c r="AC2792" s="196">
        <f t="shared" si="668"/>
        <v>0</v>
      </c>
      <c r="AD2792" s="196">
        <f t="shared" si="669"/>
        <v>0</v>
      </c>
      <c r="AE2792" s="196">
        <f t="shared" si="670"/>
        <v>0</v>
      </c>
      <c r="AF2792" s="2">
        <f t="shared" si="671"/>
        <v>0</v>
      </c>
      <c r="AG2792" s="2">
        <f t="shared" si="672"/>
        <v>0</v>
      </c>
    </row>
    <row r="2793" spans="1:33">
      <c r="A2793" s="20" t="s">
        <v>2547</v>
      </c>
      <c r="B2793" s="150"/>
      <c r="C2793" s="21" t="s">
        <v>549</v>
      </c>
      <c r="D2793" s="109" t="s">
        <v>15862</v>
      </c>
      <c r="E2793" s="109"/>
      <c r="F2793" s="391" t="s">
        <v>15887</v>
      </c>
      <c r="G2793" s="23" t="s">
        <v>15847</v>
      </c>
      <c r="H2793" s="23"/>
      <c r="I2793" s="23"/>
      <c r="J2793" s="23"/>
      <c r="K2793" s="23"/>
      <c r="L2793" s="375" t="s">
        <v>7787</v>
      </c>
      <c r="M2793" s="351" t="s">
        <v>7787</v>
      </c>
      <c r="N2793" s="267">
        <f t="shared" si="662"/>
        <v>0</v>
      </c>
      <c r="O2793" s="268">
        <f t="shared" si="663"/>
        <v>0</v>
      </c>
      <c r="P2793" s="239"/>
      <c r="Q2793" s="239"/>
      <c r="R2793" s="248"/>
      <c r="S2793" s="239"/>
      <c r="T2793" s="239"/>
      <c r="U2793" s="240"/>
      <c r="V2793" s="240"/>
      <c r="W2793" s="240"/>
      <c r="X2793" s="278"/>
      <c r="Y2793" s="237"/>
      <c r="Z2793" s="237"/>
      <c r="AA2793" s="279"/>
      <c r="AB2793" s="238"/>
      <c r="AC2793" s="196">
        <f t="shared" si="668"/>
        <v>0</v>
      </c>
      <c r="AD2793" s="196">
        <f t="shared" si="669"/>
        <v>0</v>
      </c>
      <c r="AE2793" s="196">
        <f t="shared" si="670"/>
        <v>0</v>
      </c>
      <c r="AF2793" s="2">
        <f t="shared" si="671"/>
        <v>0</v>
      </c>
      <c r="AG2793" s="2">
        <f t="shared" si="672"/>
        <v>0</v>
      </c>
    </row>
    <row r="2794" spans="1:33">
      <c r="A2794" s="20" t="s">
        <v>2548</v>
      </c>
      <c r="B2794" s="156"/>
      <c r="C2794" s="21" t="s">
        <v>15888</v>
      </c>
      <c r="D2794" s="109" t="s">
        <v>15694</v>
      </c>
      <c r="E2794" s="109"/>
      <c r="F2794" s="391" t="s">
        <v>15889</v>
      </c>
      <c r="G2794" s="23" t="s">
        <v>15696</v>
      </c>
      <c r="H2794" s="23"/>
      <c r="I2794" s="23"/>
      <c r="J2794" s="23"/>
      <c r="K2794" s="23"/>
      <c r="L2794" s="359" t="s">
        <v>7787</v>
      </c>
      <c r="M2794" s="357" t="s">
        <v>7787</v>
      </c>
      <c r="N2794" s="267">
        <f t="shared" si="662"/>
        <v>0</v>
      </c>
      <c r="O2794" s="268">
        <f t="shared" si="663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40"/>
      <c r="Z2794" s="237"/>
      <c r="AA2794" s="279"/>
      <c r="AB2794" s="238"/>
      <c r="AC2794" s="196">
        <f t="shared" si="668"/>
        <v>0</v>
      </c>
      <c r="AD2794" s="196">
        <f t="shared" si="669"/>
        <v>0</v>
      </c>
      <c r="AE2794" s="196">
        <f t="shared" si="670"/>
        <v>0</v>
      </c>
      <c r="AF2794" s="2">
        <f t="shared" si="671"/>
        <v>0</v>
      </c>
      <c r="AG2794" s="2">
        <f t="shared" si="672"/>
        <v>0</v>
      </c>
    </row>
    <row r="2795" spans="1:33">
      <c r="A2795" s="20" t="s">
        <v>2549</v>
      </c>
      <c r="B2795" s="156"/>
      <c r="C2795" s="21" t="s">
        <v>15888</v>
      </c>
      <c r="D2795" s="109" t="s">
        <v>15694</v>
      </c>
      <c r="E2795" s="109"/>
      <c r="F2795" s="391" t="s">
        <v>15890</v>
      </c>
      <c r="G2795" s="23" t="s">
        <v>15696</v>
      </c>
      <c r="H2795" s="23"/>
      <c r="I2795" s="23"/>
      <c r="J2795" s="23"/>
      <c r="K2795" s="23"/>
      <c r="L2795" s="350"/>
      <c r="M2795" s="351"/>
      <c r="N2795" s="267">
        <f t="shared" si="662"/>
        <v>0</v>
      </c>
      <c r="O2795" s="268">
        <f t="shared" si="663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40"/>
      <c r="Z2795" s="237"/>
      <c r="AA2795" s="279"/>
      <c r="AB2795" s="238"/>
      <c r="AC2795" s="196">
        <f t="shared" si="668"/>
        <v>0</v>
      </c>
      <c r="AD2795" s="196">
        <f t="shared" si="669"/>
        <v>0</v>
      </c>
      <c r="AE2795" s="196">
        <f t="shared" si="670"/>
        <v>0</v>
      </c>
      <c r="AF2795" s="2">
        <f t="shared" si="671"/>
        <v>0</v>
      </c>
      <c r="AG2795" s="2">
        <f t="shared" si="672"/>
        <v>0</v>
      </c>
    </row>
    <row r="2796" spans="1:33">
      <c r="A2796" s="20" t="s">
        <v>2551</v>
      </c>
      <c r="B2796" s="161"/>
      <c r="C2796" s="21" t="s">
        <v>550</v>
      </c>
      <c r="D2796" s="109" t="s">
        <v>15686</v>
      </c>
      <c r="E2796" s="109" t="s">
        <v>13303</v>
      </c>
      <c r="F2796" s="391" t="s">
        <v>15891</v>
      </c>
      <c r="G2796" s="23" t="s">
        <v>15688</v>
      </c>
      <c r="H2796" s="23"/>
      <c r="I2796" s="23"/>
      <c r="J2796" s="23"/>
      <c r="K2796" s="23"/>
      <c r="L2796" s="350"/>
      <c r="M2796" s="351"/>
      <c r="N2796" s="267">
        <f t="shared" si="662"/>
        <v>0</v>
      </c>
      <c r="O2796" s="268">
        <f t="shared" si="663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40"/>
      <c r="AB2796" s="238"/>
      <c r="AC2796" s="196">
        <f t="shared" si="668"/>
        <v>0</v>
      </c>
      <c r="AD2796" s="196">
        <f t="shared" si="669"/>
        <v>0</v>
      </c>
      <c r="AE2796" s="196">
        <f t="shared" si="670"/>
        <v>0</v>
      </c>
      <c r="AF2796" s="2">
        <f t="shared" si="671"/>
        <v>0</v>
      </c>
      <c r="AG2796" s="2">
        <f t="shared" si="672"/>
        <v>0</v>
      </c>
    </row>
    <row r="2797" spans="1:33">
      <c r="A2797" s="20" t="s">
        <v>2550</v>
      </c>
      <c r="B2797" s="151" t="s">
        <v>5866</v>
      </c>
      <c r="C2797" s="21" t="s">
        <v>15892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75"/>
      <c r="M2797" s="351" t="s">
        <v>7787</v>
      </c>
      <c r="N2797" s="267">
        <f t="shared" si="662"/>
        <v>0</v>
      </c>
      <c r="O2797" s="268">
        <f t="shared" si="663"/>
        <v>0</v>
      </c>
      <c r="P2797" s="239"/>
      <c r="Q2797" s="239"/>
      <c r="R2797" s="239"/>
      <c r="S2797" s="239"/>
      <c r="T2797" s="239"/>
      <c r="U2797" s="240"/>
      <c r="V2797" s="240"/>
      <c r="W2797" s="240"/>
      <c r="X2797" s="278"/>
      <c r="Y2797" s="237"/>
      <c r="Z2797" s="237"/>
      <c r="AA2797" s="279"/>
      <c r="AB2797" s="238"/>
      <c r="AC2797" s="196">
        <f t="shared" si="668"/>
        <v>0</v>
      </c>
      <c r="AD2797" s="196">
        <f t="shared" si="669"/>
        <v>0</v>
      </c>
      <c r="AE2797" s="196">
        <f t="shared" si="670"/>
        <v>0</v>
      </c>
      <c r="AF2797" s="2">
        <f t="shared" si="671"/>
        <v>0</v>
      </c>
      <c r="AG2797" s="2">
        <f t="shared" si="672"/>
        <v>0</v>
      </c>
    </row>
    <row r="2798" spans="1:33">
      <c r="A2798" s="20" t="s">
        <v>6858</v>
      </c>
      <c r="B2798" s="151" t="s">
        <v>5866</v>
      </c>
      <c r="C2798" s="21" t="s">
        <v>15893</v>
      </c>
      <c r="D2798" s="109" t="s">
        <v>13293</v>
      </c>
      <c r="E2798" s="109"/>
      <c r="F2798" s="391" t="s">
        <v>15891</v>
      </c>
      <c r="G2798" s="23" t="s">
        <v>15688</v>
      </c>
      <c r="H2798" s="23"/>
      <c r="I2798" s="23"/>
      <c r="J2798" s="23"/>
      <c r="K2798" s="23"/>
      <c r="L2798" s="350"/>
      <c r="M2798" s="351"/>
      <c r="N2798" s="267">
        <f t="shared" si="662"/>
        <v>0</v>
      </c>
      <c r="O2798" s="268">
        <f t="shared" si="663"/>
        <v>0</v>
      </c>
      <c r="P2798" s="239"/>
      <c r="Q2798" s="239"/>
      <c r="R2798" s="239"/>
      <c r="S2798" s="239"/>
      <c r="T2798" s="239"/>
      <c r="U2798" s="240"/>
      <c r="V2798" s="240"/>
      <c r="W2798" s="240"/>
      <c r="X2798" s="278"/>
      <c r="Y2798" s="237"/>
      <c r="Z2798" s="237"/>
      <c r="AA2798" s="279"/>
      <c r="AB2798" s="238"/>
      <c r="AC2798" s="196">
        <f t="shared" si="668"/>
        <v>0</v>
      </c>
      <c r="AD2798" s="196">
        <f t="shared" si="669"/>
        <v>0</v>
      </c>
      <c r="AE2798" s="196">
        <f t="shared" si="670"/>
        <v>0</v>
      </c>
      <c r="AF2798" s="2">
        <f t="shared" si="671"/>
        <v>0</v>
      </c>
      <c r="AG2798" s="2">
        <f t="shared" si="672"/>
        <v>0</v>
      </c>
    </row>
    <row r="2799" spans="1:33">
      <c r="A2799" s="20" t="s">
        <v>2550</v>
      </c>
      <c r="B2799" s="151" t="s">
        <v>5866</v>
      </c>
      <c r="C2799" s="21" t="s">
        <v>15894</v>
      </c>
      <c r="D2799" s="109" t="s">
        <v>13293</v>
      </c>
      <c r="E2799" s="109"/>
      <c r="F2799" s="391" t="s">
        <v>15891</v>
      </c>
      <c r="G2799" s="23" t="s">
        <v>15688</v>
      </c>
      <c r="H2799" s="23"/>
      <c r="I2799" s="23"/>
      <c r="J2799" s="23"/>
      <c r="K2799" s="23"/>
      <c r="L2799" s="350"/>
      <c r="M2799" s="351"/>
      <c r="N2799" s="267">
        <f t="shared" si="662"/>
        <v>0</v>
      </c>
      <c r="O2799" s="268">
        <f t="shared" si="663"/>
        <v>0</v>
      </c>
      <c r="P2799" s="239"/>
      <c r="Q2799" s="239"/>
      <c r="R2799" s="239"/>
      <c r="S2799" s="239"/>
      <c r="T2799" s="239"/>
      <c r="U2799" s="240">
        <v>0</v>
      </c>
      <c r="V2799" s="240"/>
      <c r="W2799" s="240"/>
      <c r="X2799" s="278"/>
      <c r="Y2799" s="237"/>
      <c r="Z2799" s="237"/>
      <c r="AA2799" s="279"/>
      <c r="AB2799" s="238"/>
      <c r="AC2799" s="196">
        <f t="shared" si="668"/>
        <v>0</v>
      </c>
      <c r="AD2799" s="196">
        <f t="shared" si="669"/>
        <v>0</v>
      </c>
      <c r="AE2799" s="196">
        <f t="shared" si="670"/>
        <v>0</v>
      </c>
      <c r="AF2799" s="2">
        <f t="shared" si="671"/>
        <v>0</v>
      </c>
      <c r="AG2799" s="2">
        <f t="shared" si="672"/>
        <v>0</v>
      </c>
    </row>
    <row r="2800" spans="1:33">
      <c r="A2800" s="20" t="s">
        <v>2552</v>
      </c>
      <c r="B2800" s="161"/>
      <c r="C2800" s="21" t="s">
        <v>551</v>
      </c>
      <c r="D2800" s="109" t="s">
        <v>15895</v>
      </c>
      <c r="E2800" s="109" t="s">
        <v>13303</v>
      </c>
      <c r="F2800" s="391" t="s">
        <v>15896</v>
      </c>
      <c r="G2800" s="23" t="s">
        <v>15897</v>
      </c>
      <c r="H2800" s="23"/>
      <c r="I2800" s="23"/>
      <c r="J2800" s="23"/>
      <c r="K2800" s="23"/>
      <c r="L2800" s="350"/>
      <c r="M2800" s="351"/>
      <c r="N2800" s="267">
        <f t="shared" si="662"/>
        <v>0</v>
      </c>
      <c r="O2800" s="268">
        <f t="shared" si="663"/>
        <v>0</v>
      </c>
      <c r="P2800" s="239"/>
      <c r="Q2800" s="239"/>
      <c r="R2800" s="239"/>
      <c r="S2800" s="239"/>
      <c r="T2800" s="239"/>
      <c r="U2800" s="240"/>
      <c r="V2800" s="240"/>
      <c r="W2800" s="240"/>
      <c r="X2800" s="278"/>
      <c r="Y2800" s="237"/>
      <c r="Z2800" s="237"/>
      <c r="AA2800" s="279"/>
      <c r="AB2800" s="238"/>
      <c r="AC2800" s="196">
        <f t="shared" si="668"/>
        <v>0</v>
      </c>
      <c r="AD2800" s="196">
        <f t="shared" si="669"/>
        <v>0</v>
      </c>
      <c r="AE2800" s="196">
        <f t="shared" si="670"/>
        <v>0</v>
      </c>
      <c r="AF2800" s="2">
        <f t="shared" si="671"/>
        <v>0</v>
      </c>
      <c r="AG2800" s="2">
        <f t="shared" si="672"/>
        <v>0</v>
      </c>
    </row>
    <row r="2801" spans="1:33">
      <c r="A2801" s="20" t="s">
        <v>2554</v>
      </c>
      <c r="B2801" s="150"/>
      <c r="C2801" s="21" t="s">
        <v>551</v>
      </c>
      <c r="D2801" s="109" t="s">
        <v>13866</v>
      </c>
      <c r="E2801" s="109"/>
      <c r="F2801" s="391" t="s">
        <v>15896</v>
      </c>
      <c r="G2801" s="23" t="s">
        <v>22381</v>
      </c>
      <c r="H2801" s="23" t="s">
        <v>20902</v>
      </c>
      <c r="I2801" s="23" t="s">
        <v>13301</v>
      </c>
      <c r="J2801" s="23" t="s">
        <v>15898</v>
      </c>
      <c r="K2801" s="23" t="s">
        <v>14198</v>
      </c>
      <c r="L2801" s="375" t="s">
        <v>7787</v>
      </c>
      <c r="M2801" s="351" t="s">
        <v>7787</v>
      </c>
      <c r="N2801" s="267">
        <f t="shared" si="662"/>
        <v>0</v>
      </c>
      <c r="O2801" s="268">
        <f t="shared" si="663"/>
        <v>0</v>
      </c>
      <c r="P2801" s="243"/>
      <c r="Q2801" s="243"/>
      <c r="R2801" s="243"/>
      <c r="S2801" s="243"/>
      <c r="T2801" s="243"/>
      <c r="U2801" s="240"/>
      <c r="V2801" s="240"/>
      <c r="W2801" s="240"/>
      <c r="X2801" s="278"/>
      <c r="Y2801" s="243"/>
      <c r="Z2801" s="237"/>
      <c r="AA2801" s="279"/>
      <c r="AB2801" s="238"/>
      <c r="AC2801" s="196">
        <f t="shared" si="668"/>
        <v>0</v>
      </c>
      <c r="AD2801" s="196">
        <f t="shared" si="669"/>
        <v>0</v>
      </c>
      <c r="AE2801" s="196">
        <f t="shared" si="670"/>
        <v>0</v>
      </c>
      <c r="AF2801" s="2">
        <f t="shared" si="671"/>
        <v>0</v>
      </c>
      <c r="AG2801" s="2">
        <f t="shared" si="672"/>
        <v>0</v>
      </c>
    </row>
    <row r="2802" spans="1:33">
      <c r="A2802" s="20" t="s">
        <v>2553</v>
      </c>
      <c r="B2802" s="150"/>
      <c r="C2802" s="21" t="s">
        <v>551</v>
      </c>
      <c r="D2802" s="109" t="s">
        <v>15799</v>
      </c>
      <c r="E2802" s="109"/>
      <c r="F2802" s="391" t="s">
        <v>15896</v>
      </c>
      <c r="G2802" s="23" t="s">
        <v>15899</v>
      </c>
      <c r="H2802" s="23"/>
      <c r="I2802" s="23"/>
      <c r="J2802" s="23"/>
      <c r="K2802" s="23"/>
      <c r="L2802" s="350"/>
      <c r="M2802" s="351"/>
      <c r="N2802" s="267">
        <f t="shared" si="662"/>
        <v>0</v>
      </c>
      <c r="O2802" s="268">
        <f t="shared" si="663"/>
        <v>0</v>
      </c>
      <c r="P2802" s="239"/>
      <c r="Q2802" s="239"/>
      <c r="R2802" s="248"/>
      <c r="S2802" s="239"/>
      <c r="T2802" s="239"/>
      <c r="U2802" s="240"/>
      <c r="V2802" s="240"/>
      <c r="W2802" s="240"/>
      <c r="X2802" s="278"/>
      <c r="Y2802" s="237"/>
      <c r="Z2802" s="237"/>
      <c r="AA2802" s="248"/>
      <c r="AB2802" s="238"/>
      <c r="AC2802" s="196">
        <f t="shared" si="668"/>
        <v>0</v>
      </c>
      <c r="AD2802" s="196">
        <f t="shared" si="669"/>
        <v>0</v>
      </c>
      <c r="AE2802" s="196">
        <f t="shared" si="670"/>
        <v>0</v>
      </c>
      <c r="AF2802" s="2">
        <f t="shared" si="671"/>
        <v>0</v>
      </c>
      <c r="AG2802" s="2">
        <f t="shared" si="672"/>
        <v>0</v>
      </c>
    </row>
    <row r="2803" spans="1:33">
      <c r="A2803" s="20" t="s">
        <v>2555</v>
      </c>
      <c r="B2803" s="150"/>
      <c r="C2803" s="21" t="s">
        <v>552</v>
      </c>
      <c r="D2803" s="109" t="s">
        <v>15799</v>
      </c>
      <c r="E2803" s="109"/>
      <c r="F2803" s="391" t="s">
        <v>15900</v>
      </c>
      <c r="G2803" s="23" t="s">
        <v>15899</v>
      </c>
      <c r="H2803" s="23" t="s">
        <v>15901</v>
      </c>
      <c r="I2803" s="23"/>
      <c r="J2803" s="23"/>
      <c r="K2803" s="23"/>
      <c r="L2803" s="350"/>
      <c r="M2803" s="351"/>
      <c r="N2803" s="267">
        <f t="shared" si="662"/>
        <v>0</v>
      </c>
      <c r="O2803" s="268">
        <f t="shared" si="663"/>
        <v>0</v>
      </c>
      <c r="P2803" s="239"/>
      <c r="Q2803" s="239"/>
      <c r="R2803" s="239"/>
      <c r="S2803" s="239"/>
      <c r="T2803" s="239"/>
      <c r="U2803" s="240"/>
      <c r="V2803" s="240"/>
      <c r="W2803" s="240"/>
      <c r="X2803" s="278"/>
      <c r="Y2803" s="237"/>
      <c r="Z2803" s="237"/>
      <c r="AA2803" s="279"/>
      <c r="AB2803" s="238"/>
      <c r="AC2803" s="196">
        <f t="shared" si="668"/>
        <v>0</v>
      </c>
      <c r="AD2803" s="196">
        <f t="shared" si="669"/>
        <v>0</v>
      </c>
      <c r="AE2803" s="196">
        <f t="shared" si="670"/>
        <v>0</v>
      </c>
      <c r="AF2803" s="2">
        <f t="shared" si="671"/>
        <v>0</v>
      </c>
      <c r="AG2803" s="2">
        <f t="shared" si="672"/>
        <v>0</v>
      </c>
    </row>
    <row r="2804" spans="1:33">
      <c r="A2804" s="20" t="s">
        <v>2556</v>
      </c>
      <c r="B2804" s="156" t="s">
        <v>15902</v>
      </c>
      <c r="C2804" s="21" t="s">
        <v>553</v>
      </c>
      <c r="D2804" s="109" t="s">
        <v>15799</v>
      </c>
      <c r="E2804" s="109"/>
      <c r="F2804" s="391" t="s">
        <v>15903</v>
      </c>
      <c r="G2804" s="23" t="s">
        <v>15904</v>
      </c>
      <c r="H2804" s="23" t="s">
        <v>15905</v>
      </c>
      <c r="I2804" s="23"/>
      <c r="J2804" s="23"/>
      <c r="K2804" s="23"/>
      <c r="L2804" s="350"/>
      <c r="M2804" s="351"/>
      <c r="N2804" s="267">
        <f t="shared" si="662"/>
        <v>0</v>
      </c>
      <c r="O2804" s="268">
        <f t="shared" si="663"/>
        <v>0</v>
      </c>
      <c r="P2804" s="242"/>
      <c r="Q2804" s="242"/>
      <c r="R2804" s="242"/>
      <c r="S2804" s="242"/>
      <c r="T2804" s="242"/>
      <c r="U2804" s="240"/>
      <c r="V2804" s="240"/>
      <c r="W2804" s="240"/>
      <c r="X2804" s="278"/>
      <c r="Y2804" s="237"/>
      <c r="Z2804" s="237"/>
      <c r="AA2804" s="279"/>
      <c r="AB2804" s="238"/>
      <c r="AC2804" s="196">
        <f t="shared" si="668"/>
        <v>0</v>
      </c>
      <c r="AD2804" s="196">
        <f t="shared" si="669"/>
        <v>0</v>
      </c>
      <c r="AE2804" s="196">
        <f t="shared" si="670"/>
        <v>0</v>
      </c>
      <c r="AF2804" s="2">
        <f t="shared" si="671"/>
        <v>0</v>
      </c>
      <c r="AG2804" s="2">
        <f t="shared" si="672"/>
        <v>0</v>
      </c>
    </row>
    <row r="2805" spans="1:33">
      <c r="A2805" s="20" t="s">
        <v>2557</v>
      </c>
      <c r="B2805" s="162" t="s">
        <v>15906</v>
      </c>
      <c r="C2805" s="21" t="s">
        <v>554</v>
      </c>
      <c r="D2805" s="109" t="s">
        <v>13293</v>
      </c>
      <c r="E2805" s="109"/>
      <c r="F2805" s="391" t="s">
        <v>15907</v>
      </c>
      <c r="G2805" s="23" t="s">
        <v>15688</v>
      </c>
      <c r="H2805" s="23" t="s">
        <v>15842</v>
      </c>
      <c r="I2805" s="23"/>
      <c r="J2805" s="23"/>
      <c r="K2805" s="23"/>
      <c r="L2805" s="375" t="s">
        <v>7787</v>
      </c>
      <c r="M2805" s="351" t="s">
        <v>7787</v>
      </c>
      <c r="N2805" s="267">
        <f t="shared" si="662"/>
        <v>0</v>
      </c>
      <c r="O2805" s="268">
        <f t="shared" si="663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8"/>
        <v>0</v>
      </c>
      <c r="AD2805" s="196">
        <f t="shared" si="669"/>
        <v>0</v>
      </c>
      <c r="AE2805" s="196">
        <f t="shared" si="670"/>
        <v>0</v>
      </c>
      <c r="AF2805" s="2">
        <f t="shared" si="671"/>
        <v>0</v>
      </c>
      <c r="AG2805" s="2">
        <f t="shared" si="672"/>
        <v>0</v>
      </c>
    </row>
    <row r="2806" spans="1:33">
      <c r="A2806" s="20" t="s">
        <v>18758</v>
      </c>
      <c r="B2806" s="162"/>
      <c r="C2806" s="21" t="s">
        <v>554</v>
      </c>
      <c r="D2806" s="109" t="s">
        <v>3097</v>
      </c>
      <c r="E2806" s="109"/>
      <c r="F2806" s="391" t="s">
        <v>18872</v>
      </c>
      <c r="G2806" s="23" t="s">
        <v>13888</v>
      </c>
      <c r="H2806" s="23"/>
      <c r="I2806" s="23"/>
      <c r="J2806" s="23"/>
      <c r="K2806" s="23"/>
      <c r="L2806" s="375" t="s">
        <v>7787</v>
      </c>
      <c r="M2806" s="351"/>
      <c r="N2806" s="267">
        <f t="shared" si="662"/>
        <v>0</v>
      </c>
      <c r="O2806" s="268">
        <f t="shared" si="663"/>
        <v>0</v>
      </c>
      <c r="P2806" s="239"/>
      <c r="Q2806" s="239"/>
      <c r="R2806" s="239"/>
      <c r="S2806" s="239"/>
      <c r="T2806" s="239"/>
      <c r="U2806" s="240"/>
      <c r="V2806" s="240"/>
      <c r="W2806" s="240"/>
      <c r="X2806" s="278"/>
      <c r="Y2806" s="237"/>
      <c r="Z2806" s="237"/>
      <c r="AA2806" s="279"/>
      <c r="AB2806" s="342"/>
      <c r="AC2806" s="196">
        <f t="shared" si="668"/>
        <v>0</v>
      </c>
      <c r="AD2806" s="196">
        <f t="shared" si="669"/>
        <v>0</v>
      </c>
      <c r="AE2806" s="196">
        <f t="shared" si="670"/>
        <v>0</v>
      </c>
      <c r="AF2806" s="2">
        <f t="shared" si="671"/>
        <v>0</v>
      </c>
      <c r="AG2806" s="2">
        <f t="shared" si="672"/>
        <v>0</v>
      </c>
    </row>
    <row r="2807" spans="1:33">
      <c r="A2807" s="20" t="s">
        <v>17944</v>
      </c>
      <c r="B2807" s="162"/>
      <c r="C2807" s="21" t="s">
        <v>554</v>
      </c>
      <c r="D2807" s="109" t="s">
        <v>3097</v>
      </c>
      <c r="E2807" s="109" t="s">
        <v>17740</v>
      </c>
      <c r="F2807" s="391" t="s">
        <v>5053</v>
      </c>
      <c r="G2807" s="23" t="s">
        <v>13341</v>
      </c>
      <c r="H2807" s="23"/>
      <c r="I2807" s="23"/>
      <c r="J2807" s="23"/>
      <c r="K2807" s="23"/>
      <c r="L2807" s="375" t="s">
        <v>7787</v>
      </c>
      <c r="M2807" s="351"/>
      <c r="N2807" s="267">
        <f t="shared" si="662"/>
        <v>0</v>
      </c>
      <c r="O2807" s="268">
        <f t="shared" si="663"/>
        <v>0</v>
      </c>
      <c r="P2807" s="239"/>
      <c r="Q2807" s="239"/>
      <c r="R2807" s="239"/>
      <c r="S2807" s="239"/>
      <c r="T2807" s="239"/>
      <c r="U2807" s="240"/>
      <c r="V2807" s="240"/>
      <c r="W2807" s="240"/>
      <c r="X2807" s="278"/>
      <c r="Y2807" s="237"/>
      <c r="Z2807" s="237"/>
      <c r="AA2807" s="279"/>
      <c r="AB2807" s="342"/>
      <c r="AC2807" s="196">
        <f t="shared" si="668"/>
        <v>0</v>
      </c>
      <c r="AD2807" s="196">
        <f t="shared" si="669"/>
        <v>0</v>
      </c>
      <c r="AE2807" s="196">
        <f t="shared" si="670"/>
        <v>0</v>
      </c>
      <c r="AF2807" s="2">
        <f t="shared" si="671"/>
        <v>0</v>
      </c>
      <c r="AG2807" s="2">
        <f t="shared" si="672"/>
        <v>0</v>
      </c>
    </row>
    <row r="2808" spans="1:33">
      <c r="A2808" s="20" t="s">
        <v>2558</v>
      </c>
      <c r="B2808" s="161"/>
      <c r="C2808" s="21" t="s">
        <v>555</v>
      </c>
      <c r="D2808" s="109" t="s">
        <v>15736</v>
      </c>
      <c r="E2808" s="109"/>
      <c r="F2808" s="391" t="s">
        <v>15908</v>
      </c>
      <c r="G2808" s="23" t="s">
        <v>15909</v>
      </c>
      <c r="H2808" s="413" t="s">
        <v>15910</v>
      </c>
      <c r="I2808" s="23"/>
      <c r="J2808" s="23"/>
      <c r="K2808" s="23"/>
      <c r="L2808" s="375"/>
      <c r="M2808" s="351" t="s">
        <v>7787</v>
      </c>
      <c r="N2808" s="267">
        <f t="shared" si="662"/>
        <v>0</v>
      </c>
      <c r="O2808" s="268">
        <f t="shared" si="663"/>
        <v>0</v>
      </c>
      <c r="P2808" s="239"/>
      <c r="Q2808" s="239"/>
      <c r="R2808" s="248"/>
      <c r="S2808" s="239"/>
      <c r="T2808" s="248"/>
      <c r="U2808" s="240"/>
      <c r="V2808" s="240"/>
      <c r="W2808" s="240"/>
      <c r="X2808" s="278"/>
      <c r="Y2808" s="237"/>
      <c r="Z2808" s="237"/>
      <c r="AA2808" s="279"/>
      <c r="AB2808" s="238"/>
      <c r="AC2808" s="196">
        <f t="shared" si="668"/>
        <v>0</v>
      </c>
      <c r="AD2808" s="196">
        <f t="shared" si="669"/>
        <v>0</v>
      </c>
      <c r="AE2808" s="196">
        <f t="shared" si="670"/>
        <v>0</v>
      </c>
      <c r="AF2808" s="2">
        <f t="shared" si="671"/>
        <v>0</v>
      </c>
      <c r="AG2808" s="2">
        <f t="shared" si="672"/>
        <v>0</v>
      </c>
    </row>
    <row r="2809" spans="1:33">
      <c r="A2809" s="20" t="s">
        <v>7313</v>
      </c>
      <c r="B2809" s="161"/>
      <c r="C2809" s="21" t="s">
        <v>555</v>
      </c>
      <c r="D2809" s="109" t="s">
        <v>15911</v>
      </c>
      <c r="E2809" s="109"/>
      <c r="F2809" s="391" t="s">
        <v>15912</v>
      </c>
      <c r="G2809" s="23" t="s">
        <v>15913</v>
      </c>
      <c r="H2809" s="23"/>
      <c r="I2809" s="23"/>
      <c r="J2809" s="23"/>
      <c r="K2809" s="23"/>
      <c r="L2809" s="350"/>
      <c r="M2809" s="351"/>
      <c r="N2809" s="267">
        <f t="shared" ref="N2809:N2877" si="673">SUM(L2809:M2809)</f>
        <v>0</v>
      </c>
      <c r="O2809" s="268">
        <f t="shared" ref="O2809:O2877" si="674">SUM(P2809:Z2809)</f>
        <v>0</v>
      </c>
      <c r="P2809" s="239"/>
      <c r="Q2809" s="239"/>
      <c r="R2809" s="239"/>
      <c r="S2809" s="239"/>
      <c r="T2809" s="239"/>
      <c r="U2809" s="240"/>
      <c r="V2809" s="240"/>
      <c r="W2809" s="240"/>
      <c r="X2809" s="278"/>
      <c r="Y2809" s="237"/>
      <c r="Z2809" s="237"/>
      <c r="AA2809" s="279"/>
      <c r="AB2809" s="238"/>
      <c r="AC2809" s="196">
        <f t="shared" si="668"/>
        <v>0</v>
      </c>
      <c r="AD2809" s="196">
        <f t="shared" si="669"/>
        <v>0</v>
      </c>
      <c r="AE2809" s="196">
        <f t="shared" si="670"/>
        <v>0</v>
      </c>
      <c r="AF2809" s="2">
        <f t="shared" si="671"/>
        <v>0</v>
      </c>
      <c r="AG2809" s="2">
        <f t="shared" si="672"/>
        <v>0</v>
      </c>
    </row>
    <row r="2810" spans="1:33">
      <c r="A2810" s="20" t="s">
        <v>2559</v>
      </c>
      <c r="B2810" s="151"/>
      <c r="C2810" s="21" t="s">
        <v>556</v>
      </c>
      <c r="D2810" s="109" t="s">
        <v>14815</v>
      </c>
      <c r="E2810" s="109"/>
      <c r="F2810" s="391" t="s">
        <v>15914</v>
      </c>
      <c r="G2810" s="23" t="s">
        <v>6133</v>
      </c>
      <c r="H2810" s="23" t="s">
        <v>17683</v>
      </c>
      <c r="I2810" s="23" t="s">
        <v>21349</v>
      </c>
      <c r="J2810" s="23" t="s">
        <v>15071</v>
      </c>
      <c r="K2810" s="23" t="s">
        <v>13370</v>
      </c>
      <c r="L2810" s="375" t="s">
        <v>27685</v>
      </c>
      <c r="M2810" s="351" t="s">
        <v>45</v>
      </c>
      <c r="N2810" s="267">
        <f t="shared" si="673"/>
        <v>0</v>
      </c>
      <c r="O2810" s="268">
        <f t="shared" si="674"/>
        <v>900</v>
      </c>
      <c r="P2810" s="239"/>
      <c r="Q2810" s="239">
        <v>900</v>
      </c>
      <c r="R2810" s="239"/>
      <c r="S2810" s="239"/>
      <c r="T2810" s="239"/>
      <c r="U2810" s="240"/>
      <c r="V2810" s="240"/>
      <c r="W2810" s="240"/>
      <c r="X2810" s="278"/>
      <c r="Y2810" s="239"/>
      <c r="Z2810" s="237"/>
      <c r="AA2810" s="279"/>
      <c r="AB2810" s="238" t="s">
        <v>28025</v>
      </c>
      <c r="AC2810" s="196">
        <f t="shared" si="668"/>
        <v>900</v>
      </c>
      <c r="AD2810" s="196">
        <f t="shared" si="669"/>
        <v>900</v>
      </c>
      <c r="AE2810" s="196">
        <f t="shared" si="670"/>
        <v>0</v>
      </c>
      <c r="AF2810" s="2">
        <f t="shared" si="671"/>
        <v>900</v>
      </c>
      <c r="AG2810" s="2">
        <f t="shared" si="672"/>
        <v>0</v>
      </c>
    </row>
    <row r="2811" spans="1:33">
      <c r="A2811" s="20" t="s">
        <v>2560</v>
      </c>
      <c r="B2811" s="156"/>
      <c r="C2811" s="21" t="s">
        <v>556</v>
      </c>
      <c r="D2811" s="109" t="s">
        <v>14815</v>
      </c>
      <c r="E2811" s="109"/>
      <c r="F2811" s="391" t="s">
        <v>15915</v>
      </c>
      <c r="G2811" s="23" t="s">
        <v>15847</v>
      </c>
      <c r="H2811" s="23"/>
      <c r="I2811" s="23"/>
      <c r="J2811" s="23"/>
      <c r="K2811" s="23"/>
      <c r="L2811" s="350"/>
      <c r="M2811" s="351"/>
      <c r="N2811" s="267">
        <f t="shared" si="673"/>
        <v>0</v>
      </c>
      <c r="O2811" s="268">
        <f t="shared" si="674"/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8"/>
        <v>0</v>
      </c>
      <c r="AD2811" s="196">
        <f t="shared" si="669"/>
        <v>0</v>
      </c>
      <c r="AE2811" s="196">
        <f t="shared" si="670"/>
        <v>0</v>
      </c>
      <c r="AF2811" s="2">
        <f t="shared" si="671"/>
        <v>0</v>
      </c>
      <c r="AG2811" s="2">
        <f t="shared" si="672"/>
        <v>0</v>
      </c>
    </row>
    <row r="2812" spans="1:33">
      <c r="A2812" s="20" t="s">
        <v>24420</v>
      </c>
      <c r="B2812" s="156"/>
      <c r="C2812" s="21" t="s">
        <v>556</v>
      </c>
      <c r="D2812" s="109" t="s">
        <v>24454</v>
      </c>
      <c r="E2812" s="109"/>
      <c r="F2812" s="391" t="s">
        <v>5531</v>
      </c>
      <c r="G2812" s="23" t="s">
        <v>24455</v>
      </c>
      <c r="H2812" s="23" t="s">
        <v>6133</v>
      </c>
      <c r="I2812" s="23"/>
      <c r="J2812" s="23"/>
      <c r="K2812" s="23"/>
      <c r="L2812" s="375" t="s">
        <v>7787</v>
      </c>
      <c r="M2812" s="351"/>
      <c r="N2812" s="267">
        <f t="shared" ref="N2812" si="675">SUM(L2812:M2812)</f>
        <v>0</v>
      </c>
      <c r="O2812" s="268">
        <f t="shared" ref="O2812" si="676">SUM(P2812:Z2812)</f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8"/>
        <v>0</v>
      </c>
      <c r="AD2812" s="196">
        <f t="shared" si="669"/>
        <v>0</v>
      </c>
      <c r="AE2812" s="196">
        <f t="shared" si="670"/>
        <v>0</v>
      </c>
      <c r="AF2812" s="2">
        <f t="shared" si="671"/>
        <v>0</v>
      </c>
      <c r="AG2812" s="2">
        <f t="shared" si="672"/>
        <v>0</v>
      </c>
    </row>
    <row r="2813" spans="1:33">
      <c r="A2813" s="20" t="s">
        <v>11844</v>
      </c>
      <c r="B2813" s="156"/>
      <c r="C2813" s="21" t="s">
        <v>556</v>
      </c>
      <c r="D2813" s="109" t="s">
        <v>15916</v>
      </c>
      <c r="E2813" s="109" t="s">
        <v>15917</v>
      </c>
      <c r="F2813" s="391" t="s">
        <v>15918</v>
      </c>
      <c r="G2813" s="23" t="s">
        <v>15029</v>
      </c>
      <c r="H2813" s="23"/>
      <c r="I2813" s="23"/>
      <c r="J2813" s="23"/>
      <c r="K2813" s="23"/>
      <c r="L2813" s="375" t="s">
        <v>7787</v>
      </c>
      <c r="M2813" s="351"/>
      <c r="N2813" s="267">
        <f t="shared" si="673"/>
        <v>0</v>
      </c>
      <c r="O2813" s="268">
        <f t="shared" si="674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8"/>
        <v>0</v>
      </c>
      <c r="AD2813" s="196">
        <f t="shared" si="669"/>
        <v>0</v>
      </c>
      <c r="AE2813" s="196">
        <f t="shared" si="670"/>
        <v>0</v>
      </c>
      <c r="AF2813" s="2">
        <f t="shared" si="671"/>
        <v>0</v>
      </c>
      <c r="AG2813" s="2">
        <f t="shared" si="672"/>
        <v>0</v>
      </c>
    </row>
    <row r="2814" spans="1:33">
      <c r="A2814" s="20" t="s">
        <v>10210</v>
      </c>
      <c r="B2814" s="156"/>
      <c r="C2814" s="21" t="s">
        <v>556</v>
      </c>
      <c r="D2814" s="109" t="s">
        <v>15919</v>
      </c>
      <c r="E2814" s="109"/>
      <c r="F2814" s="391" t="s">
        <v>15920</v>
      </c>
      <c r="G2814" s="23" t="s">
        <v>13795</v>
      </c>
      <c r="H2814" s="23"/>
      <c r="I2814" s="23"/>
      <c r="J2814" s="23"/>
      <c r="K2814" s="23"/>
      <c r="L2814" s="375" t="s">
        <v>7787</v>
      </c>
      <c r="M2814" s="351" t="s">
        <v>7787</v>
      </c>
      <c r="N2814" s="267">
        <f t="shared" si="673"/>
        <v>0</v>
      </c>
      <c r="O2814" s="268">
        <f t="shared" si="674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8"/>
        <v>0</v>
      </c>
      <c r="AD2814" s="196">
        <f t="shared" si="669"/>
        <v>0</v>
      </c>
      <c r="AE2814" s="196">
        <f t="shared" si="670"/>
        <v>0</v>
      </c>
      <c r="AF2814" s="2">
        <f t="shared" si="671"/>
        <v>0</v>
      </c>
      <c r="AG2814" s="2">
        <f t="shared" si="672"/>
        <v>0</v>
      </c>
    </row>
    <row r="2815" spans="1:33">
      <c r="A2815" s="20" t="s">
        <v>2561</v>
      </c>
      <c r="B2815" s="152" t="s">
        <v>5867</v>
      </c>
      <c r="C2815" s="21" t="s">
        <v>557</v>
      </c>
      <c r="D2815" s="109" t="s">
        <v>14876</v>
      </c>
      <c r="E2815" s="109" t="s">
        <v>15921</v>
      </c>
      <c r="F2815" s="391" t="s">
        <v>15922</v>
      </c>
      <c r="G2815" s="23" t="s">
        <v>13795</v>
      </c>
      <c r="H2815" s="23"/>
      <c r="I2815" s="23"/>
      <c r="J2815" s="23"/>
      <c r="K2815" s="23"/>
      <c r="L2815" s="375" t="s">
        <v>7787</v>
      </c>
      <c r="M2815" s="351" t="s">
        <v>7787</v>
      </c>
      <c r="N2815" s="267">
        <f t="shared" si="673"/>
        <v>0</v>
      </c>
      <c r="O2815" s="268">
        <f t="shared" si="674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79"/>
      <c r="AB2815" s="238"/>
      <c r="AC2815" s="196">
        <f t="shared" si="668"/>
        <v>0</v>
      </c>
      <c r="AD2815" s="196">
        <f t="shared" si="669"/>
        <v>0</v>
      </c>
      <c r="AE2815" s="196">
        <f t="shared" si="670"/>
        <v>0</v>
      </c>
      <c r="AF2815" s="2">
        <f t="shared" si="671"/>
        <v>0</v>
      </c>
      <c r="AG2815" s="2">
        <f t="shared" si="672"/>
        <v>0</v>
      </c>
    </row>
    <row r="2816" spans="1:33">
      <c r="A2816" s="20" t="s">
        <v>2562</v>
      </c>
      <c r="B2816" s="151" t="s">
        <v>15923</v>
      </c>
      <c r="C2816" s="21" t="s">
        <v>558</v>
      </c>
      <c r="D2816" s="109" t="s">
        <v>13878</v>
      </c>
      <c r="E2816" s="109"/>
      <c r="F2816" s="391" t="s">
        <v>15924</v>
      </c>
      <c r="G2816" s="23" t="s">
        <v>15925</v>
      </c>
      <c r="H2816" s="23" t="s">
        <v>15926</v>
      </c>
      <c r="I2816" s="23" t="s">
        <v>13486</v>
      </c>
      <c r="J2816" s="23" t="s">
        <v>22265</v>
      </c>
      <c r="K2816" s="23" t="s">
        <v>27143</v>
      </c>
      <c r="L2816" s="375" t="s">
        <v>45</v>
      </c>
      <c r="M2816" s="351" t="s">
        <v>7787</v>
      </c>
      <c r="N2816" s="267">
        <f t="shared" si="673"/>
        <v>0</v>
      </c>
      <c r="O2816" s="268">
        <f t="shared" si="674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79"/>
      <c r="AB2816" s="238"/>
      <c r="AC2816" s="196">
        <f t="shared" si="668"/>
        <v>0</v>
      </c>
      <c r="AD2816" s="196">
        <f t="shared" si="669"/>
        <v>0</v>
      </c>
      <c r="AE2816" s="196">
        <f t="shared" si="670"/>
        <v>0</v>
      </c>
      <c r="AF2816" s="2">
        <f t="shared" si="671"/>
        <v>0</v>
      </c>
      <c r="AG2816" s="2">
        <f t="shared" si="672"/>
        <v>0</v>
      </c>
    </row>
    <row r="2817" spans="1:33">
      <c r="A2817" s="20" t="s">
        <v>2564</v>
      </c>
      <c r="B2817" s="161"/>
      <c r="C2817" s="21" t="s">
        <v>559</v>
      </c>
      <c r="D2817" s="109" t="s">
        <v>15927</v>
      </c>
      <c r="E2817" s="109" t="s">
        <v>13312</v>
      </c>
      <c r="F2817" s="391" t="s">
        <v>15928</v>
      </c>
      <c r="G2817" s="23" t="s">
        <v>15929</v>
      </c>
      <c r="H2817" s="23"/>
      <c r="I2817" s="23"/>
      <c r="J2817" s="23"/>
      <c r="K2817" s="23"/>
      <c r="L2817" s="350"/>
      <c r="M2817" s="351"/>
      <c r="N2817" s="267">
        <f t="shared" si="673"/>
        <v>0</v>
      </c>
      <c r="O2817" s="268">
        <f t="shared" si="674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85"/>
      <c r="AB2817" s="238"/>
      <c r="AC2817" s="196">
        <f t="shared" si="668"/>
        <v>0</v>
      </c>
      <c r="AD2817" s="196">
        <f t="shared" si="669"/>
        <v>0</v>
      </c>
      <c r="AE2817" s="196">
        <f t="shared" si="670"/>
        <v>0</v>
      </c>
      <c r="AF2817" s="2">
        <f t="shared" si="671"/>
        <v>0</v>
      </c>
      <c r="AG2817" s="2">
        <f t="shared" si="672"/>
        <v>0</v>
      </c>
    </row>
    <row r="2818" spans="1:33">
      <c r="A2818" s="20" t="s">
        <v>2563</v>
      </c>
      <c r="B2818" s="151" t="s">
        <v>5868</v>
      </c>
      <c r="C2818" s="21" t="s">
        <v>559</v>
      </c>
      <c r="D2818" s="109" t="s">
        <v>15682</v>
      </c>
      <c r="E2818" s="109"/>
      <c r="F2818" s="391" t="s">
        <v>15928</v>
      </c>
      <c r="G2818" s="23" t="s">
        <v>15929</v>
      </c>
      <c r="H2818" s="23" t="s">
        <v>15930</v>
      </c>
      <c r="I2818" s="23"/>
      <c r="J2818" s="23"/>
      <c r="K2818" s="23"/>
      <c r="L2818" s="375" t="s">
        <v>7787</v>
      </c>
      <c r="M2818" s="351" t="s">
        <v>7787</v>
      </c>
      <c r="N2818" s="267">
        <f t="shared" si="673"/>
        <v>0</v>
      </c>
      <c r="O2818" s="268">
        <f t="shared" si="674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8"/>
        <v>0</v>
      </c>
      <c r="AD2818" s="196">
        <f t="shared" si="669"/>
        <v>0</v>
      </c>
      <c r="AE2818" s="196">
        <f t="shared" si="670"/>
        <v>0</v>
      </c>
      <c r="AF2818" s="2">
        <f t="shared" si="671"/>
        <v>0</v>
      </c>
      <c r="AG2818" s="2">
        <f t="shared" si="672"/>
        <v>0</v>
      </c>
    </row>
    <row r="2819" spans="1:33">
      <c r="A2819" s="20" t="s">
        <v>2565</v>
      </c>
      <c r="B2819" s="152" t="s">
        <v>5869</v>
      </c>
      <c r="C2819" s="21" t="s">
        <v>560</v>
      </c>
      <c r="D2819" s="109" t="s">
        <v>14876</v>
      </c>
      <c r="E2819" s="109"/>
      <c r="F2819" s="391" t="s">
        <v>15931</v>
      </c>
      <c r="G2819" s="23" t="s">
        <v>13863</v>
      </c>
      <c r="H2819" s="23" t="s">
        <v>13861</v>
      </c>
      <c r="I2819" s="23"/>
      <c r="J2819" s="23"/>
      <c r="K2819" s="23"/>
      <c r="L2819" s="375" t="s">
        <v>7787</v>
      </c>
      <c r="M2819" s="351"/>
      <c r="N2819" s="267">
        <f t="shared" si="673"/>
        <v>0</v>
      </c>
      <c r="O2819" s="268">
        <f t="shared" si="674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8"/>
        <v>0</v>
      </c>
      <c r="AD2819" s="196">
        <f t="shared" si="669"/>
        <v>0</v>
      </c>
      <c r="AE2819" s="196">
        <f t="shared" si="670"/>
        <v>0</v>
      </c>
      <c r="AF2819" s="2">
        <f t="shared" si="671"/>
        <v>0</v>
      </c>
      <c r="AG2819" s="2">
        <f t="shared" si="672"/>
        <v>0</v>
      </c>
    </row>
    <row r="2820" spans="1:33">
      <c r="A2820" s="20" t="s">
        <v>2749</v>
      </c>
      <c r="B2820" s="150"/>
      <c r="C2820" s="21" t="s">
        <v>15932</v>
      </c>
      <c r="D2820" s="109" t="s">
        <v>15933</v>
      </c>
      <c r="E2820" s="109"/>
      <c r="F2820" s="391" t="s">
        <v>15934</v>
      </c>
      <c r="G2820" s="23"/>
      <c r="H2820" s="23"/>
      <c r="I2820" s="23"/>
      <c r="J2820" s="23"/>
      <c r="K2820" s="23"/>
      <c r="L2820" s="350"/>
      <c r="M2820" s="351"/>
      <c r="N2820" s="267">
        <f t="shared" si="673"/>
        <v>0</v>
      </c>
      <c r="O2820" s="268">
        <f t="shared" si="674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8"/>
        <v>0</v>
      </c>
      <c r="AD2820" s="196">
        <f t="shared" si="669"/>
        <v>0</v>
      </c>
      <c r="AE2820" s="196">
        <f t="shared" si="670"/>
        <v>0</v>
      </c>
      <c r="AF2820" s="2">
        <f t="shared" si="671"/>
        <v>0</v>
      </c>
      <c r="AG2820" s="2">
        <f t="shared" si="672"/>
        <v>0</v>
      </c>
    </row>
    <row r="2821" spans="1:33">
      <c r="A2821" s="20" t="s">
        <v>2750</v>
      </c>
      <c r="B2821" s="161"/>
      <c r="C2821" s="21" t="s">
        <v>15932</v>
      </c>
      <c r="D2821" s="109" t="s">
        <v>15935</v>
      </c>
      <c r="E2821" s="109"/>
      <c r="F2821" s="391" t="s">
        <v>15934</v>
      </c>
      <c r="G2821" s="23"/>
      <c r="H2821" s="23"/>
      <c r="I2821" s="23"/>
      <c r="J2821" s="23"/>
      <c r="K2821" s="23"/>
      <c r="L2821" s="350"/>
      <c r="M2821" s="351"/>
      <c r="N2821" s="267">
        <f t="shared" si="673"/>
        <v>0</v>
      </c>
      <c r="O2821" s="268">
        <f t="shared" si="674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8"/>
        <v>0</v>
      </c>
      <c r="AD2821" s="196">
        <f t="shared" si="669"/>
        <v>0</v>
      </c>
      <c r="AE2821" s="196">
        <f t="shared" si="670"/>
        <v>0</v>
      </c>
      <c r="AF2821" s="2">
        <f t="shared" si="671"/>
        <v>0</v>
      </c>
      <c r="AG2821" s="2">
        <f t="shared" si="672"/>
        <v>0</v>
      </c>
    </row>
    <row r="2822" spans="1:33">
      <c r="A2822" s="20" t="s">
        <v>2751</v>
      </c>
      <c r="B2822" s="161"/>
      <c r="C2822" s="21" t="s">
        <v>825</v>
      </c>
      <c r="D2822" s="109" t="s">
        <v>13296</v>
      </c>
      <c r="E2822" s="109"/>
      <c r="F2822" s="391" t="s">
        <v>15936</v>
      </c>
      <c r="G2822" s="23"/>
      <c r="H2822" s="23"/>
      <c r="I2822" s="23"/>
      <c r="J2822" s="23"/>
      <c r="K2822" s="23"/>
      <c r="L2822" s="350"/>
      <c r="M2822" s="351"/>
      <c r="N2822" s="267">
        <f t="shared" si="673"/>
        <v>0</v>
      </c>
      <c r="O2822" s="268">
        <f t="shared" si="674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79"/>
      <c r="AB2822" s="238"/>
      <c r="AC2822" s="196">
        <f t="shared" si="668"/>
        <v>0</v>
      </c>
      <c r="AD2822" s="196">
        <f t="shared" si="669"/>
        <v>0</v>
      </c>
      <c r="AE2822" s="196">
        <f t="shared" si="670"/>
        <v>0</v>
      </c>
      <c r="AF2822" s="2">
        <f t="shared" si="671"/>
        <v>0</v>
      </c>
      <c r="AG2822" s="2">
        <f t="shared" si="672"/>
        <v>0</v>
      </c>
    </row>
    <row r="2823" spans="1:33">
      <c r="A2823" s="20" t="s">
        <v>2752</v>
      </c>
      <c r="B2823" s="161"/>
      <c r="C2823" s="21" t="s">
        <v>825</v>
      </c>
      <c r="D2823" s="109" t="s">
        <v>13866</v>
      </c>
      <c r="E2823" s="109"/>
      <c r="F2823" s="391" t="s">
        <v>15936</v>
      </c>
      <c r="G2823" s="23"/>
      <c r="H2823" s="23"/>
      <c r="I2823" s="23"/>
      <c r="J2823" s="23"/>
      <c r="K2823" s="23"/>
      <c r="L2823" s="350"/>
      <c r="M2823" s="351"/>
      <c r="N2823" s="267">
        <f t="shared" si="673"/>
        <v>0</v>
      </c>
      <c r="O2823" s="268">
        <f t="shared" si="674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37"/>
      <c r="Z2823" s="237"/>
      <c r="AA2823" s="279"/>
      <c r="AB2823" s="238"/>
      <c r="AC2823" s="196">
        <f t="shared" si="668"/>
        <v>0</v>
      </c>
      <c r="AD2823" s="196">
        <f t="shared" si="669"/>
        <v>0</v>
      </c>
      <c r="AE2823" s="196">
        <f t="shared" si="670"/>
        <v>0</v>
      </c>
      <c r="AF2823" s="2">
        <f t="shared" si="671"/>
        <v>0</v>
      </c>
      <c r="AG2823" s="2">
        <f t="shared" si="672"/>
        <v>0</v>
      </c>
    </row>
    <row r="2824" spans="1:33">
      <c r="A2824" s="20" t="s">
        <v>2754</v>
      </c>
      <c r="B2824" s="150"/>
      <c r="C2824" s="21" t="s">
        <v>710</v>
      </c>
      <c r="D2824" s="109" t="s">
        <v>13866</v>
      </c>
      <c r="E2824" s="109"/>
      <c r="F2824" s="391" t="s">
        <v>15937</v>
      </c>
      <c r="G2824" s="23" t="s">
        <v>15718</v>
      </c>
      <c r="H2824" s="23"/>
      <c r="I2824" s="23"/>
      <c r="J2824" s="23"/>
      <c r="K2824" s="23"/>
      <c r="L2824" s="375" t="s">
        <v>7787</v>
      </c>
      <c r="M2824" s="351" t="s">
        <v>7787</v>
      </c>
      <c r="N2824" s="267">
        <f t="shared" si="673"/>
        <v>0</v>
      </c>
      <c r="O2824" s="268">
        <f t="shared" si="674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37"/>
      <c r="Z2824" s="237"/>
      <c r="AA2824" s="239"/>
      <c r="AB2824" s="238"/>
      <c r="AC2824" s="196">
        <f t="shared" si="668"/>
        <v>0</v>
      </c>
      <c r="AD2824" s="196">
        <f t="shared" si="669"/>
        <v>0</v>
      </c>
      <c r="AE2824" s="196">
        <f t="shared" si="670"/>
        <v>0</v>
      </c>
      <c r="AF2824" s="2">
        <f t="shared" si="671"/>
        <v>0</v>
      </c>
      <c r="AG2824" s="2">
        <f t="shared" si="672"/>
        <v>0</v>
      </c>
    </row>
    <row r="2825" spans="1:33">
      <c r="A2825" s="20" t="s">
        <v>2566</v>
      </c>
      <c r="B2825" s="156"/>
      <c r="C2825" s="21" t="s">
        <v>561</v>
      </c>
      <c r="D2825" s="109" t="s">
        <v>15694</v>
      </c>
      <c r="E2825" s="109"/>
      <c r="F2825" s="391" t="s">
        <v>15938</v>
      </c>
      <c r="G2825" s="23" t="s">
        <v>15696</v>
      </c>
      <c r="H2825" s="23" t="s">
        <v>15842</v>
      </c>
      <c r="I2825" s="23"/>
      <c r="J2825" s="23"/>
      <c r="K2825" s="23"/>
      <c r="L2825" s="375" t="s">
        <v>7787</v>
      </c>
      <c r="M2825" s="351" t="s">
        <v>7787</v>
      </c>
      <c r="N2825" s="267">
        <f t="shared" si="673"/>
        <v>0</v>
      </c>
      <c r="O2825" s="268">
        <f t="shared" si="674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40"/>
      <c r="Z2825" s="237"/>
      <c r="AA2825" s="279"/>
      <c r="AB2825" s="238"/>
      <c r="AC2825" s="196">
        <f t="shared" si="668"/>
        <v>0</v>
      </c>
      <c r="AD2825" s="196">
        <f t="shared" si="669"/>
        <v>0</v>
      </c>
      <c r="AE2825" s="196">
        <f t="shared" si="670"/>
        <v>0</v>
      </c>
      <c r="AF2825" s="2">
        <f t="shared" si="671"/>
        <v>0</v>
      </c>
      <c r="AG2825" s="2">
        <f t="shared" si="672"/>
        <v>0</v>
      </c>
    </row>
    <row r="2826" spans="1:33">
      <c r="A2826" s="20" t="s">
        <v>2567</v>
      </c>
      <c r="B2826" s="156"/>
      <c r="C2826" s="21" t="s">
        <v>15939</v>
      </c>
      <c r="D2826" s="109" t="s">
        <v>15694</v>
      </c>
      <c r="E2826" s="109"/>
      <c r="F2826" s="391" t="s">
        <v>15940</v>
      </c>
      <c r="G2826" s="23" t="s">
        <v>15696</v>
      </c>
      <c r="H2826" s="23"/>
      <c r="I2826" s="23"/>
      <c r="J2826" s="23"/>
      <c r="K2826" s="23"/>
      <c r="L2826" s="350"/>
      <c r="M2826" s="351"/>
      <c r="N2826" s="267">
        <f t="shared" si="673"/>
        <v>0</v>
      </c>
      <c r="O2826" s="268">
        <f t="shared" si="674"/>
        <v>0</v>
      </c>
      <c r="P2826" s="239"/>
      <c r="Q2826" s="239"/>
      <c r="R2826" s="239"/>
      <c r="S2826" s="239"/>
      <c r="T2826" s="239"/>
      <c r="U2826" s="240"/>
      <c r="V2826" s="240"/>
      <c r="W2826" s="240"/>
      <c r="X2826" s="278"/>
      <c r="Y2826" s="239"/>
      <c r="Z2826" s="237"/>
      <c r="AA2826" s="279"/>
      <c r="AB2826" s="238"/>
      <c r="AC2826" s="196">
        <f t="shared" si="668"/>
        <v>0</v>
      </c>
      <c r="AD2826" s="196">
        <f t="shared" si="669"/>
        <v>0</v>
      </c>
      <c r="AE2826" s="196">
        <f t="shared" si="670"/>
        <v>0</v>
      </c>
      <c r="AF2826" s="2">
        <f t="shared" si="671"/>
        <v>0</v>
      </c>
      <c r="AG2826" s="2">
        <f t="shared" si="672"/>
        <v>0</v>
      </c>
    </row>
    <row r="2827" spans="1:33">
      <c r="A2827" s="20" t="s">
        <v>2568</v>
      </c>
      <c r="B2827" s="161"/>
      <c r="C2827" s="21" t="s">
        <v>562</v>
      </c>
      <c r="D2827" s="109" t="s">
        <v>13293</v>
      </c>
      <c r="E2827" s="109"/>
      <c r="F2827" s="391" t="s">
        <v>15941</v>
      </c>
      <c r="G2827" s="23" t="s">
        <v>15847</v>
      </c>
      <c r="H2827" s="23"/>
      <c r="I2827" s="23"/>
      <c r="J2827" s="23"/>
      <c r="K2827" s="23"/>
      <c r="L2827" s="350"/>
      <c r="M2827" s="351"/>
      <c r="N2827" s="267">
        <f t="shared" si="673"/>
        <v>0</v>
      </c>
      <c r="O2827" s="268">
        <f t="shared" si="674"/>
        <v>0</v>
      </c>
      <c r="P2827" s="239"/>
      <c r="Q2827" s="239"/>
      <c r="R2827" s="239"/>
      <c r="S2827" s="239"/>
      <c r="T2827" s="239"/>
      <c r="U2827" s="240"/>
      <c r="V2827" s="240"/>
      <c r="W2827" s="240"/>
      <c r="X2827" s="278"/>
      <c r="Y2827" s="237"/>
      <c r="Z2827" s="237"/>
      <c r="AA2827" s="279"/>
      <c r="AB2827" s="238"/>
      <c r="AC2827" s="196">
        <f t="shared" si="668"/>
        <v>0</v>
      </c>
      <c r="AD2827" s="196">
        <f t="shared" si="669"/>
        <v>0</v>
      </c>
      <c r="AE2827" s="196">
        <f t="shared" si="670"/>
        <v>0</v>
      </c>
      <c r="AF2827" s="2">
        <f t="shared" si="671"/>
        <v>0</v>
      </c>
      <c r="AG2827" s="2">
        <f t="shared" si="672"/>
        <v>0</v>
      </c>
    </row>
    <row r="2828" spans="1:33">
      <c r="A2828" s="20" t="s">
        <v>2569</v>
      </c>
      <c r="B2828" s="150"/>
      <c r="C2828" s="21" t="s">
        <v>563</v>
      </c>
      <c r="D2828" s="109" t="s">
        <v>15717</v>
      </c>
      <c r="E2828" s="109" t="s">
        <v>15942</v>
      </c>
      <c r="F2828" s="391" t="s">
        <v>15943</v>
      </c>
      <c r="G2828" s="23" t="s">
        <v>13863</v>
      </c>
      <c r="H2828" s="23"/>
      <c r="I2828" s="23"/>
      <c r="J2828" s="23"/>
      <c r="K2828" s="23"/>
      <c r="L2828" s="350"/>
      <c r="M2828" s="351"/>
      <c r="N2828" s="267">
        <f t="shared" si="673"/>
        <v>0</v>
      </c>
      <c r="O2828" s="268">
        <f t="shared" si="674"/>
        <v>0</v>
      </c>
      <c r="P2828" s="239"/>
      <c r="Q2828" s="239"/>
      <c r="R2828" s="239"/>
      <c r="S2828" s="239"/>
      <c r="T2828" s="239"/>
      <c r="U2828" s="240"/>
      <c r="V2828" s="240"/>
      <c r="W2828" s="240">
        <v>0</v>
      </c>
      <c r="X2828" s="278"/>
      <c r="Y2828" s="237"/>
      <c r="Z2828" s="239"/>
      <c r="AA2828" s="239"/>
      <c r="AB2828" s="238"/>
      <c r="AC2828" s="196">
        <f t="shared" si="668"/>
        <v>0</v>
      </c>
      <c r="AD2828" s="196">
        <f t="shared" si="669"/>
        <v>0</v>
      </c>
      <c r="AE2828" s="196">
        <f t="shared" si="670"/>
        <v>0</v>
      </c>
      <c r="AF2828" s="2">
        <f t="shared" si="671"/>
        <v>0</v>
      </c>
      <c r="AG2828" s="2">
        <f t="shared" si="672"/>
        <v>0</v>
      </c>
    </row>
    <row r="2829" spans="1:33">
      <c r="A2829" s="20" t="s">
        <v>2570</v>
      </c>
      <c r="B2829" s="150"/>
      <c r="C2829" s="21" t="s">
        <v>564</v>
      </c>
      <c r="D2829" s="109" t="s">
        <v>13296</v>
      </c>
      <c r="E2829" s="109"/>
      <c r="F2829" s="391" t="s">
        <v>15944</v>
      </c>
      <c r="G2829" s="23"/>
      <c r="H2829" s="23"/>
      <c r="I2829" s="23"/>
      <c r="J2829" s="23"/>
      <c r="K2829" s="23"/>
      <c r="L2829" s="350"/>
      <c r="M2829" s="351"/>
      <c r="N2829" s="267">
        <f t="shared" si="673"/>
        <v>0</v>
      </c>
      <c r="O2829" s="268">
        <f t="shared" si="674"/>
        <v>0</v>
      </c>
      <c r="P2829" s="239"/>
      <c r="Q2829" s="239"/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79"/>
      <c r="AB2829" s="238"/>
      <c r="AC2829" s="196">
        <f t="shared" si="668"/>
        <v>0</v>
      </c>
      <c r="AD2829" s="196">
        <f t="shared" si="669"/>
        <v>0</v>
      </c>
      <c r="AE2829" s="196">
        <f t="shared" si="670"/>
        <v>0</v>
      </c>
      <c r="AF2829" s="2">
        <f t="shared" si="671"/>
        <v>0</v>
      </c>
      <c r="AG2829" s="2">
        <f t="shared" si="672"/>
        <v>0</v>
      </c>
    </row>
    <row r="2830" spans="1:33">
      <c r="A2830" s="20" t="s">
        <v>2571</v>
      </c>
      <c r="B2830" s="162" t="s">
        <v>5955</v>
      </c>
      <c r="C2830" s="21" t="s">
        <v>565</v>
      </c>
      <c r="D2830" s="109" t="s">
        <v>15717</v>
      </c>
      <c r="E2830" s="109"/>
      <c r="F2830" s="391" t="s">
        <v>15945</v>
      </c>
      <c r="G2830" s="23" t="s">
        <v>13863</v>
      </c>
      <c r="H2830" s="23" t="s">
        <v>15785</v>
      </c>
      <c r="I2830" s="23"/>
      <c r="J2830" s="23"/>
      <c r="K2830" s="23"/>
      <c r="L2830" s="375" t="s">
        <v>45</v>
      </c>
      <c r="M2830" s="351" t="s">
        <v>45</v>
      </c>
      <c r="N2830" s="267">
        <f t="shared" si="673"/>
        <v>0</v>
      </c>
      <c r="O2830" s="268">
        <f t="shared" si="674"/>
        <v>1550</v>
      </c>
      <c r="P2830" s="239"/>
      <c r="Q2830" s="248">
        <f>400-300+1450</f>
        <v>1550</v>
      </c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48"/>
      <c r="AB2830" s="238" t="s">
        <v>26846</v>
      </c>
      <c r="AC2830" s="196">
        <f t="shared" si="668"/>
        <v>1550</v>
      </c>
      <c r="AD2830" s="196">
        <f t="shared" si="669"/>
        <v>1550</v>
      </c>
      <c r="AE2830" s="196">
        <f t="shared" si="670"/>
        <v>0</v>
      </c>
      <c r="AF2830" s="2">
        <f t="shared" si="671"/>
        <v>1550</v>
      </c>
      <c r="AG2830" s="2">
        <f t="shared" si="672"/>
        <v>0</v>
      </c>
    </row>
    <row r="2831" spans="1:33">
      <c r="A2831" s="20" t="s">
        <v>2572</v>
      </c>
      <c r="B2831" s="161"/>
      <c r="C2831" s="21" t="s">
        <v>566</v>
      </c>
      <c r="D2831" s="109" t="s">
        <v>13866</v>
      </c>
      <c r="E2831" s="109"/>
      <c r="F2831" s="391" t="s">
        <v>15946</v>
      </c>
      <c r="G2831" s="23" t="s">
        <v>15947</v>
      </c>
      <c r="H2831" s="23"/>
      <c r="I2831" s="23"/>
      <c r="J2831" s="23"/>
      <c r="K2831" s="23"/>
      <c r="L2831" s="350"/>
      <c r="M2831" s="351"/>
      <c r="N2831" s="267">
        <f t="shared" si="673"/>
        <v>0</v>
      </c>
      <c r="O2831" s="268">
        <f t="shared" si="674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85"/>
      <c r="AB2831" s="238"/>
      <c r="AC2831" s="196">
        <f t="shared" si="668"/>
        <v>0</v>
      </c>
      <c r="AD2831" s="196">
        <f t="shared" si="669"/>
        <v>0</v>
      </c>
      <c r="AE2831" s="196">
        <f t="shared" si="670"/>
        <v>0</v>
      </c>
      <c r="AF2831" s="2">
        <f t="shared" si="671"/>
        <v>0</v>
      </c>
      <c r="AG2831" s="2">
        <f t="shared" si="672"/>
        <v>0</v>
      </c>
    </row>
    <row r="2832" spans="1:33">
      <c r="A2832" s="20" t="s">
        <v>2573</v>
      </c>
      <c r="B2832" s="150"/>
      <c r="C2832" s="21" t="s">
        <v>567</v>
      </c>
      <c r="D2832" s="109" t="s">
        <v>13296</v>
      </c>
      <c r="E2832" s="109"/>
      <c r="F2832" s="391" t="s">
        <v>15948</v>
      </c>
      <c r="G2832" s="23" t="s">
        <v>15707</v>
      </c>
      <c r="H2832" s="23"/>
      <c r="I2832" s="23"/>
      <c r="J2832" s="23"/>
      <c r="K2832" s="23"/>
      <c r="L2832" s="350"/>
      <c r="M2832" s="351"/>
      <c r="N2832" s="267">
        <f t="shared" si="673"/>
        <v>0</v>
      </c>
      <c r="O2832" s="268">
        <f t="shared" si="674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/>
      <c r="Y2832" s="237"/>
      <c r="Z2832" s="237"/>
      <c r="AA2832" s="279"/>
      <c r="AB2832" s="238"/>
      <c r="AC2832" s="196">
        <f t="shared" si="668"/>
        <v>0</v>
      </c>
      <c r="AD2832" s="196">
        <f t="shared" si="669"/>
        <v>0</v>
      </c>
      <c r="AE2832" s="196">
        <f t="shared" si="670"/>
        <v>0</v>
      </c>
      <c r="AF2832" s="2">
        <f t="shared" si="671"/>
        <v>0</v>
      </c>
      <c r="AG2832" s="2">
        <f t="shared" si="672"/>
        <v>0</v>
      </c>
    </row>
    <row r="2833" spans="1:33">
      <c r="A2833" s="20" t="s">
        <v>2753</v>
      </c>
      <c r="B2833" s="150"/>
      <c r="C2833" s="21" t="s">
        <v>15949</v>
      </c>
      <c r="D2833" s="109" t="s">
        <v>13307</v>
      </c>
      <c r="E2833" s="109"/>
      <c r="F2833" s="391" t="s">
        <v>15937</v>
      </c>
      <c r="G2833" s="23"/>
      <c r="H2833" s="23"/>
      <c r="I2833" s="23"/>
      <c r="J2833" s="23"/>
      <c r="K2833" s="23"/>
      <c r="L2833" s="350"/>
      <c r="M2833" s="351"/>
      <c r="N2833" s="267">
        <f t="shared" si="673"/>
        <v>0</v>
      </c>
      <c r="O2833" s="268">
        <f t="shared" si="674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/>
      <c r="Y2833" s="237"/>
      <c r="Z2833" s="237"/>
      <c r="AA2833" s="279"/>
      <c r="AB2833" s="238"/>
      <c r="AC2833" s="196">
        <f t="shared" si="668"/>
        <v>0</v>
      </c>
      <c r="AD2833" s="196">
        <f t="shared" si="669"/>
        <v>0</v>
      </c>
      <c r="AE2833" s="196">
        <f t="shared" si="670"/>
        <v>0</v>
      </c>
      <c r="AF2833" s="2">
        <f t="shared" si="671"/>
        <v>0</v>
      </c>
      <c r="AG2833" s="2">
        <f t="shared" si="672"/>
        <v>0</v>
      </c>
    </row>
    <row r="2834" spans="1:33">
      <c r="A2834" s="20" t="s">
        <v>2574</v>
      </c>
      <c r="B2834" s="161"/>
      <c r="C2834" s="21" t="s">
        <v>568</v>
      </c>
      <c r="D2834" s="109" t="s">
        <v>13293</v>
      </c>
      <c r="E2834" s="109"/>
      <c r="F2834" s="391" t="s">
        <v>15950</v>
      </c>
      <c r="G2834" s="23" t="s">
        <v>15688</v>
      </c>
      <c r="H2834" s="23"/>
      <c r="I2834" s="23"/>
      <c r="J2834" s="23"/>
      <c r="K2834" s="23"/>
      <c r="L2834" s="375" t="s">
        <v>7787</v>
      </c>
      <c r="M2834" s="351" t="s">
        <v>7787</v>
      </c>
      <c r="N2834" s="267">
        <f t="shared" si="673"/>
        <v>0</v>
      </c>
      <c r="O2834" s="268">
        <f t="shared" si="674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>
        <v>0</v>
      </c>
      <c r="Y2834" s="237"/>
      <c r="Z2834" s="237"/>
      <c r="AA2834" s="279"/>
      <c r="AB2834" s="238"/>
      <c r="AC2834" s="196">
        <f t="shared" si="668"/>
        <v>0</v>
      </c>
      <c r="AD2834" s="196">
        <f t="shared" si="669"/>
        <v>0</v>
      </c>
      <c r="AE2834" s="196">
        <f t="shared" si="670"/>
        <v>0</v>
      </c>
      <c r="AF2834" s="2">
        <f t="shared" si="671"/>
        <v>0</v>
      </c>
      <c r="AG2834" s="2">
        <f t="shared" si="672"/>
        <v>0</v>
      </c>
    </row>
    <row r="2835" spans="1:33">
      <c r="A2835" s="20" t="s">
        <v>2575</v>
      </c>
      <c r="B2835" s="162" t="s">
        <v>15951</v>
      </c>
      <c r="C2835" s="21" t="s">
        <v>569</v>
      </c>
      <c r="D2835" s="109" t="s">
        <v>15717</v>
      </c>
      <c r="E2835" s="158" t="s">
        <v>15952</v>
      </c>
      <c r="F2835" s="391" t="s">
        <v>15953</v>
      </c>
      <c r="G2835" s="23" t="s">
        <v>15954</v>
      </c>
      <c r="H2835" s="23"/>
      <c r="I2835" s="23"/>
      <c r="J2835" s="23"/>
      <c r="K2835" s="23"/>
      <c r="L2835" s="375" t="s">
        <v>7787</v>
      </c>
      <c r="M2835" s="351"/>
      <c r="N2835" s="267">
        <f t="shared" si="673"/>
        <v>0</v>
      </c>
      <c r="O2835" s="268">
        <f t="shared" si="674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37"/>
      <c r="Z2835" s="237"/>
      <c r="AA2835" s="279"/>
      <c r="AB2835" s="238"/>
      <c r="AC2835" s="196">
        <f t="shared" si="668"/>
        <v>0</v>
      </c>
      <c r="AD2835" s="196">
        <f t="shared" si="669"/>
        <v>0</v>
      </c>
      <c r="AE2835" s="196">
        <f t="shared" si="670"/>
        <v>0</v>
      </c>
      <c r="AF2835" s="2">
        <f t="shared" si="671"/>
        <v>0</v>
      </c>
      <c r="AG2835" s="2">
        <f t="shared" si="672"/>
        <v>0</v>
      </c>
    </row>
    <row r="2836" spans="1:33">
      <c r="A2836" s="20" t="s">
        <v>2755</v>
      </c>
      <c r="B2836" s="150"/>
      <c r="C2836" s="21" t="s">
        <v>826</v>
      </c>
      <c r="D2836" s="109" t="s">
        <v>15694</v>
      </c>
      <c r="E2836" s="109"/>
      <c r="F2836" s="391" t="s">
        <v>15955</v>
      </c>
      <c r="G2836" s="23"/>
      <c r="H2836" s="23"/>
      <c r="I2836" s="23"/>
      <c r="J2836" s="23"/>
      <c r="K2836" s="23"/>
      <c r="L2836" s="350"/>
      <c r="M2836" s="351"/>
      <c r="N2836" s="267">
        <f t="shared" si="673"/>
        <v>0</v>
      </c>
      <c r="O2836" s="268">
        <f t="shared" si="674"/>
        <v>0</v>
      </c>
      <c r="P2836" s="239"/>
      <c r="Q2836" s="239"/>
      <c r="R2836" s="239"/>
      <c r="S2836" s="239"/>
      <c r="T2836" s="239"/>
      <c r="U2836" s="240"/>
      <c r="V2836" s="240"/>
      <c r="W2836" s="240"/>
      <c r="X2836" s="278"/>
      <c r="Y2836" s="278"/>
      <c r="Z2836" s="237"/>
      <c r="AA2836" s="279"/>
      <c r="AB2836" s="238"/>
      <c r="AC2836" s="196">
        <f t="shared" si="668"/>
        <v>0</v>
      </c>
      <c r="AD2836" s="196">
        <f t="shared" si="669"/>
        <v>0</v>
      </c>
      <c r="AE2836" s="196">
        <f t="shared" si="670"/>
        <v>0</v>
      </c>
      <c r="AF2836" s="2">
        <f t="shared" si="671"/>
        <v>0</v>
      </c>
      <c r="AG2836" s="2">
        <f t="shared" si="672"/>
        <v>0</v>
      </c>
    </row>
    <row r="2837" spans="1:33">
      <c r="A2837" s="20" t="s">
        <v>2576</v>
      </c>
      <c r="B2837" s="150"/>
      <c r="C2837" s="21" t="s">
        <v>15956</v>
      </c>
      <c r="D2837" s="109" t="s">
        <v>13293</v>
      </c>
      <c r="E2837" s="109"/>
      <c r="F2837" s="391" t="s">
        <v>15957</v>
      </c>
      <c r="G2837" s="23" t="s">
        <v>15688</v>
      </c>
      <c r="H2837" s="23" t="s">
        <v>15958</v>
      </c>
      <c r="I2837" s="23"/>
      <c r="J2837" s="23"/>
      <c r="K2837" s="23"/>
      <c r="L2837" s="350"/>
      <c r="M2837" s="351"/>
      <c r="N2837" s="267">
        <f t="shared" si="673"/>
        <v>0</v>
      </c>
      <c r="O2837" s="268">
        <f t="shared" si="674"/>
        <v>0</v>
      </c>
      <c r="P2837" s="239"/>
      <c r="Q2837" s="239"/>
      <c r="R2837" s="239"/>
      <c r="S2837" s="239"/>
      <c r="T2837" s="239"/>
      <c r="U2837" s="240"/>
      <c r="V2837" s="240"/>
      <c r="W2837" s="240"/>
      <c r="X2837" s="278"/>
      <c r="Y2837" s="240"/>
      <c r="Z2837" s="237"/>
      <c r="AA2837" s="279"/>
      <c r="AB2837" s="238"/>
      <c r="AC2837" s="196">
        <f t="shared" si="668"/>
        <v>0</v>
      </c>
      <c r="AD2837" s="196">
        <f t="shared" si="669"/>
        <v>0</v>
      </c>
      <c r="AE2837" s="196">
        <f t="shared" si="670"/>
        <v>0</v>
      </c>
      <c r="AF2837" s="2">
        <f t="shared" si="671"/>
        <v>0</v>
      </c>
      <c r="AG2837" s="2">
        <f t="shared" si="672"/>
        <v>0</v>
      </c>
    </row>
    <row r="2838" spans="1:33">
      <c r="A2838" s="20" t="s">
        <v>7310</v>
      </c>
      <c r="B2838" s="150"/>
      <c r="C2838" s="21" t="s">
        <v>15959</v>
      </c>
      <c r="D2838" s="109" t="s">
        <v>15960</v>
      </c>
      <c r="E2838" s="109"/>
      <c r="F2838" s="391" t="s">
        <v>15961</v>
      </c>
      <c r="G2838" s="23" t="s">
        <v>15962</v>
      </c>
      <c r="H2838" s="23"/>
      <c r="I2838" s="23"/>
      <c r="J2838" s="23"/>
      <c r="K2838" s="23"/>
      <c r="L2838" s="375" t="s">
        <v>7787</v>
      </c>
      <c r="M2838" s="351" t="s">
        <v>7787</v>
      </c>
      <c r="N2838" s="267">
        <f t="shared" si="673"/>
        <v>0</v>
      </c>
      <c r="O2838" s="268">
        <f t="shared" si="674"/>
        <v>0</v>
      </c>
      <c r="P2838" s="239"/>
      <c r="Q2838" s="239"/>
      <c r="R2838" s="239"/>
      <c r="S2838" s="239"/>
      <c r="T2838" s="239"/>
      <c r="U2838" s="278"/>
      <c r="V2838" s="278"/>
      <c r="W2838" s="240"/>
      <c r="X2838" s="278"/>
      <c r="Y2838" s="240"/>
      <c r="Z2838" s="237"/>
      <c r="AA2838" s="279"/>
      <c r="AB2838" s="238"/>
      <c r="AC2838" s="196">
        <f t="shared" si="668"/>
        <v>0</v>
      </c>
      <c r="AD2838" s="196">
        <f t="shared" si="669"/>
        <v>0</v>
      </c>
      <c r="AE2838" s="196">
        <f t="shared" si="670"/>
        <v>0</v>
      </c>
      <c r="AF2838" s="2">
        <f t="shared" si="671"/>
        <v>0</v>
      </c>
      <c r="AG2838" s="2">
        <f t="shared" si="672"/>
        <v>0</v>
      </c>
    </row>
    <row r="2839" spans="1:33">
      <c r="A2839" s="20" t="s">
        <v>2581</v>
      </c>
      <c r="B2839" s="161"/>
      <c r="C2839" s="21" t="s">
        <v>15963</v>
      </c>
      <c r="D2839" s="109" t="s">
        <v>15964</v>
      </c>
      <c r="E2839" s="109" t="s">
        <v>15965</v>
      </c>
      <c r="F2839" s="391" t="s">
        <v>15961</v>
      </c>
      <c r="G2839" s="23" t="s">
        <v>15962</v>
      </c>
      <c r="H2839" s="23"/>
      <c r="I2839" s="23"/>
      <c r="J2839" s="23"/>
      <c r="K2839" s="23"/>
      <c r="L2839" s="375" t="s">
        <v>7787</v>
      </c>
      <c r="M2839" s="351" t="s">
        <v>7787</v>
      </c>
      <c r="N2839" s="267">
        <f t="shared" si="673"/>
        <v>0</v>
      </c>
      <c r="O2839" s="268">
        <f t="shared" si="674"/>
        <v>0</v>
      </c>
      <c r="P2839" s="239"/>
      <c r="Q2839" s="239"/>
      <c r="R2839" s="239"/>
      <c r="S2839" s="239"/>
      <c r="T2839" s="239"/>
      <c r="U2839" s="240"/>
      <c r="V2839" s="240"/>
      <c r="W2839" s="240"/>
      <c r="X2839" s="278"/>
      <c r="Y2839" s="237"/>
      <c r="Z2839" s="237"/>
      <c r="AA2839" s="240"/>
      <c r="AB2839" s="238"/>
      <c r="AC2839" s="196">
        <f t="shared" si="668"/>
        <v>0</v>
      </c>
      <c r="AD2839" s="196">
        <f t="shared" si="669"/>
        <v>0</v>
      </c>
      <c r="AE2839" s="196">
        <f t="shared" si="670"/>
        <v>0</v>
      </c>
      <c r="AF2839" s="2">
        <f t="shared" si="671"/>
        <v>0</v>
      </c>
      <c r="AG2839" s="2">
        <f t="shared" si="672"/>
        <v>0</v>
      </c>
    </row>
    <row r="2840" spans="1:33">
      <c r="A2840" s="20" t="s">
        <v>2577</v>
      </c>
      <c r="B2840" s="161"/>
      <c r="C2840" s="21" t="s">
        <v>15963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75" t="s">
        <v>7787</v>
      </c>
      <c r="M2840" s="351" t="s">
        <v>7787</v>
      </c>
      <c r="N2840" s="267">
        <f t="shared" si="673"/>
        <v>0</v>
      </c>
      <c r="O2840" s="268">
        <f t="shared" si="674"/>
        <v>0</v>
      </c>
      <c r="P2840" s="239"/>
      <c r="Q2840" s="239"/>
      <c r="R2840" s="239"/>
      <c r="S2840" s="239"/>
      <c r="T2840" s="239"/>
      <c r="U2840" s="240">
        <v>0</v>
      </c>
      <c r="V2840" s="240"/>
      <c r="W2840" s="240"/>
      <c r="X2840" s="278">
        <v>0</v>
      </c>
      <c r="Y2840" s="240"/>
      <c r="Z2840" s="237"/>
      <c r="AA2840" s="279"/>
      <c r="AB2840" s="238"/>
      <c r="AC2840" s="196">
        <f t="shared" si="668"/>
        <v>0</v>
      </c>
      <c r="AD2840" s="196">
        <f t="shared" si="669"/>
        <v>0</v>
      </c>
      <c r="AE2840" s="196">
        <f t="shared" si="670"/>
        <v>0</v>
      </c>
      <c r="AF2840" s="2">
        <f t="shared" si="671"/>
        <v>0</v>
      </c>
      <c r="AG2840" s="2">
        <f t="shared" si="672"/>
        <v>0</v>
      </c>
    </row>
    <row r="2841" spans="1:33">
      <c r="A2841" s="20" t="s">
        <v>2578</v>
      </c>
      <c r="B2841" s="156" t="s">
        <v>5870</v>
      </c>
      <c r="C2841" s="21" t="s">
        <v>5072</v>
      </c>
      <c r="D2841" s="109" t="s">
        <v>15960</v>
      </c>
      <c r="E2841" s="109"/>
      <c r="F2841" s="391" t="s">
        <v>15961</v>
      </c>
      <c r="G2841" s="23" t="s">
        <v>15962</v>
      </c>
      <c r="H2841" s="23" t="s">
        <v>15966</v>
      </c>
      <c r="I2841" s="23"/>
      <c r="J2841" s="23"/>
      <c r="K2841" s="23"/>
      <c r="L2841" s="350"/>
      <c r="M2841" s="351"/>
      <c r="N2841" s="267">
        <f t="shared" si="673"/>
        <v>0</v>
      </c>
      <c r="O2841" s="268">
        <f t="shared" si="674"/>
        <v>0</v>
      </c>
      <c r="P2841" s="239"/>
      <c r="Q2841" s="239"/>
      <c r="R2841" s="239"/>
      <c r="S2841" s="239"/>
      <c r="T2841" s="239"/>
      <c r="U2841" s="240">
        <v>0</v>
      </c>
      <c r="V2841" s="240"/>
      <c r="W2841" s="240"/>
      <c r="X2841" s="278"/>
      <c r="Y2841" s="237"/>
      <c r="Z2841" s="237"/>
      <c r="AA2841" s="279"/>
      <c r="AB2841" s="238"/>
      <c r="AC2841" s="196">
        <f t="shared" si="668"/>
        <v>0</v>
      </c>
      <c r="AD2841" s="196">
        <f t="shared" si="669"/>
        <v>0</v>
      </c>
      <c r="AE2841" s="196">
        <f t="shared" si="670"/>
        <v>0</v>
      </c>
      <c r="AF2841" s="2">
        <f t="shared" si="671"/>
        <v>0</v>
      </c>
      <c r="AG2841" s="2">
        <f t="shared" si="672"/>
        <v>0</v>
      </c>
    </row>
    <row r="2842" spans="1:33">
      <c r="A2842" s="20" t="s">
        <v>2579</v>
      </c>
      <c r="B2842" s="150"/>
      <c r="C2842" s="21" t="s">
        <v>5073</v>
      </c>
      <c r="D2842" s="109" t="s">
        <v>15960</v>
      </c>
      <c r="E2842" s="109"/>
      <c r="F2842" s="391" t="s">
        <v>15961</v>
      </c>
      <c r="G2842" s="23" t="s">
        <v>15962</v>
      </c>
      <c r="H2842" s="23" t="s">
        <v>15966</v>
      </c>
      <c r="I2842" s="23"/>
      <c r="J2842" s="23"/>
      <c r="K2842" s="23"/>
      <c r="L2842" s="375" t="s">
        <v>7787</v>
      </c>
      <c r="M2842" s="351" t="s">
        <v>7787</v>
      </c>
      <c r="N2842" s="267">
        <f t="shared" si="673"/>
        <v>0</v>
      </c>
      <c r="O2842" s="268">
        <f t="shared" si="674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40"/>
      <c r="Y2842" s="237"/>
      <c r="Z2842" s="237"/>
      <c r="AA2842" s="279"/>
      <c r="AB2842" s="238"/>
      <c r="AC2842" s="196">
        <f t="shared" si="668"/>
        <v>0</v>
      </c>
      <c r="AD2842" s="196">
        <f t="shared" si="669"/>
        <v>0</v>
      </c>
      <c r="AE2842" s="196">
        <f t="shared" si="670"/>
        <v>0</v>
      </c>
      <c r="AF2842" s="2">
        <f t="shared" si="671"/>
        <v>0</v>
      </c>
      <c r="AG2842" s="2">
        <f t="shared" si="672"/>
        <v>0</v>
      </c>
    </row>
    <row r="2843" spans="1:33">
      <c r="A2843" s="20" t="s">
        <v>2580</v>
      </c>
      <c r="B2843" s="161"/>
      <c r="C2843" s="21" t="s">
        <v>5073</v>
      </c>
      <c r="D2843" s="109" t="s">
        <v>15960</v>
      </c>
      <c r="E2843" s="109"/>
      <c r="F2843" s="391" t="s">
        <v>15967</v>
      </c>
      <c r="G2843" s="23" t="s">
        <v>15962</v>
      </c>
      <c r="H2843" s="23" t="s">
        <v>15966</v>
      </c>
      <c r="I2843" s="23"/>
      <c r="J2843" s="23"/>
      <c r="K2843" s="23"/>
      <c r="L2843" s="375" t="s">
        <v>7787</v>
      </c>
      <c r="M2843" s="351"/>
      <c r="N2843" s="267">
        <f t="shared" si="673"/>
        <v>0</v>
      </c>
      <c r="O2843" s="268">
        <f t="shared" si="674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78"/>
      <c r="Y2843" s="237"/>
      <c r="Z2843" s="237"/>
      <c r="AA2843" s="279"/>
      <c r="AB2843" s="238"/>
      <c r="AC2843" s="196">
        <f t="shared" si="668"/>
        <v>0</v>
      </c>
      <c r="AD2843" s="196">
        <f t="shared" si="669"/>
        <v>0</v>
      </c>
      <c r="AE2843" s="196">
        <f t="shared" si="670"/>
        <v>0</v>
      </c>
      <c r="AF2843" s="2">
        <f t="shared" si="671"/>
        <v>0</v>
      </c>
      <c r="AG2843" s="2">
        <f t="shared" si="672"/>
        <v>0</v>
      </c>
    </row>
    <row r="2844" spans="1:33">
      <c r="A2844" s="20" t="s">
        <v>2579</v>
      </c>
      <c r="B2844" s="150"/>
      <c r="C2844" s="21" t="s">
        <v>15968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73"/>
        <v>0</v>
      </c>
      <c r="O2844" s="268">
        <f t="shared" si="674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8"/>
        <v>0</v>
      </c>
      <c r="AD2844" s="196">
        <f t="shared" si="669"/>
        <v>0</v>
      </c>
      <c r="AE2844" s="196">
        <f t="shared" si="670"/>
        <v>0</v>
      </c>
      <c r="AF2844" s="2">
        <f t="shared" si="671"/>
        <v>0</v>
      </c>
      <c r="AG2844" s="2">
        <f t="shared" si="672"/>
        <v>0</v>
      </c>
    </row>
    <row r="2845" spans="1:33">
      <c r="A2845" s="20" t="s">
        <v>9223</v>
      </c>
      <c r="B2845" s="150"/>
      <c r="C2845" s="21" t="s">
        <v>15969</v>
      </c>
      <c r="D2845" s="109" t="s">
        <v>15960</v>
      </c>
      <c r="E2845" s="109"/>
      <c r="F2845" s="391" t="s">
        <v>15961</v>
      </c>
      <c r="G2845" s="23" t="s">
        <v>15962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73"/>
        <v>0</v>
      </c>
      <c r="O2845" s="268">
        <f t="shared" si="674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37"/>
      <c r="Z2845" s="237"/>
      <c r="AA2845" s="279"/>
      <c r="AB2845" s="238"/>
      <c r="AC2845" s="196">
        <f t="shared" si="668"/>
        <v>0</v>
      </c>
      <c r="AD2845" s="196">
        <f t="shared" si="669"/>
        <v>0</v>
      </c>
      <c r="AE2845" s="196">
        <f t="shared" si="670"/>
        <v>0</v>
      </c>
      <c r="AF2845" s="2">
        <f t="shared" si="671"/>
        <v>0</v>
      </c>
      <c r="AG2845" s="2">
        <f t="shared" si="672"/>
        <v>0</v>
      </c>
    </row>
    <row r="2846" spans="1:33">
      <c r="A2846" s="20" t="s">
        <v>2579</v>
      </c>
      <c r="B2846" s="150"/>
      <c r="C2846" s="21" t="s">
        <v>15970</v>
      </c>
      <c r="D2846" s="109" t="s">
        <v>15960</v>
      </c>
      <c r="E2846" s="109"/>
      <c r="F2846" s="391" t="s">
        <v>15961</v>
      </c>
      <c r="G2846" s="23" t="s">
        <v>15962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73"/>
        <v>0</v>
      </c>
      <c r="O2846" s="268">
        <f t="shared" si="674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37"/>
      <c r="Z2846" s="237"/>
      <c r="AA2846" s="279"/>
      <c r="AB2846" s="238"/>
      <c r="AC2846" s="196">
        <f t="shared" si="668"/>
        <v>0</v>
      </c>
      <c r="AD2846" s="196">
        <f t="shared" si="669"/>
        <v>0</v>
      </c>
      <c r="AE2846" s="196">
        <f t="shared" si="670"/>
        <v>0</v>
      </c>
      <c r="AF2846" s="2">
        <f t="shared" si="671"/>
        <v>0</v>
      </c>
      <c r="AG2846" s="2">
        <f t="shared" si="672"/>
        <v>0</v>
      </c>
    </row>
    <row r="2847" spans="1:33">
      <c r="A2847" s="20" t="s">
        <v>12232</v>
      </c>
      <c r="B2847" s="150"/>
      <c r="C2847" s="21" t="s">
        <v>15971</v>
      </c>
      <c r="D2847" s="109" t="s">
        <v>15744</v>
      </c>
      <c r="E2847" s="109"/>
      <c r="F2847" s="391" t="s">
        <v>15972</v>
      </c>
      <c r="G2847" s="23" t="s">
        <v>13421</v>
      </c>
      <c r="H2847" s="23"/>
      <c r="I2847" s="23"/>
      <c r="J2847" s="23"/>
      <c r="K2847" s="23"/>
      <c r="L2847" s="375" t="s">
        <v>7787</v>
      </c>
      <c r="M2847" s="351" t="s">
        <v>7787</v>
      </c>
      <c r="N2847" s="267">
        <f t="shared" si="673"/>
        <v>0</v>
      </c>
      <c r="O2847" s="268">
        <f t="shared" si="674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8"/>
        <v>0</v>
      </c>
      <c r="AD2847" s="196">
        <f t="shared" si="669"/>
        <v>0</v>
      </c>
      <c r="AE2847" s="196">
        <f t="shared" si="670"/>
        <v>0</v>
      </c>
      <c r="AF2847" s="2">
        <f t="shared" si="671"/>
        <v>0</v>
      </c>
      <c r="AG2847" s="2">
        <f t="shared" si="672"/>
        <v>0</v>
      </c>
    </row>
    <row r="2848" spans="1:33">
      <c r="A2848" s="20" t="s">
        <v>12233</v>
      </c>
      <c r="B2848" s="150"/>
      <c r="C2848" s="21" t="s">
        <v>15973</v>
      </c>
      <c r="D2848" s="109" t="s">
        <v>15682</v>
      </c>
      <c r="E2848" s="109"/>
      <c r="F2848" s="391" t="s">
        <v>15974</v>
      </c>
      <c r="G2848" s="23" t="s">
        <v>15929</v>
      </c>
      <c r="H2848" s="23"/>
      <c r="I2848" s="23"/>
      <c r="J2848" s="23"/>
      <c r="K2848" s="23"/>
      <c r="L2848" s="375" t="s">
        <v>7787</v>
      </c>
      <c r="M2848" s="351" t="s">
        <v>7787</v>
      </c>
      <c r="N2848" s="267">
        <f t="shared" si="673"/>
        <v>0</v>
      </c>
      <c r="O2848" s="268">
        <f t="shared" si="674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8"/>
        <v>0</v>
      </c>
      <c r="AD2848" s="196">
        <f t="shared" si="669"/>
        <v>0</v>
      </c>
      <c r="AE2848" s="196">
        <f t="shared" si="670"/>
        <v>0</v>
      </c>
      <c r="AF2848" s="2">
        <f t="shared" si="671"/>
        <v>0</v>
      </c>
      <c r="AG2848" s="2">
        <f t="shared" si="672"/>
        <v>0</v>
      </c>
    </row>
    <row r="2849" spans="1:33">
      <c r="A2849" s="20" t="s">
        <v>22897</v>
      </c>
      <c r="B2849" s="150"/>
      <c r="C2849" s="21" t="s">
        <v>12226</v>
      </c>
      <c r="D2849" s="109" t="s">
        <v>3097</v>
      </c>
      <c r="E2849" s="109" t="s">
        <v>22742</v>
      </c>
      <c r="F2849" s="391" t="s">
        <v>5074</v>
      </c>
      <c r="G2849" s="23"/>
      <c r="H2849" s="23"/>
      <c r="I2849" s="23"/>
      <c r="J2849" s="23"/>
      <c r="K2849" s="23"/>
      <c r="L2849" s="375"/>
      <c r="M2849" s="351"/>
      <c r="N2849" s="267">
        <f t="shared" si="673"/>
        <v>0</v>
      </c>
      <c r="O2849" s="268">
        <f t="shared" si="674"/>
        <v>0</v>
      </c>
      <c r="P2849" s="239"/>
      <c r="Q2849" s="239"/>
      <c r="R2849" s="239"/>
      <c r="S2849" s="239"/>
      <c r="T2849" s="239"/>
      <c r="U2849" s="240"/>
      <c r="V2849" s="240"/>
      <c r="W2849" s="240"/>
      <c r="X2849" s="240"/>
      <c r="Y2849" s="240"/>
      <c r="Z2849" s="237"/>
      <c r="AA2849" s="279"/>
      <c r="AB2849" s="238"/>
      <c r="AC2849" s="196">
        <f t="shared" si="668"/>
        <v>0</v>
      </c>
      <c r="AD2849" s="196">
        <f t="shared" si="669"/>
        <v>0</v>
      </c>
      <c r="AE2849" s="196">
        <f t="shared" si="670"/>
        <v>0</v>
      </c>
      <c r="AF2849" s="2">
        <f t="shared" si="671"/>
        <v>0</v>
      </c>
      <c r="AG2849" s="2">
        <f t="shared" si="672"/>
        <v>0</v>
      </c>
    </row>
    <row r="2850" spans="1:33">
      <c r="A2850" s="20" t="s">
        <v>21450</v>
      </c>
      <c r="B2850" s="150"/>
      <c r="C2850" s="21" t="s">
        <v>21324</v>
      </c>
      <c r="D2850" s="109" t="s">
        <v>3097</v>
      </c>
      <c r="E2850" s="109"/>
      <c r="F2850" s="391" t="s">
        <v>5074</v>
      </c>
      <c r="G2850" s="23" t="s">
        <v>13341</v>
      </c>
      <c r="H2850" s="23"/>
      <c r="I2850" s="23"/>
      <c r="J2850" s="23"/>
      <c r="K2850" s="23"/>
      <c r="L2850" s="356" t="s">
        <v>7787</v>
      </c>
      <c r="M2850" s="351" t="s">
        <v>7787</v>
      </c>
      <c r="N2850" s="267">
        <f t="shared" si="673"/>
        <v>0</v>
      </c>
      <c r="O2850" s="268">
        <f t="shared" si="674"/>
        <v>0</v>
      </c>
      <c r="P2850" s="239"/>
      <c r="Q2850" s="239"/>
      <c r="R2850" s="239"/>
      <c r="S2850" s="239"/>
      <c r="T2850" s="239"/>
      <c r="U2850" s="240"/>
      <c r="V2850" s="240"/>
      <c r="W2850" s="240"/>
      <c r="X2850" s="240"/>
      <c r="Y2850" s="240"/>
      <c r="Z2850" s="237"/>
      <c r="AA2850" s="279"/>
      <c r="AB2850" s="238"/>
      <c r="AC2850" s="196">
        <f t="shared" si="668"/>
        <v>0</v>
      </c>
      <c r="AD2850" s="196">
        <f t="shared" si="669"/>
        <v>0</v>
      </c>
      <c r="AE2850" s="196">
        <f t="shared" si="670"/>
        <v>0</v>
      </c>
      <c r="AF2850" s="2">
        <f t="shared" si="671"/>
        <v>0</v>
      </c>
      <c r="AG2850" s="2">
        <f t="shared" si="672"/>
        <v>0</v>
      </c>
    </row>
    <row r="2851" spans="1:33">
      <c r="A2851" s="20" t="s">
        <v>22579</v>
      </c>
      <c r="B2851" s="150"/>
      <c r="C2851" s="21" t="s">
        <v>22674</v>
      </c>
      <c r="D2851" s="109" t="s">
        <v>3097</v>
      </c>
      <c r="E2851" s="109"/>
      <c r="F2851" s="391" t="s">
        <v>5074</v>
      </c>
      <c r="G2851" s="23" t="s">
        <v>13341</v>
      </c>
      <c r="H2851" s="23" t="s">
        <v>24313</v>
      </c>
      <c r="I2851" s="23"/>
      <c r="J2851" s="23"/>
      <c r="K2851" s="23"/>
      <c r="L2851" s="356" t="s">
        <v>27721</v>
      </c>
      <c r="M2851" s="351" t="s">
        <v>45</v>
      </c>
      <c r="N2851" s="267">
        <f t="shared" si="673"/>
        <v>0</v>
      </c>
      <c r="O2851" s="268">
        <f t="shared" si="674"/>
        <v>4800</v>
      </c>
      <c r="P2851" s="239"/>
      <c r="Q2851" s="239"/>
      <c r="R2851" s="239"/>
      <c r="S2851" s="239"/>
      <c r="T2851" s="239"/>
      <c r="U2851" s="240"/>
      <c r="V2851" s="240">
        <f>3600-1500+2200+2600-3600-2100+4400-3600+4600-3600+2200-3600+2400-3600+8200-3600+3500-3600-3600+3600-3600+2700-3600+9000-6200+5000+1300-3600+3600+2400-6000-3600+10500+3900+5400+2400-6000-3600+2600-6400+900-3600-3600</f>
        <v>4800</v>
      </c>
      <c r="W2851" s="240"/>
      <c r="X2851" s="240"/>
      <c r="Y2851" s="240"/>
      <c r="Z2851" s="237"/>
      <c r="AA2851" s="279"/>
      <c r="AB2851" s="238" t="s">
        <v>27719</v>
      </c>
      <c r="AC2851" s="196">
        <f t="shared" si="668"/>
        <v>4800</v>
      </c>
      <c r="AD2851" s="196">
        <f t="shared" si="669"/>
        <v>4800</v>
      </c>
      <c r="AE2851" s="196">
        <f t="shared" si="670"/>
        <v>0</v>
      </c>
      <c r="AF2851" s="2">
        <f t="shared" si="671"/>
        <v>4800</v>
      </c>
      <c r="AG2851" s="2">
        <f t="shared" si="672"/>
        <v>0</v>
      </c>
    </row>
    <row r="2852" spans="1:33">
      <c r="A2852" s="20" t="s">
        <v>22693</v>
      </c>
      <c r="B2852" s="150"/>
      <c r="C2852" s="21" t="s">
        <v>22675</v>
      </c>
      <c r="D2852" s="109" t="s">
        <v>3097</v>
      </c>
      <c r="E2852" s="109"/>
      <c r="F2852" s="391" t="s">
        <v>5074</v>
      </c>
      <c r="G2852" s="23" t="s">
        <v>13341</v>
      </c>
      <c r="H2852" s="23"/>
      <c r="I2852" s="23"/>
      <c r="J2852" s="23"/>
      <c r="K2852" s="23"/>
      <c r="L2852" s="356" t="s">
        <v>27633</v>
      </c>
      <c r="M2852" s="351" t="s">
        <v>45</v>
      </c>
      <c r="N2852" s="267">
        <f t="shared" si="673"/>
        <v>0</v>
      </c>
      <c r="O2852" s="268">
        <f t="shared" si="674"/>
        <v>0</v>
      </c>
      <c r="P2852" s="239"/>
      <c r="Q2852" s="239"/>
      <c r="R2852" s="239"/>
      <c r="S2852" s="239"/>
      <c r="T2852" s="239"/>
      <c r="U2852" s="240"/>
      <c r="V2852" s="240"/>
      <c r="W2852" s="240"/>
      <c r="X2852" s="240"/>
      <c r="Y2852" s="240"/>
      <c r="Z2852" s="237"/>
      <c r="AA2852" s="279"/>
      <c r="AB2852" s="238"/>
      <c r="AC2852" s="196">
        <f t="shared" si="668"/>
        <v>0</v>
      </c>
      <c r="AD2852" s="196">
        <f t="shared" si="669"/>
        <v>0</v>
      </c>
      <c r="AE2852" s="196">
        <f t="shared" si="670"/>
        <v>0</v>
      </c>
      <c r="AF2852" s="2">
        <f t="shared" si="671"/>
        <v>0</v>
      </c>
      <c r="AG2852" s="2">
        <f t="shared" si="672"/>
        <v>0</v>
      </c>
    </row>
    <row r="2853" spans="1:33">
      <c r="A2853" s="20" t="s">
        <v>22694</v>
      </c>
      <c r="B2853" s="150"/>
      <c r="C2853" s="21" t="s">
        <v>22676</v>
      </c>
      <c r="D2853" s="109" t="s">
        <v>3097</v>
      </c>
      <c r="E2853" s="109"/>
      <c r="F2853" s="391" t="s">
        <v>5074</v>
      </c>
      <c r="G2853" s="23" t="s">
        <v>13341</v>
      </c>
      <c r="H2853" s="23" t="s">
        <v>23100</v>
      </c>
      <c r="I2853" s="23"/>
      <c r="J2853" s="23"/>
      <c r="K2853" s="23"/>
      <c r="L2853" s="356" t="s">
        <v>7787</v>
      </c>
      <c r="M2853" s="351" t="s">
        <v>7787</v>
      </c>
      <c r="N2853" s="267">
        <f t="shared" si="673"/>
        <v>0</v>
      </c>
      <c r="O2853" s="268">
        <f t="shared" si="674"/>
        <v>0</v>
      </c>
      <c r="P2853" s="239"/>
      <c r="Q2853" s="239"/>
      <c r="R2853" s="239"/>
      <c r="S2853" s="239"/>
      <c r="T2853" s="239"/>
      <c r="U2853" s="240"/>
      <c r="V2853" s="240"/>
      <c r="W2853" s="240"/>
      <c r="X2853" s="240"/>
      <c r="Y2853" s="240"/>
      <c r="Z2853" s="237"/>
      <c r="AA2853" s="279"/>
      <c r="AB2853" s="238"/>
      <c r="AC2853" s="196">
        <f t="shared" ref="AC2853:AC2918" si="677">SUM(P2853:AA2853)</f>
        <v>0</v>
      </c>
      <c r="AD2853" s="196">
        <f t="shared" ref="AD2853:AD2918" si="678">SUM(P2853:AB2853)</f>
        <v>0</v>
      </c>
      <c r="AE2853" s="196">
        <f t="shared" ref="AE2853:AE2918" si="679">SUM(AC2853-AD2853)</f>
        <v>0</v>
      </c>
      <c r="AF2853" s="2">
        <f t="shared" ref="AF2853:AF2918" si="680">+AC2853</f>
        <v>0</v>
      </c>
      <c r="AG2853" s="2">
        <f t="shared" ref="AG2853:AG2918" si="681">+AC2853-AF2853</f>
        <v>0</v>
      </c>
    </row>
    <row r="2854" spans="1:33">
      <c r="A2854" s="20" t="s">
        <v>23469</v>
      </c>
      <c r="B2854" s="150"/>
      <c r="C2854" s="21" t="s">
        <v>23463</v>
      </c>
      <c r="D2854" s="109" t="s">
        <v>3097</v>
      </c>
      <c r="E2854" s="109"/>
      <c r="F2854" s="391" t="s">
        <v>5074</v>
      </c>
      <c r="G2854" s="23" t="s">
        <v>13341</v>
      </c>
      <c r="H2854" s="23" t="s">
        <v>23100</v>
      </c>
      <c r="I2854" s="23"/>
      <c r="J2854" s="23"/>
      <c r="K2854" s="23"/>
      <c r="L2854" s="356"/>
      <c r="M2854" s="351" t="s">
        <v>7787</v>
      </c>
      <c r="N2854" s="267">
        <f t="shared" si="673"/>
        <v>0</v>
      </c>
      <c r="O2854" s="268">
        <f t="shared" si="674"/>
        <v>4400</v>
      </c>
      <c r="P2854" s="239"/>
      <c r="Q2854" s="239"/>
      <c r="R2854" s="239"/>
      <c r="S2854" s="239"/>
      <c r="T2854" s="239"/>
      <c r="U2854" s="240"/>
      <c r="V2854" s="240">
        <f>1400-800+4000-200</f>
        <v>4400</v>
      </c>
      <c r="W2854" s="240"/>
      <c r="X2854" s="240"/>
      <c r="Y2854" s="240"/>
      <c r="Z2854" s="237"/>
      <c r="AA2854" s="279"/>
      <c r="AB2854" s="238" t="s">
        <v>27850</v>
      </c>
      <c r="AC2854" s="196">
        <f t="shared" si="677"/>
        <v>4400</v>
      </c>
      <c r="AD2854" s="196">
        <f t="shared" si="678"/>
        <v>4400</v>
      </c>
      <c r="AE2854" s="196">
        <f t="shared" si="679"/>
        <v>0</v>
      </c>
      <c r="AF2854" s="2">
        <f t="shared" si="680"/>
        <v>4400</v>
      </c>
      <c r="AG2854" s="2">
        <f t="shared" si="681"/>
        <v>0</v>
      </c>
    </row>
    <row r="2855" spans="1:33">
      <c r="A2855" s="20" t="s">
        <v>2584</v>
      </c>
      <c r="B2855" s="161"/>
      <c r="C2855" s="21" t="s">
        <v>571</v>
      </c>
      <c r="D2855" s="109" t="s">
        <v>15927</v>
      </c>
      <c r="E2855" s="109" t="s">
        <v>13312</v>
      </c>
      <c r="F2855" s="391" t="s">
        <v>15975</v>
      </c>
      <c r="G2855" s="23" t="s">
        <v>15929</v>
      </c>
      <c r="H2855" s="23"/>
      <c r="I2855" s="23"/>
      <c r="J2855" s="23"/>
      <c r="K2855" s="23"/>
      <c r="L2855" s="361"/>
      <c r="M2855" s="351" t="s">
        <v>7787</v>
      </c>
      <c r="N2855" s="267">
        <f t="shared" si="673"/>
        <v>0</v>
      </c>
      <c r="O2855" s="268">
        <f t="shared" si="674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7"/>
        <v>0</v>
      </c>
      <c r="AD2855" s="196">
        <f t="shared" si="678"/>
        <v>0</v>
      </c>
      <c r="AE2855" s="196">
        <f t="shared" si="679"/>
        <v>0</v>
      </c>
      <c r="AF2855" s="2">
        <f t="shared" si="680"/>
        <v>0</v>
      </c>
      <c r="AG2855" s="2">
        <f t="shared" si="681"/>
        <v>0</v>
      </c>
    </row>
    <row r="2856" spans="1:33">
      <c r="A2856" s="20" t="s">
        <v>2582</v>
      </c>
      <c r="B2856" s="156"/>
      <c r="C2856" s="21" t="s">
        <v>15976</v>
      </c>
      <c r="D2856" s="109" t="s">
        <v>15682</v>
      </c>
      <c r="E2856" s="109"/>
      <c r="F2856" s="391" t="s">
        <v>15975</v>
      </c>
      <c r="G2856" s="23" t="s">
        <v>15929</v>
      </c>
      <c r="H2856" s="23"/>
      <c r="I2856" s="23"/>
      <c r="J2856" s="23"/>
      <c r="K2856" s="23"/>
      <c r="L2856" s="361"/>
      <c r="M2856" s="351"/>
      <c r="N2856" s="267">
        <f t="shared" si="673"/>
        <v>0</v>
      </c>
      <c r="O2856" s="268">
        <f t="shared" si="674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7"/>
        <v>0</v>
      </c>
      <c r="AD2856" s="196">
        <f t="shared" si="678"/>
        <v>0</v>
      </c>
      <c r="AE2856" s="196">
        <f t="shared" si="679"/>
        <v>0</v>
      </c>
      <c r="AF2856" s="2">
        <f t="shared" si="680"/>
        <v>0</v>
      </c>
      <c r="AG2856" s="2">
        <f t="shared" si="681"/>
        <v>0</v>
      </c>
    </row>
    <row r="2857" spans="1:33">
      <c r="A2857" s="20" t="s">
        <v>19959</v>
      </c>
      <c r="B2857" s="156"/>
      <c r="C2857" s="21" t="s">
        <v>5737</v>
      </c>
      <c r="D2857" s="109" t="s">
        <v>3097</v>
      </c>
      <c r="E2857" s="109" t="s">
        <v>20028</v>
      </c>
      <c r="F2857" s="391" t="s">
        <v>5077</v>
      </c>
      <c r="G2857" s="23" t="s">
        <v>13341</v>
      </c>
      <c r="H2857" s="23"/>
      <c r="I2857" s="23"/>
      <c r="J2857" s="23"/>
      <c r="K2857" s="23"/>
      <c r="L2857" s="356" t="s">
        <v>7787</v>
      </c>
      <c r="M2857" s="351"/>
      <c r="N2857" s="267">
        <f t="shared" si="673"/>
        <v>0</v>
      </c>
      <c r="O2857" s="268">
        <f t="shared" si="674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79"/>
      <c r="AB2857" s="238"/>
      <c r="AC2857" s="196">
        <f t="shared" si="677"/>
        <v>0</v>
      </c>
      <c r="AD2857" s="196">
        <f t="shared" si="678"/>
        <v>0</v>
      </c>
      <c r="AE2857" s="196">
        <f t="shared" si="679"/>
        <v>0</v>
      </c>
      <c r="AF2857" s="2">
        <f t="shared" si="680"/>
        <v>0</v>
      </c>
      <c r="AG2857" s="2">
        <f t="shared" si="681"/>
        <v>0</v>
      </c>
    </row>
    <row r="2858" spans="1:33">
      <c r="A2858" s="20" t="s">
        <v>2583</v>
      </c>
      <c r="B2858" s="156"/>
      <c r="C2858" s="21" t="s">
        <v>15977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/>
      <c r="M2858" s="359" t="s">
        <v>7787</v>
      </c>
      <c r="N2858" s="267">
        <f t="shared" si="673"/>
        <v>0</v>
      </c>
      <c r="O2858" s="268">
        <f t="shared" si="674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79"/>
      <c r="AB2858" s="238"/>
      <c r="AC2858" s="196">
        <f t="shared" si="677"/>
        <v>0</v>
      </c>
      <c r="AD2858" s="196">
        <f t="shared" si="678"/>
        <v>0</v>
      </c>
      <c r="AE2858" s="196">
        <f t="shared" si="679"/>
        <v>0</v>
      </c>
      <c r="AF2858" s="2">
        <f t="shared" si="680"/>
        <v>0</v>
      </c>
      <c r="AG2858" s="2">
        <f t="shared" si="681"/>
        <v>0</v>
      </c>
    </row>
    <row r="2859" spans="1:33">
      <c r="A2859" s="377" t="s">
        <v>7305</v>
      </c>
      <c r="B2859" s="156"/>
      <c r="C2859" s="21" t="s">
        <v>15978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27685</v>
      </c>
      <c r="M2859" s="371" t="s">
        <v>45</v>
      </c>
      <c r="N2859" s="267">
        <f t="shared" si="673"/>
        <v>0</v>
      </c>
      <c r="O2859" s="268">
        <f t="shared" si="674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38"/>
      <c r="AC2859" s="196">
        <f t="shared" si="677"/>
        <v>0</v>
      </c>
      <c r="AD2859" s="196">
        <f t="shared" si="678"/>
        <v>0</v>
      </c>
      <c r="AE2859" s="196">
        <f t="shared" si="679"/>
        <v>0</v>
      </c>
      <c r="AF2859" s="2">
        <f t="shared" si="680"/>
        <v>0</v>
      </c>
      <c r="AG2859" s="2">
        <f t="shared" si="681"/>
        <v>0</v>
      </c>
    </row>
    <row r="2860" spans="1:33">
      <c r="A2860" s="377" t="s">
        <v>7306</v>
      </c>
      <c r="B2860" s="156"/>
      <c r="C2860" s="21" t="s">
        <v>15979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7787</v>
      </c>
      <c r="M2860" s="371" t="s">
        <v>7787</v>
      </c>
      <c r="N2860" s="267">
        <f t="shared" si="673"/>
        <v>0</v>
      </c>
      <c r="O2860" s="268">
        <f t="shared" si="674"/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7"/>
        <v>0</v>
      </c>
      <c r="AD2860" s="196">
        <f t="shared" si="678"/>
        <v>0</v>
      </c>
      <c r="AE2860" s="196">
        <f t="shared" si="679"/>
        <v>0</v>
      </c>
      <c r="AF2860" s="2">
        <f t="shared" si="680"/>
        <v>0</v>
      </c>
      <c r="AG2860" s="2">
        <f t="shared" si="681"/>
        <v>0</v>
      </c>
    </row>
    <row r="2861" spans="1:33">
      <c r="A2861" s="20" t="s">
        <v>23806</v>
      </c>
      <c r="B2861" s="156"/>
      <c r="C2861" s="21" t="s">
        <v>23721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27770</v>
      </c>
      <c r="M2861" s="371"/>
      <c r="N2861" s="267">
        <f t="shared" si="673"/>
        <v>0</v>
      </c>
      <c r="O2861" s="268">
        <f t="shared" si="674"/>
        <v>0</v>
      </c>
      <c r="P2861" s="239"/>
      <c r="Q2861" s="239"/>
      <c r="R2861" s="239"/>
      <c r="S2861" s="239"/>
      <c r="T2861" s="239"/>
      <c r="U2861" s="240"/>
      <c r="V2861" s="240"/>
      <c r="W2861" s="240"/>
      <c r="X2861" s="278"/>
      <c r="Y2861" s="237"/>
      <c r="Z2861" s="237"/>
      <c r="AA2861" s="297"/>
      <c r="AB2861" s="254"/>
      <c r="AC2861" s="196">
        <f t="shared" si="677"/>
        <v>0</v>
      </c>
      <c r="AD2861" s="196">
        <f t="shared" si="678"/>
        <v>0</v>
      </c>
      <c r="AE2861" s="196">
        <f t="shared" si="679"/>
        <v>0</v>
      </c>
      <c r="AF2861" s="2">
        <f t="shared" si="680"/>
        <v>0</v>
      </c>
      <c r="AG2861" s="2">
        <f t="shared" si="681"/>
        <v>0</v>
      </c>
    </row>
    <row r="2862" spans="1:33">
      <c r="A2862" s="20" t="s">
        <v>27073</v>
      </c>
      <c r="B2862" s="156"/>
      <c r="C2862" s="21" t="s">
        <v>26612</v>
      </c>
      <c r="D2862" s="109" t="s">
        <v>4062</v>
      </c>
      <c r="E2862" s="109"/>
      <c r="F2862" s="391" t="s">
        <v>5076</v>
      </c>
      <c r="G2862" s="23" t="s">
        <v>5512</v>
      </c>
      <c r="H2862" s="23"/>
      <c r="I2862" s="23"/>
      <c r="J2862" s="23"/>
      <c r="K2862" s="23"/>
      <c r="L2862" s="356">
        <f>5760+2820</f>
        <v>8580</v>
      </c>
      <c r="M2862" s="371" t="s">
        <v>45</v>
      </c>
      <c r="N2862" s="267">
        <f t="shared" ref="N2862" si="682">SUM(L2862:M2862)</f>
        <v>8580</v>
      </c>
      <c r="O2862" s="268">
        <f t="shared" ref="O2862" si="683">SUM(P2862:Z2862)</f>
        <v>0</v>
      </c>
      <c r="P2862" s="239"/>
      <c r="Q2862" s="239"/>
      <c r="R2862" s="239"/>
      <c r="S2862" s="239"/>
      <c r="T2862" s="239"/>
      <c r="U2862" s="240"/>
      <c r="V2862" s="240"/>
      <c r="W2862" s="240"/>
      <c r="X2862" s="278"/>
      <c r="Y2862" s="237"/>
      <c r="Z2862" s="237"/>
      <c r="AA2862" s="297"/>
      <c r="AB2862" s="254"/>
      <c r="AC2862" s="196">
        <f t="shared" si="677"/>
        <v>0</v>
      </c>
      <c r="AD2862" s="196">
        <f t="shared" si="678"/>
        <v>0</v>
      </c>
      <c r="AE2862" s="196">
        <f t="shared" si="679"/>
        <v>0</v>
      </c>
      <c r="AF2862" s="2">
        <f t="shared" si="680"/>
        <v>0</v>
      </c>
      <c r="AG2862" s="2">
        <f t="shared" si="681"/>
        <v>0</v>
      </c>
    </row>
    <row r="2863" spans="1:33">
      <c r="A2863" s="20"/>
      <c r="B2863" s="156"/>
      <c r="C2863" s="21" t="s">
        <v>27790</v>
      </c>
      <c r="D2863" s="109" t="s">
        <v>4062</v>
      </c>
      <c r="E2863" s="109"/>
      <c r="F2863" s="391" t="s">
        <v>5076</v>
      </c>
      <c r="G2863" s="23" t="s">
        <v>5512</v>
      </c>
      <c r="H2863" s="23"/>
      <c r="I2863" s="23"/>
      <c r="J2863" s="23"/>
      <c r="K2863" s="23"/>
      <c r="L2863" s="356" t="s">
        <v>7787</v>
      </c>
      <c r="M2863" s="371" t="s">
        <v>7787</v>
      </c>
      <c r="N2863" s="267">
        <f t="shared" ref="N2863" si="684">SUM(L2863:M2863)</f>
        <v>0</v>
      </c>
      <c r="O2863" s="268">
        <f t="shared" ref="O2863" si="685">SUM(P2863:Z2863)</f>
        <v>9300</v>
      </c>
      <c r="P2863" s="239"/>
      <c r="Q2863" s="239"/>
      <c r="R2863" s="239"/>
      <c r="S2863" s="239"/>
      <c r="T2863" s="239"/>
      <c r="U2863" s="240"/>
      <c r="V2863" s="240">
        <f>1600+2700+3000+2700+2800+3000-2000+2800+2200+3000-10800+2600+2800+2700+3000-3600+3000-3600-3600-10800+2400-3600+3000+3000-3600-3600+3000-3600+3200-3600+3000+3000-3600+3000+3000-3600-3600+3200-3600+3200+3000+3200-3600+3200-3600-3600+3600+3000</f>
        <v>9300</v>
      </c>
      <c r="W2863" s="240"/>
      <c r="X2863" s="278"/>
      <c r="Y2863" s="237"/>
      <c r="Z2863" s="237"/>
      <c r="AA2863" s="297"/>
      <c r="AB2863" s="254" t="s">
        <v>28050</v>
      </c>
      <c r="AC2863" s="196">
        <f t="shared" ref="AC2863" si="686">SUM(P2863:AA2863)</f>
        <v>9300</v>
      </c>
      <c r="AD2863" s="196">
        <f t="shared" ref="AD2863" si="687">SUM(P2863:AB2863)</f>
        <v>9300</v>
      </c>
      <c r="AE2863" s="196">
        <f t="shared" ref="AE2863" si="688">SUM(AC2863-AD2863)</f>
        <v>0</v>
      </c>
      <c r="AF2863" s="2">
        <f t="shared" ref="AF2863" si="689">+AC2863</f>
        <v>9300</v>
      </c>
      <c r="AG2863" s="2">
        <f t="shared" ref="AG2863" si="690">+AC2863-AF2863</f>
        <v>0</v>
      </c>
    </row>
    <row r="2864" spans="1:33">
      <c r="A2864" s="20" t="s">
        <v>2585</v>
      </c>
      <c r="B2864" s="150"/>
      <c r="C2864" s="21" t="s">
        <v>572</v>
      </c>
      <c r="D2864" s="109" t="s">
        <v>15717</v>
      </c>
      <c r="E2864" s="109"/>
      <c r="F2864" s="391" t="s">
        <v>15980</v>
      </c>
      <c r="G2864" s="23" t="s">
        <v>13301</v>
      </c>
      <c r="H2864" s="23"/>
      <c r="I2864" s="23"/>
      <c r="J2864" s="23"/>
      <c r="K2864" s="23"/>
      <c r="L2864" s="356" t="s">
        <v>7787</v>
      </c>
      <c r="M2864" s="351"/>
      <c r="N2864" s="267">
        <f t="shared" si="673"/>
        <v>0</v>
      </c>
      <c r="O2864" s="268">
        <f t="shared" si="674"/>
        <v>0</v>
      </c>
      <c r="P2864" s="239"/>
      <c r="Q2864" s="239"/>
      <c r="R2864" s="239"/>
      <c r="S2864" s="239"/>
      <c r="T2864" s="239"/>
      <c r="U2864" s="240"/>
      <c r="V2864" s="240"/>
      <c r="W2864" s="240"/>
      <c r="X2864" s="278"/>
      <c r="Y2864" s="237"/>
      <c r="Z2864" s="237"/>
      <c r="AA2864" s="239"/>
      <c r="AB2864" s="238"/>
      <c r="AC2864" s="196">
        <f t="shared" si="677"/>
        <v>0</v>
      </c>
      <c r="AD2864" s="196">
        <f t="shared" si="678"/>
        <v>0</v>
      </c>
      <c r="AE2864" s="196">
        <f t="shared" si="679"/>
        <v>0</v>
      </c>
      <c r="AF2864" s="2">
        <f t="shared" si="680"/>
        <v>0</v>
      </c>
      <c r="AG2864" s="2">
        <f t="shared" si="681"/>
        <v>0</v>
      </c>
    </row>
    <row r="2865" spans="1:33">
      <c r="A2865" s="20" t="s">
        <v>2586</v>
      </c>
      <c r="B2865" s="162"/>
      <c r="C2865" s="21" t="s">
        <v>573</v>
      </c>
      <c r="D2865" s="109" t="s">
        <v>15717</v>
      </c>
      <c r="E2865" s="109"/>
      <c r="F2865" s="391" t="s">
        <v>15981</v>
      </c>
      <c r="G2865" s="23" t="s">
        <v>15688</v>
      </c>
      <c r="H2865" s="23"/>
      <c r="I2865" s="23"/>
      <c r="J2865" s="23"/>
      <c r="K2865" s="23"/>
      <c r="L2865" s="356" t="s">
        <v>27433</v>
      </c>
      <c r="M2865" s="351" t="s">
        <v>7787</v>
      </c>
      <c r="N2865" s="267">
        <f t="shared" si="673"/>
        <v>0</v>
      </c>
      <c r="O2865" s="268">
        <f t="shared" si="674"/>
        <v>0</v>
      </c>
      <c r="P2865" s="239"/>
      <c r="Q2865" s="239"/>
      <c r="R2865" s="239"/>
      <c r="S2865" s="239"/>
      <c r="T2865" s="239"/>
      <c r="U2865" s="239"/>
      <c r="V2865" s="239"/>
      <c r="W2865" s="240"/>
      <c r="X2865" s="278"/>
      <c r="Y2865" s="237"/>
      <c r="Z2865" s="237"/>
      <c r="AA2865" s="279"/>
      <c r="AB2865" s="238"/>
      <c r="AC2865" s="196">
        <f t="shared" si="677"/>
        <v>0</v>
      </c>
      <c r="AD2865" s="196">
        <f t="shared" si="678"/>
        <v>0</v>
      </c>
      <c r="AE2865" s="196">
        <f t="shared" si="679"/>
        <v>0</v>
      </c>
      <c r="AF2865" s="2">
        <f t="shared" si="680"/>
        <v>0</v>
      </c>
      <c r="AG2865" s="2">
        <f t="shared" si="681"/>
        <v>0</v>
      </c>
    </row>
    <row r="2866" spans="1:33">
      <c r="A2866" s="20" t="s">
        <v>2587</v>
      </c>
      <c r="B2866" s="162"/>
      <c r="C2866" s="21" t="s">
        <v>573</v>
      </c>
      <c r="D2866" s="109" t="s">
        <v>15717</v>
      </c>
      <c r="E2866" s="109"/>
      <c r="F2866" s="391" t="s">
        <v>15982</v>
      </c>
      <c r="G2866" s="23" t="s">
        <v>13301</v>
      </c>
      <c r="H2866" s="23" t="s">
        <v>15691</v>
      </c>
      <c r="I2866" s="23" t="s">
        <v>13863</v>
      </c>
      <c r="J2866" s="23" t="s">
        <v>24450</v>
      </c>
      <c r="K2866" s="23" t="s">
        <v>24751</v>
      </c>
      <c r="L2866" s="356"/>
      <c r="M2866" s="351" t="s">
        <v>7787</v>
      </c>
      <c r="N2866" s="267">
        <f t="shared" si="673"/>
        <v>0</v>
      </c>
      <c r="O2866" s="268">
        <f t="shared" si="674"/>
        <v>0</v>
      </c>
      <c r="P2866" s="239"/>
      <c r="Q2866" s="239"/>
      <c r="R2866" s="239"/>
      <c r="S2866" s="239"/>
      <c r="T2866" s="239"/>
      <c r="U2866" s="240"/>
      <c r="V2866" s="239"/>
      <c r="W2866" s="240"/>
      <c r="X2866" s="278"/>
      <c r="Y2866" s="239"/>
      <c r="Z2866" s="237"/>
      <c r="AA2866" s="279"/>
      <c r="AB2866" s="238"/>
      <c r="AC2866" s="196">
        <f t="shared" si="677"/>
        <v>0</v>
      </c>
      <c r="AD2866" s="196">
        <f t="shared" si="678"/>
        <v>0</v>
      </c>
      <c r="AE2866" s="196">
        <f t="shared" si="679"/>
        <v>0</v>
      </c>
      <c r="AF2866" s="2">
        <f t="shared" si="680"/>
        <v>0</v>
      </c>
      <c r="AG2866" s="2">
        <f t="shared" si="681"/>
        <v>0</v>
      </c>
    </row>
    <row r="2867" spans="1:33">
      <c r="A2867" s="20" t="s">
        <v>26272</v>
      </c>
      <c r="B2867" s="162"/>
      <c r="C2867" s="21" t="s">
        <v>573</v>
      </c>
      <c r="D2867" s="109" t="s">
        <v>4070</v>
      </c>
      <c r="E2867" s="109" t="s">
        <v>26328</v>
      </c>
      <c r="F2867" s="391" t="s">
        <v>25286</v>
      </c>
      <c r="G2867" s="23" t="s">
        <v>5334</v>
      </c>
      <c r="H2867" s="23" t="s">
        <v>8857</v>
      </c>
      <c r="I2867" s="23" t="s">
        <v>26914</v>
      </c>
      <c r="J2867" s="23" t="s">
        <v>26326</v>
      </c>
      <c r="K2867" s="23" t="s">
        <v>26327</v>
      </c>
      <c r="L2867" s="356"/>
      <c r="M2867" s="351" t="s">
        <v>7787</v>
      </c>
      <c r="N2867" s="267">
        <f t="shared" ref="N2867" si="691">SUM(L2867:M2867)</f>
        <v>0</v>
      </c>
      <c r="O2867" s="268">
        <f t="shared" ref="O2867" si="692">SUM(P2867:Z2867)</f>
        <v>5800</v>
      </c>
      <c r="P2867" s="239"/>
      <c r="Q2867" s="239"/>
      <c r="R2867" s="239"/>
      <c r="S2867" s="239"/>
      <c r="T2867" s="239">
        <f>13950-100-200-300-1000+4250-3000-3000-200-900-450+10000-50-100-100-100-200-500-600-100-500-1500-100-500-100-500-1000-300-900-100-250-650-500-700-100-1500-750-100+1700-1200-100-300-300-250-100-750-150</f>
        <v>5800</v>
      </c>
      <c r="U2867" s="240"/>
      <c r="V2867" s="239"/>
      <c r="W2867" s="240"/>
      <c r="X2867" s="278"/>
      <c r="Y2867" s="239"/>
      <c r="Z2867" s="237"/>
      <c r="AA2867" s="279"/>
      <c r="AB2867" s="238" t="s">
        <v>26527</v>
      </c>
      <c r="AC2867" s="196">
        <f t="shared" si="677"/>
        <v>5800</v>
      </c>
      <c r="AD2867" s="196">
        <f t="shared" si="678"/>
        <v>5800</v>
      </c>
      <c r="AE2867" s="196">
        <f t="shared" si="679"/>
        <v>0</v>
      </c>
      <c r="AF2867" s="2">
        <f t="shared" si="680"/>
        <v>5800</v>
      </c>
      <c r="AG2867" s="2">
        <f t="shared" si="681"/>
        <v>0</v>
      </c>
    </row>
    <row r="2868" spans="1:33">
      <c r="A2868" s="20" t="s">
        <v>26273</v>
      </c>
      <c r="B2868" s="162"/>
      <c r="C2868" s="21" t="s">
        <v>573</v>
      </c>
      <c r="D2868" s="109" t="s">
        <v>4070</v>
      </c>
      <c r="E2868" s="109" t="s">
        <v>26819</v>
      </c>
      <c r="F2868" s="391" t="s">
        <v>25286</v>
      </c>
      <c r="G2868" s="23" t="s">
        <v>25288</v>
      </c>
      <c r="H2868" s="23"/>
      <c r="I2868" s="23"/>
      <c r="J2868" s="23"/>
      <c r="K2868" s="23"/>
      <c r="L2868" s="356" t="s">
        <v>7787</v>
      </c>
      <c r="M2868" s="351" t="s">
        <v>7787</v>
      </c>
      <c r="N2868" s="267">
        <f t="shared" ref="N2868" si="693">SUM(L2868:M2868)</f>
        <v>0</v>
      </c>
      <c r="O2868" s="268">
        <f t="shared" ref="O2868" si="694">SUM(P2868:Z2868)</f>
        <v>9150</v>
      </c>
      <c r="P2868" s="239"/>
      <c r="Q2868" s="239"/>
      <c r="R2868" s="239"/>
      <c r="S2868" s="239"/>
      <c r="T2868" s="239">
        <f>2700+7300-500-350</f>
        <v>9150</v>
      </c>
      <c r="U2868" s="240"/>
      <c r="V2868" s="239"/>
      <c r="W2868" s="240"/>
      <c r="X2868" s="278"/>
      <c r="Y2868" s="239"/>
      <c r="Z2868" s="237"/>
      <c r="AA2868" s="279"/>
      <c r="AB2868" s="238" t="s">
        <v>27609</v>
      </c>
      <c r="AC2868" s="196">
        <f t="shared" si="677"/>
        <v>9150</v>
      </c>
      <c r="AD2868" s="196">
        <f t="shared" si="678"/>
        <v>9150</v>
      </c>
      <c r="AE2868" s="196">
        <f t="shared" si="679"/>
        <v>0</v>
      </c>
      <c r="AF2868" s="2">
        <f t="shared" si="680"/>
        <v>9150</v>
      </c>
      <c r="AG2868" s="2">
        <f t="shared" si="681"/>
        <v>0</v>
      </c>
    </row>
    <row r="2869" spans="1:33">
      <c r="A2869" s="20" t="s">
        <v>7512</v>
      </c>
      <c r="B2869" s="162"/>
      <c r="C2869" s="21" t="s">
        <v>573</v>
      </c>
      <c r="D2869" s="109" t="s">
        <v>15717</v>
      </c>
      <c r="E2869" s="109" t="s">
        <v>15983</v>
      </c>
      <c r="F2869" s="391" t="s">
        <v>15982</v>
      </c>
      <c r="G2869" s="23" t="s">
        <v>15691</v>
      </c>
      <c r="H2869" s="23"/>
      <c r="I2869" s="23"/>
      <c r="J2869" s="23"/>
      <c r="K2869" s="23"/>
      <c r="L2869" s="375" t="s">
        <v>7787</v>
      </c>
      <c r="M2869" s="351"/>
      <c r="N2869" s="267">
        <f t="shared" si="673"/>
        <v>0</v>
      </c>
      <c r="O2869" s="268">
        <f t="shared" si="674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7"/>
        <v>0</v>
      </c>
      <c r="AD2869" s="196">
        <f t="shared" si="678"/>
        <v>0</v>
      </c>
      <c r="AE2869" s="196">
        <f t="shared" si="679"/>
        <v>0</v>
      </c>
      <c r="AF2869" s="2">
        <f t="shared" si="680"/>
        <v>0</v>
      </c>
      <c r="AG2869" s="2">
        <f t="shared" si="681"/>
        <v>0</v>
      </c>
    </row>
    <row r="2870" spans="1:33">
      <c r="A2870" s="20" t="s">
        <v>18526</v>
      </c>
      <c r="B2870" s="162"/>
      <c r="C2870" s="21" t="s">
        <v>18639</v>
      </c>
      <c r="D2870" s="109" t="s">
        <v>3137</v>
      </c>
      <c r="E2870" s="109"/>
      <c r="F2870" s="391" t="s">
        <v>18645</v>
      </c>
      <c r="G2870" s="23" t="s">
        <v>13975</v>
      </c>
      <c r="H2870" s="23"/>
      <c r="I2870" s="23"/>
      <c r="J2870" s="23"/>
      <c r="K2870" s="23"/>
      <c r="L2870" s="375" t="s">
        <v>7787</v>
      </c>
      <c r="M2870" s="351"/>
      <c r="N2870" s="267">
        <f t="shared" si="673"/>
        <v>0</v>
      </c>
      <c r="O2870" s="268">
        <f t="shared" si="674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37"/>
      <c r="Z2870" s="237"/>
      <c r="AA2870" s="279"/>
      <c r="AB2870" s="238"/>
      <c r="AC2870" s="196">
        <f t="shared" si="677"/>
        <v>0</v>
      </c>
      <c r="AD2870" s="196">
        <f t="shared" si="678"/>
        <v>0</v>
      </c>
      <c r="AE2870" s="196">
        <f t="shared" si="679"/>
        <v>0</v>
      </c>
      <c r="AF2870" s="2">
        <f t="shared" si="680"/>
        <v>0</v>
      </c>
      <c r="AG2870" s="2">
        <f t="shared" si="681"/>
        <v>0</v>
      </c>
    </row>
    <row r="2871" spans="1:33">
      <c r="A2871" s="20" t="s">
        <v>2589</v>
      </c>
      <c r="B2871" s="150"/>
      <c r="C2871" s="21" t="s">
        <v>574</v>
      </c>
      <c r="D2871" s="109" t="s">
        <v>15710</v>
      </c>
      <c r="E2871" s="109" t="s">
        <v>13303</v>
      </c>
      <c r="F2871" s="391" t="s">
        <v>15984</v>
      </c>
      <c r="G2871" s="23" t="s">
        <v>15763</v>
      </c>
      <c r="H2871" s="23"/>
      <c r="I2871" s="23"/>
      <c r="J2871" s="23"/>
      <c r="K2871" s="23"/>
      <c r="L2871" s="375" t="s">
        <v>7787</v>
      </c>
      <c r="M2871" s="351" t="s">
        <v>7787</v>
      </c>
      <c r="N2871" s="267">
        <f t="shared" si="673"/>
        <v>0</v>
      </c>
      <c r="O2871" s="268">
        <f t="shared" si="674"/>
        <v>0</v>
      </c>
      <c r="P2871" s="239"/>
      <c r="Q2871" s="239"/>
      <c r="R2871" s="239"/>
      <c r="S2871" s="239"/>
      <c r="T2871" s="239"/>
      <c r="U2871" s="240"/>
      <c r="V2871" s="240"/>
      <c r="W2871" s="240"/>
      <c r="X2871" s="278"/>
      <c r="Y2871" s="237"/>
      <c r="Z2871" s="237"/>
      <c r="AA2871" s="279"/>
      <c r="AB2871" s="238"/>
      <c r="AC2871" s="196">
        <f t="shared" si="677"/>
        <v>0</v>
      </c>
      <c r="AD2871" s="196">
        <f t="shared" si="678"/>
        <v>0</v>
      </c>
      <c r="AE2871" s="196">
        <f t="shared" si="679"/>
        <v>0</v>
      </c>
      <c r="AF2871" s="2">
        <f t="shared" si="680"/>
        <v>0</v>
      </c>
      <c r="AG2871" s="2">
        <f t="shared" si="681"/>
        <v>0</v>
      </c>
    </row>
    <row r="2872" spans="1:33">
      <c r="A2872" s="20" t="s">
        <v>11845</v>
      </c>
      <c r="B2872" s="150"/>
      <c r="C2872" s="21" t="s">
        <v>574</v>
      </c>
      <c r="D2872" s="109" t="s">
        <v>15710</v>
      </c>
      <c r="E2872" s="109" t="s">
        <v>15771</v>
      </c>
      <c r="F2872" s="391" t="s">
        <v>15984</v>
      </c>
      <c r="G2872" s="23" t="s">
        <v>15985</v>
      </c>
      <c r="H2872" s="23"/>
      <c r="I2872" s="23"/>
      <c r="J2872" s="23"/>
      <c r="K2872" s="23"/>
      <c r="L2872" s="375" t="s">
        <v>7787</v>
      </c>
      <c r="M2872" s="351" t="s">
        <v>7787</v>
      </c>
      <c r="N2872" s="267">
        <f t="shared" si="673"/>
        <v>0</v>
      </c>
      <c r="O2872" s="268">
        <f t="shared" si="674"/>
        <v>0</v>
      </c>
      <c r="P2872" s="239"/>
      <c r="Q2872" s="239"/>
      <c r="R2872" s="239"/>
      <c r="S2872" s="239"/>
      <c r="T2872" s="239"/>
      <c r="U2872" s="240"/>
      <c r="V2872" s="240"/>
      <c r="W2872" s="240"/>
      <c r="X2872" s="278"/>
      <c r="Y2872" s="243"/>
      <c r="Z2872" s="237"/>
      <c r="AA2872" s="279"/>
      <c r="AB2872" s="238"/>
      <c r="AC2872" s="196">
        <f t="shared" si="677"/>
        <v>0</v>
      </c>
      <c r="AD2872" s="196">
        <f t="shared" si="678"/>
        <v>0</v>
      </c>
      <c r="AE2872" s="196">
        <f t="shared" si="679"/>
        <v>0</v>
      </c>
      <c r="AF2872" s="2">
        <f t="shared" si="680"/>
        <v>0</v>
      </c>
      <c r="AG2872" s="2">
        <f t="shared" si="681"/>
        <v>0</v>
      </c>
    </row>
    <row r="2873" spans="1:33">
      <c r="A2873" s="20" t="s">
        <v>2588</v>
      </c>
      <c r="B2873" s="150"/>
      <c r="C2873" s="21" t="s">
        <v>574</v>
      </c>
      <c r="D2873" s="109" t="s">
        <v>13866</v>
      </c>
      <c r="E2873" s="109" t="s">
        <v>26177</v>
      </c>
      <c r="F2873" s="391" t="s">
        <v>15984</v>
      </c>
      <c r="G2873" s="23" t="s">
        <v>15763</v>
      </c>
      <c r="H2873" s="23" t="s">
        <v>15765</v>
      </c>
      <c r="I2873" s="23" t="s">
        <v>13350</v>
      </c>
      <c r="J2873" s="23" t="s">
        <v>26280</v>
      </c>
      <c r="K2873" s="23" t="s">
        <v>27321</v>
      </c>
      <c r="L2873" s="375" t="s">
        <v>7787</v>
      </c>
      <c r="M2873" s="351" t="s">
        <v>7787</v>
      </c>
      <c r="N2873" s="267">
        <f t="shared" si="673"/>
        <v>0</v>
      </c>
      <c r="O2873" s="268">
        <f t="shared" si="674"/>
        <v>2900</v>
      </c>
      <c r="P2873" s="239"/>
      <c r="Q2873" s="239"/>
      <c r="R2873" s="243"/>
      <c r="S2873" s="239"/>
      <c r="T2873" s="239"/>
      <c r="U2873" s="239">
        <f>3000-1100-1000+3000-1000</f>
        <v>2900</v>
      </c>
      <c r="V2873" s="240"/>
      <c r="W2873" s="240"/>
      <c r="X2873" s="278"/>
      <c r="Y2873" s="239"/>
      <c r="Z2873" s="237"/>
      <c r="AA2873" s="279"/>
      <c r="AB2873" s="238" t="s">
        <v>27739</v>
      </c>
      <c r="AC2873" s="196">
        <f t="shared" si="677"/>
        <v>2900</v>
      </c>
      <c r="AD2873" s="196">
        <f t="shared" si="678"/>
        <v>2900</v>
      </c>
      <c r="AE2873" s="196">
        <f t="shared" si="679"/>
        <v>0</v>
      </c>
      <c r="AF2873" s="2">
        <f t="shared" si="680"/>
        <v>2900</v>
      </c>
      <c r="AG2873" s="2">
        <f t="shared" si="681"/>
        <v>0</v>
      </c>
    </row>
    <row r="2874" spans="1:33">
      <c r="A2874" s="20" t="s">
        <v>2588</v>
      </c>
      <c r="B2874" s="150"/>
      <c r="C2874" s="21" t="s">
        <v>574</v>
      </c>
      <c r="D2874" s="109" t="s">
        <v>13866</v>
      </c>
      <c r="E2874" s="109"/>
      <c r="F2874" s="391" t="s">
        <v>15984</v>
      </c>
      <c r="G2874" s="23" t="s">
        <v>15765</v>
      </c>
      <c r="H2874" s="23" t="s">
        <v>18864</v>
      </c>
      <c r="I2874" s="23"/>
      <c r="J2874" s="23"/>
      <c r="K2874" s="23"/>
      <c r="L2874" s="375" t="s">
        <v>7787</v>
      </c>
      <c r="M2874" s="351"/>
      <c r="N2874" s="267">
        <f t="shared" si="673"/>
        <v>0</v>
      </c>
      <c r="O2874" s="268">
        <f t="shared" si="674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7"/>
        <v>0</v>
      </c>
      <c r="AD2874" s="196">
        <f t="shared" si="678"/>
        <v>0</v>
      </c>
      <c r="AE2874" s="196">
        <f t="shared" si="679"/>
        <v>0</v>
      </c>
      <c r="AF2874" s="2">
        <f t="shared" si="680"/>
        <v>0</v>
      </c>
      <c r="AG2874" s="2">
        <f t="shared" si="681"/>
        <v>0</v>
      </c>
    </row>
    <row r="2875" spans="1:33" ht="20.25" customHeight="1">
      <c r="A2875" s="20" t="s">
        <v>2591</v>
      </c>
      <c r="B2875" s="152" t="s">
        <v>6162</v>
      </c>
      <c r="C2875" s="21" t="s">
        <v>575</v>
      </c>
      <c r="D2875" s="109" t="s">
        <v>13866</v>
      </c>
      <c r="E2875" s="109"/>
      <c r="F2875" s="391" t="s">
        <v>15986</v>
      </c>
      <c r="G2875" s="23" t="s">
        <v>15987</v>
      </c>
      <c r="H2875" s="23"/>
      <c r="I2875" s="23"/>
      <c r="J2875" s="23"/>
      <c r="K2875" s="23"/>
      <c r="L2875" s="350"/>
      <c r="M2875" s="360"/>
      <c r="N2875" s="267">
        <f t="shared" si="673"/>
        <v>0</v>
      </c>
      <c r="O2875" s="268">
        <f t="shared" si="674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7"/>
        <v>0</v>
      </c>
      <c r="AD2875" s="196">
        <f t="shared" si="678"/>
        <v>0</v>
      </c>
      <c r="AE2875" s="196">
        <f t="shared" si="679"/>
        <v>0</v>
      </c>
      <c r="AF2875" s="2">
        <f t="shared" si="680"/>
        <v>0</v>
      </c>
      <c r="AG2875" s="2">
        <f t="shared" si="681"/>
        <v>0</v>
      </c>
    </row>
    <row r="2876" spans="1:33">
      <c r="A2876" s="20" t="s">
        <v>2596</v>
      </c>
      <c r="B2876" s="150"/>
      <c r="C2876" s="21" t="s">
        <v>578</v>
      </c>
      <c r="D2876" s="109" t="s">
        <v>13293</v>
      </c>
      <c r="E2876" s="109"/>
      <c r="F2876" s="391" t="s">
        <v>15988</v>
      </c>
      <c r="G2876" s="23" t="s">
        <v>15688</v>
      </c>
      <c r="H2876" s="23"/>
      <c r="I2876" s="23"/>
      <c r="J2876" s="23"/>
      <c r="K2876" s="23"/>
      <c r="L2876" s="350"/>
      <c r="M2876" s="351"/>
      <c r="N2876" s="267">
        <f t="shared" si="673"/>
        <v>0</v>
      </c>
      <c r="O2876" s="268">
        <f t="shared" si="674"/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7"/>
        <v>0</v>
      </c>
      <c r="AD2876" s="196">
        <f t="shared" si="678"/>
        <v>0</v>
      </c>
      <c r="AE2876" s="196">
        <f t="shared" si="679"/>
        <v>0</v>
      </c>
      <c r="AF2876" s="2">
        <f t="shared" si="680"/>
        <v>0</v>
      </c>
      <c r="AG2876" s="2">
        <f t="shared" si="681"/>
        <v>0</v>
      </c>
    </row>
    <row r="2877" spans="1:33">
      <c r="A2877" s="20" t="s">
        <v>2590</v>
      </c>
      <c r="B2877" s="161"/>
      <c r="C2877" s="21" t="s">
        <v>575</v>
      </c>
      <c r="D2877" s="109" t="s">
        <v>13302</v>
      </c>
      <c r="E2877" s="109" t="s">
        <v>13303</v>
      </c>
      <c r="F2877" s="391" t="s">
        <v>15986</v>
      </c>
      <c r="G2877" s="23" t="s">
        <v>15987</v>
      </c>
      <c r="H2877" s="23"/>
      <c r="I2877" s="23"/>
      <c r="J2877" s="23"/>
      <c r="K2877" s="23"/>
      <c r="L2877" s="350"/>
      <c r="M2877" s="357" t="s">
        <v>7787</v>
      </c>
      <c r="N2877" s="267">
        <f t="shared" si="673"/>
        <v>0</v>
      </c>
      <c r="O2877" s="268">
        <f t="shared" si="674"/>
        <v>0</v>
      </c>
      <c r="P2877" s="239"/>
      <c r="Q2877" s="239"/>
      <c r="R2877" s="239"/>
      <c r="S2877" s="239"/>
      <c r="T2877" s="239"/>
      <c r="U2877" s="240"/>
      <c r="V2877" s="240"/>
      <c r="W2877" s="240"/>
      <c r="X2877" s="278"/>
      <c r="Y2877" s="237"/>
      <c r="Z2877" s="237"/>
      <c r="AA2877" s="279"/>
      <c r="AB2877" s="238"/>
      <c r="AC2877" s="196">
        <f t="shared" si="677"/>
        <v>0</v>
      </c>
      <c r="AD2877" s="196">
        <f t="shared" si="678"/>
        <v>0</v>
      </c>
      <c r="AE2877" s="196">
        <f t="shared" si="679"/>
        <v>0</v>
      </c>
      <c r="AF2877" s="2">
        <f t="shared" si="680"/>
        <v>0</v>
      </c>
      <c r="AG2877" s="2">
        <f t="shared" si="681"/>
        <v>0</v>
      </c>
    </row>
    <row r="2878" spans="1:33">
      <c r="A2878" s="20" t="s">
        <v>2756</v>
      </c>
      <c r="B2878" s="161"/>
      <c r="C2878" s="21" t="s">
        <v>827</v>
      </c>
      <c r="D2878" s="109" t="s">
        <v>13296</v>
      </c>
      <c r="E2878" s="109"/>
      <c r="F2878" s="391" t="s">
        <v>15989</v>
      </c>
      <c r="G2878" s="23" t="s">
        <v>13524</v>
      </c>
      <c r="H2878" s="23"/>
      <c r="I2878" s="23"/>
      <c r="J2878" s="23"/>
      <c r="K2878" s="23"/>
      <c r="L2878" s="350"/>
      <c r="M2878" s="351"/>
      <c r="N2878" s="267">
        <f t="shared" ref="N2878:N2942" si="695">SUM(L2878:M2878)</f>
        <v>0</v>
      </c>
      <c r="O2878" s="268">
        <f t="shared" ref="O2878:O2942" si="696">SUM(P2878:Z2878)</f>
        <v>0</v>
      </c>
      <c r="P2878" s="239"/>
      <c r="Q2878" s="239"/>
      <c r="R2878" s="239"/>
      <c r="S2878" s="239"/>
      <c r="T2878" s="239"/>
      <c r="U2878" s="240"/>
      <c r="V2878" s="240"/>
      <c r="W2878" s="240"/>
      <c r="X2878" s="278"/>
      <c r="Y2878" s="237"/>
      <c r="Z2878" s="237"/>
      <c r="AA2878" s="279"/>
      <c r="AB2878" s="238"/>
      <c r="AC2878" s="196">
        <f t="shared" si="677"/>
        <v>0</v>
      </c>
      <c r="AD2878" s="196">
        <f t="shared" si="678"/>
        <v>0</v>
      </c>
      <c r="AE2878" s="196">
        <f t="shared" si="679"/>
        <v>0</v>
      </c>
      <c r="AF2878" s="2">
        <f t="shared" si="680"/>
        <v>0</v>
      </c>
      <c r="AG2878" s="2">
        <f t="shared" si="681"/>
        <v>0</v>
      </c>
    </row>
    <row r="2879" spans="1:33">
      <c r="A2879" s="20" t="s">
        <v>2592</v>
      </c>
      <c r="B2879" s="161"/>
      <c r="C2879" s="21" t="s">
        <v>576</v>
      </c>
      <c r="D2879" s="109" t="s">
        <v>13866</v>
      </c>
      <c r="E2879" s="109" t="s">
        <v>26605</v>
      </c>
      <c r="F2879" s="391" t="s">
        <v>15990</v>
      </c>
      <c r="G2879" s="23" t="s">
        <v>13524</v>
      </c>
      <c r="H2879" s="23" t="s">
        <v>15759</v>
      </c>
      <c r="I2879" s="23" t="s">
        <v>15763</v>
      </c>
      <c r="J2879" s="23" t="s">
        <v>15765</v>
      </c>
      <c r="K2879" s="23"/>
      <c r="L2879" s="375" t="s">
        <v>7787</v>
      </c>
      <c r="M2879" s="372" t="s">
        <v>7787</v>
      </c>
      <c r="N2879" s="267">
        <f t="shared" si="695"/>
        <v>0</v>
      </c>
      <c r="O2879" s="268">
        <f t="shared" si="696"/>
        <v>0</v>
      </c>
      <c r="P2879" s="239"/>
      <c r="Q2879" s="239"/>
      <c r="R2879" s="239"/>
      <c r="S2879" s="239"/>
      <c r="T2879" s="239"/>
      <c r="U2879" s="239"/>
      <c r="V2879" s="240"/>
      <c r="W2879" s="240"/>
      <c r="X2879" s="278"/>
      <c r="Y2879" s="237"/>
      <c r="Z2879" s="237"/>
      <c r="AA2879" s="279"/>
      <c r="AB2879" s="238"/>
      <c r="AC2879" s="196">
        <f t="shared" si="677"/>
        <v>0</v>
      </c>
      <c r="AD2879" s="196">
        <f t="shared" si="678"/>
        <v>0</v>
      </c>
      <c r="AE2879" s="196">
        <f t="shared" si="679"/>
        <v>0</v>
      </c>
      <c r="AF2879" s="2">
        <f t="shared" si="680"/>
        <v>0</v>
      </c>
      <c r="AG2879" s="2">
        <f t="shared" si="681"/>
        <v>0</v>
      </c>
    </row>
    <row r="2880" spans="1:33">
      <c r="A2880" s="377" t="s">
        <v>2592</v>
      </c>
      <c r="B2880" s="161"/>
      <c r="C2880" s="21" t="s">
        <v>576</v>
      </c>
      <c r="D2880" s="109" t="s">
        <v>13866</v>
      </c>
      <c r="E2880" s="109"/>
      <c r="F2880" s="391" t="s">
        <v>15990</v>
      </c>
      <c r="G2880" s="23" t="s">
        <v>15759</v>
      </c>
      <c r="H2880" s="23"/>
      <c r="I2880" s="23"/>
      <c r="J2880" s="23"/>
      <c r="K2880" s="23"/>
      <c r="L2880" s="375" t="s">
        <v>7787</v>
      </c>
      <c r="M2880" s="367" t="s">
        <v>7787</v>
      </c>
      <c r="N2880" s="267">
        <f t="shared" si="695"/>
        <v>0</v>
      </c>
      <c r="O2880" s="268">
        <f t="shared" si="696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7"/>
        <v>0</v>
      </c>
      <c r="AD2880" s="196">
        <f t="shared" si="678"/>
        <v>0</v>
      </c>
      <c r="AE2880" s="196">
        <f t="shared" si="679"/>
        <v>0</v>
      </c>
      <c r="AF2880" s="2">
        <f t="shared" si="680"/>
        <v>0</v>
      </c>
      <c r="AG2880" s="2">
        <f t="shared" si="681"/>
        <v>0</v>
      </c>
    </row>
    <row r="2881" spans="1:33">
      <c r="A2881" s="20" t="s">
        <v>7521</v>
      </c>
      <c r="B2881" s="161"/>
      <c r="C2881" s="21" t="s">
        <v>576</v>
      </c>
      <c r="D2881" s="109" t="s">
        <v>13866</v>
      </c>
      <c r="E2881" s="109" t="s">
        <v>15766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67" t="s">
        <v>7787</v>
      </c>
      <c r="N2881" s="267">
        <f t="shared" si="695"/>
        <v>0</v>
      </c>
      <c r="O2881" s="268">
        <f t="shared" si="696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7"/>
        <v>0</v>
      </c>
      <c r="AD2881" s="196">
        <f t="shared" si="678"/>
        <v>0</v>
      </c>
      <c r="AE2881" s="196">
        <f t="shared" si="679"/>
        <v>0</v>
      </c>
      <c r="AF2881" s="2">
        <f t="shared" si="680"/>
        <v>0</v>
      </c>
      <c r="AG2881" s="2">
        <f t="shared" si="681"/>
        <v>0</v>
      </c>
    </row>
    <row r="2882" spans="1:33">
      <c r="A2882" s="20" t="s">
        <v>7605</v>
      </c>
      <c r="B2882" s="161"/>
      <c r="C2882" s="21" t="s">
        <v>576</v>
      </c>
      <c r="D2882" s="109" t="s">
        <v>13866</v>
      </c>
      <c r="E2882" s="109" t="s">
        <v>15771</v>
      </c>
      <c r="F2882" s="391" t="s">
        <v>15990</v>
      </c>
      <c r="G2882" s="23" t="s">
        <v>15763</v>
      </c>
      <c r="H2882" s="23"/>
      <c r="I2882" s="23"/>
      <c r="J2882" s="23"/>
      <c r="K2882" s="23"/>
      <c r="L2882" s="375" t="s">
        <v>7787</v>
      </c>
      <c r="M2882" s="367"/>
      <c r="N2882" s="267">
        <f t="shared" si="695"/>
        <v>0</v>
      </c>
      <c r="O2882" s="268">
        <f t="shared" si="696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37"/>
      <c r="Z2882" s="237"/>
      <c r="AA2882" s="279"/>
      <c r="AB2882" s="238"/>
      <c r="AC2882" s="196">
        <f t="shared" si="677"/>
        <v>0</v>
      </c>
      <c r="AD2882" s="196">
        <f t="shared" si="678"/>
        <v>0</v>
      </c>
      <c r="AE2882" s="196">
        <f t="shared" si="679"/>
        <v>0</v>
      </c>
      <c r="AF2882" s="2">
        <f t="shared" si="680"/>
        <v>0</v>
      </c>
      <c r="AG2882" s="2">
        <f t="shared" si="681"/>
        <v>0</v>
      </c>
    </row>
    <row r="2883" spans="1:33">
      <c r="A2883" s="20" t="s">
        <v>2593</v>
      </c>
      <c r="B2883" s="161"/>
      <c r="C2883" s="21" t="s">
        <v>576</v>
      </c>
      <c r="D2883" s="109" t="s">
        <v>15710</v>
      </c>
      <c r="E2883" s="109" t="s">
        <v>13303</v>
      </c>
      <c r="F2883" s="391" t="s">
        <v>15990</v>
      </c>
      <c r="G2883" s="23" t="s">
        <v>15763</v>
      </c>
      <c r="H2883" s="23"/>
      <c r="I2883" s="23"/>
      <c r="J2883" s="23"/>
      <c r="K2883" s="23"/>
      <c r="L2883" s="375" t="s">
        <v>7787</v>
      </c>
      <c r="M2883" s="351"/>
      <c r="N2883" s="267">
        <f t="shared" si="695"/>
        <v>0</v>
      </c>
      <c r="O2883" s="268">
        <f t="shared" si="696"/>
        <v>0</v>
      </c>
      <c r="P2883" s="239"/>
      <c r="Q2883" s="239"/>
      <c r="R2883" s="239"/>
      <c r="S2883" s="239"/>
      <c r="T2883" s="239"/>
      <c r="U2883" s="240"/>
      <c r="V2883" s="240"/>
      <c r="W2883" s="240"/>
      <c r="X2883" s="278"/>
      <c r="Y2883" s="237"/>
      <c r="Z2883" s="237"/>
      <c r="AA2883" s="279"/>
      <c r="AB2883" s="238"/>
      <c r="AC2883" s="196">
        <f t="shared" si="677"/>
        <v>0</v>
      </c>
      <c r="AD2883" s="196">
        <f t="shared" si="678"/>
        <v>0</v>
      </c>
      <c r="AE2883" s="196">
        <f t="shared" si="679"/>
        <v>0</v>
      </c>
      <c r="AF2883" s="2">
        <f t="shared" si="680"/>
        <v>0</v>
      </c>
      <c r="AG2883" s="2">
        <f t="shared" si="681"/>
        <v>0</v>
      </c>
    </row>
    <row r="2884" spans="1:33">
      <c r="A2884" s="20" t="s">
        <v>2594</v>
      </c>
      <c r="B2884" s="161"/>
      <c r="C2884" s="21" t="s">
        <v>577</v>
      </c>
      <c r="D2884" s="109" t="s">
        <v>13859</v>
      </c>
      <c r="E2884" s="109" t="s">
        <v>13303</v>
      </c>
      <c r="F2884" s="391" t="s">
        <v>15943</v>
      </c>
      <c r="G2884" s="23" t="s">
        <v>15715</v>
      </c>
      <c r="H2884" s="23"/>
      <c r="I2884" s="23"/>
      <c r="J2884" s="23"/>
      <c r="K2884" s="23"/>
      <c r="L2884" s="375" t="s">
        <v>7787</v>
      </c>
      <c r="M2884" s="351"/>
      <c r="N2884" s="267">
        <f t="shared" si="695"/>
        <v>0</v>
      </c>
      <c r="O2884" s="268">
        <f t="shared" si="696"/>
        <v>0</v>
      </c>
      <c r="P2884" s="239"/>
      <c r="Q2884" s="239"/>
      <c r="R2884" s="239"/>
      <c r="S2884" s="239"/>
      <c r="T2884" s="239"/>
      <c r="U2884" s="240"/>
      <c r="V2884" s="240"/>
      <c r="W2884" s="240"/>
      <c r="X2884" s="278"/>
      <c r="Y2884" s="278"/>
      <c r="Z2884" s="237"/>
      <c r="AA2884" s="279"/>
      <c r="AB2884" s="238"/>
      <c r="AC2884" s="196">
        <f t="shared" si="677"/>
        <v>0</v>
      </c>
      <c r="AD2884" s="196">
        <f t="shared" si="678"/>
        <v>0</v>
      </c>
      <c r="AE2884" s="196">
        <f t="shared" si="679"/>
        <v>0</v>
      </c>
      <c r="AF2884" s="2">
        <f t="shared" si="680"/>
        <v>0</v>
      </c>
      <c r="AG2884" s="2">
        <f t="shared" si="681"/>
        <v>0</v>
      </c>
    </row>
    <row r="2885" spans="1:33">
      <c r="A2885" s="20" t="s">
        <v>2595</v>
      </c>
      <c r="B2885" s="152" t="s">
        <v>5871</v>
      </c>
      <c r="C2885" s="21" t="s">
        <v>577</v>
      </c>
      <c r="D2885" s="109" t="s">
        <v>13866</v>
      </c>
      <c r="E2885" s="109"/>
      <c r="F2885" s="391" t="s">
        <v>15943</v>
      </c>
      <c r="G2885" s="23" t="s">
        <v>13863</v>
      </c>
      <c r="H2885" s="23" t="s">
        <v>15731</v>
      </c>
      <c r="I2885" s="23" t="s">
        <v>15991</v>
      </c>
      <c r="J2885" s="23"/>
      <c r="K2885" s="23"/>
      <c r="L2885" s="350"/>
      <c r="M2885" s="360"/>
      <c r="N2885" s="267">
        <f t="shared" si="695"/>
        <v>0</v>
      </c>
      <c r="O2885" s="268">
        <f t="shared" si="696"/>
        <v>0</v>
      </c>
      <c r="P2885" s="239"/>
      <c r="Q2885" s="248"/>
      <c r="R2885" s="239"/>
      <c r="S2885" s="239"/>
      <c r="T2885" s="239"/>
      <c r="U2885" s="240"/>
      <c r="V2885" s="240"/>
      <c r="W2885" s="240"/>
      <c r="X2885" s="278"/>
      <c r="Y2885" s="237"/>
      <c r="Z2885" s="237"/>
      <c r="AA2885" s="279"/>
      <c r="AB2885" s="238"/>
      <c r="AC2885" s="196">
        <f t="shared" si="677"/>
        <v>0</v>
      </c>
      <c r="AD2885" s="196">
        <f t="shared" si="678"/>
        <v>0</v>
      </c>
      <c r="AE2885" s="196">
        <f t="shared" si="679"/>
        <v>0</v>
      </c>
      <c r="AF2885" s="2">
        <f t="shared" si="680"/>
        <v>0</v>
      </c>
      <c r="AG2885" s="2">
        <f t="shared" si="681"/>
        <v>0</v>
      </c>
    </row>
    <row r="2886" spans="1:33">
      <c r="A2886" s="20" t="s">
        <v>21564</v>
      </c>
      <c r="B2886" s="152" t="s">
        <v>5871</v>
      </c>
      <c r="C2886" s="21" t="s">
        <v>577</v>
      </c>
      <c r="D2886" s="109" t="s">
        <v>13866</v>
      </c>
      <c r="E2886" s="219" t="s">
        <v>15690</v>
      </c>
      <c r="F2886" s="391" t="s">
        <v>15943</v>
      </c>
      <c r="G2886" s="23" t="s">
        <v>15987</v>
      </c>
      <c r="H2886" s="23" t="s">
        <v>15992</v>
      </c>
      <c r="I2886" s="23" t="s">
        <v>13865</v>
      </c>
      <c r="J2886" s="23" t="s">
        <v>15993</v>
      </c>
      <c r="K2886" s="23" t="s">
        <v>15741</v>
      </c>
      <c r="L2886" s="375" t="s">
        <v>27827</v>
      </c>
      <c r="M2886" s="360" t="s">
        <v>7787</v>
      </c>
      <c r="N2886" s="267">
        <f t="shared" si="695"/>
        <v>0</v>
      </c>
      <c r="O2886" s="268">
        <f t="shared" si="696"/>
        <v>500</v>
      </c>
      <c r="P2886" s="239"/>
      <c r="Q2886" s="239"/>
      <c r="R2886" s="239"/>
      <c r="S2886" s="239"/>
      <c r="T2886" s="239"/>
      <c r="U2886" s="240">
        <f>100+500-100</f>
        <v>500</v>
      </c>
      <c r="V2886" s="240"/>
      <c r="W2886" s="240"/>
      <c r="X2886" s="278"/>
      <c r="Y2886" s="237"/>
      <c r="Z2886" s="237"/>
      <c r="AA2886" s="279"/>
      <c r="AB2886" s="238" t="s">
        <v>27821</v>
      </c>
      <c r="AC2886" s="196">
        <f t="shared" si="677"/>
        <v>500</v>
      </c>
      <c r="AD2886" s="196">
        <f t="shared" si="678"/>
        <v>500</v>
      </c>
      <c r="AE2886" s="196">
        <f t="shared" si="679"/>
        <v>0</v>
      </c>
      <c r="AF2886" s="2">
        <f t="shared" si="680"/>
        <v>500</v>
      </c>
      <c r="AG2886" s="2">
        <f t="shared" si="681"/>
        <v>0</v>
      </c>
    </row>
    <row r="2887" spans="1:33">
      <c r="A2887" s="20" t="s">
        <v>2597</v>
      </c>
      <c r="B2887" s="156" t="s">
        <v>5872</v>
      </c>
      <c r="C2887" s="21" t="s">
        <v>578</v>
      </c>
      <c r="D2887" s="109" t="s">
        <v>15678</v>
      </c>
      <c r="E2887" s="109"/>
      <c r="F2887" s="391" t="s">
        <v>15988</v>
      </c>
      <c r="G2887" s="23" t="s">
        <v>15688</v>
      </c>
      <c r="H2887" s="23"/>
      <c r="I2887" s="23"/>
      <c r="J2887" s="23"/>
      <c r="K2887" s="23"/>
      <c r="L2887" s="375" t="s">
        <v>7787</v>
      </c>
      <c r="M2887" s="375" t="s">
        <v>7787</v>
      </c>
      <c r="N2887" s="267">
        <f t="shared" si="695"/>
        <v>0</v>
      </c>
      <c r="O2887" s="268">
        <f t="shared" si="696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7"/>
      <c r="Z2887" s="237"/>
      <c r="AA2887" s="279"/>
      <c r="AB2887" s="238"/>
      <c r="AC2887" s="196">
        <f t="shared" si="677"/>
        <v>0</v>
      </c>
      <c r="AD2887" s="196">
        <f t="shared" si="678"/>
        <v>0</v>
      </c>
      <c r="AE2887" s="196">
        <f t="shared" si="679"/>
        <v>0</v>
      </c>
      <c r="AF2887" s="2">
        <f t="shared" si="680"/>
        <v>0</v>
      </c>
      <c r="AG2887" s="2">
        <f t="shared" si="681"/>
        <v>0</v>
      </c>
    </row>
    <row r="2888" spans="1:33">
      <c r="A2888" s="20" t="s">
        <v>2598</v>
      </c>
      <c r="B2888" s="162" t="s">
        <v>15994</v>
      </c>
      <c r="C2888" s="21" t="s">
        <v>579</v>
      </c>
      <c r="D2888" s="109" t="s">
        <v>15717</v>
      </c>
      <c r="E2888" s="109"/>
      <c r="F2888" s="391" t="s">
        <v>15995</v>
      </c>
      <c r="G2888" s="23" t="s">
        <v>13863</v>
      </c>
      <c r="H2888" s="23" t="s">
        <v>13301</v>
      </c>
      <c r="I2888" s="23" t="s">
        <v>15731</v>
      </c>
      <c r="J2888" s="23"/>
      <c r="K2888" s="23"/>
      <c r="L2888" s="375" t="s">
        <v>7787</v>
      </c>
      <c r="M2888" s="351" t="s">
        <v>7787</v>
      </c>
      <c r="N2888" s="267">
        <f t="shared" si="695"/>
        <v>0</v>
      </c>
      <c r="O2888" s="268">
        <f t="shared" si="696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9"/>
      <c r="Z2888" s="237"/>
      <c r="AA2888" s="279"/>
      <c r="AB2888" s="238"/>
      <c r="AC2888" s="196">
        <f t="shared" si="677"/>
        <v>0</v>
      </c>
      <c r="AD2888" s="196">
        <f t="shared" si="678"/>
        <v>0</v>
      </c>
      <c r="AE2888" s="196">
        <f t="shared" si="679"/>
        <v>0</v>
      </c>
      <c r="AF2888" s="2">
        <f t="shared" si="680"/>
        <v>0</v>
      </c>
      <c r="AG2888" s="2">
        <f t="shared" si="681"/>
        <v>0</v>
      </c>
    </row>
    <row r="2889" spans="1:33">
      <c r="A2889" s="20" t="s">
        <v>2599</v>
      </c>
      <c r="B2889" s="151"/>
      <c r="C2889" s="21" t="s">
        <v>15996</v>
      </c>
      <c r="D2889" s="109" t="s">
        <v>13293</v>
      </c>
      <c r="E2889" s="109"/>
      <c r="F2889" s="391" t="s">
        <v>15997</v>
      </c>
      <c r="G2889" s="23" t="s">
        <v>15688</v>
      </c>
      <c r="H2889" s="23"/>
      <c r="I2889" s="23"/>
      <c r="J2889" s="23"/>
      <c r="K2889" s="23"/>
      <c r="L2889" s="350"/>
      <c r="M2889" s="351"/>
      <c r="N2889" s="267">
        <f t="shared" si="695"/>
        <v>0</v>
      </c>
      <c r="O2889" s="268">
        <f t="shared" si="696"/>
        <v>0</v>
      </c>
      <c r="P2889" s="239"/>
      <c r="Q2889" s="239"/>
      <c r="R2889" s="239"/>
      <c r="S2889" s="239"/>
      <c r="T2889" s="239"/>
      <c r="U2889" s="240"/>
      <c r="V2889" s="240"/>
      <c r="W2889" s="240"/>
      <c r="X2889" s="278"/>
      <c r="Y2889" s="237"/>
      <c r="Z2889" s="237"/>
      <c r="AA2889" s="237"/>
      <c r="AB2889" s="238"/>
      <c r="AC2889" s="196">
        <f t="shared" si="677"/>
        <v>0</v>
      </c>
      <c r="AD2889" s="196">
        <f t="shared" si="678"/>
        <v>0</v>
      </c>
      <c r="AE2889" s="196">
        <f t="shared" si="679"/>
        <v>0</v>
      </c>
      <c r="AF2889" s="2">
        <f t="shared" si="680"/>
        <v>0</v>
      </c>
      <c r="AG2889" s="2">
        <f t="shared" si="681"/>
        <v>0</v>
      </c>
    </row>
    <row r="2890" spans="1:33">
      <c r="A2890" s="20" t="s">
        <v>2603</v>
      </c>
      <c r="B2890" s="150"/>
      <c r="C2890" s="21" t="s">
        <v>15998</v>
      </c>
      <c r="D2890" s="109" t="s">
        <v>15686</v>
      </c>
      <c r="E2890" s="109" t="s">
        <v>13303</v>
      </c>
      <c r="F2890" s="391" t="s">
        <v>15999</v>
      </c>
      <c r="G2890" s="23" t="s">
        <v>15688</v>
      </c>
      <c r="H2890" s="23"/>
      <c r="I2890" s="23"/>
      <c r="J2890" s="23"/>
      <c r="K2890" s="23"/>
      <c r="L2890" s="350"/>
      <c r="M2890" s="351"/>
      <c r="N2890" s="267">
        <f t="shared" si="695"/>
        <v>0</v>
      </c>
      <c r="O2890" s="268">
        <f t="shared" si="696"/>
        <v>0</v>
      </c>
      <c r="P2890" s="239"/>
      <c r="Q2890" s="239"/>
      <c r="R2890" s="239"/>
      <c r="S2890" s="239"/>
      <c r="T2890" s="239"/>
      <c r="U2890" s="240"/>
      <c r="V2890" s="240"/>
      <c r="W2890" s="240"/>
      <c r="X2890" s="278"/>
      <c r="Y2890" s="237"/>
      <c r="Z2890" s="237"/>
      <c r="AA2890" s="279"/>
      <c r="AB2890" s="238"/>
      <c r="AC2890" s="196">
        <f t="shared" si="677"/>
        <v>0</v>
      </c>
      <c r="AD2890" s="196">
        <f t="shared" si="678"/>
        <v>0</v>
      </c>
      <c r="AE2890" s="196">
        <f t="shared" si="679"/>
        <v>0</v>
      </c>
      <c r="AF2890" s="2">
        <f t="shared" si="680"/>
        <v>0</v>
      </c>
      <c r="AG2890" s="2">
        <f t="shared" si="681"/>
        <v>0</v>
      </c>
    </row>
    <row r="2891" spans="1:33">
      <c r="A2891" s="20" t="s">
        <v>2600</v>
      </c>
      <c r="B2891" s="156"/>
      <c r="C2891" s="21" t="s">
        <v>15998</v>
      </c>
      <c r="D2891" s="109" t="s">
        <v>13293</v>
      </c>
      <c r="E2891" s="109"/>
      <c r="F2891" s="391" t="s">
        <v>15999</v>
      </c>
      <c r="G2891" s="23" t="s">
        <v>15688</v>
      </c>
      <c r="H2891" s="23"/>
      <c r="I2891" s="23"/>
      <c r="J2891" s="23"/>
      <c r="K2891" s="23"/>
      <c r="L2891" s="375" t="s">
        <v>7787</v>
      </c>
      <c r="M2891" s="351" t="s">
        <v>7787</v>
      </c>
      <c r="N2891" s="267">
        <f t="shared" si="695"/>
        <v>0</v>
      </c>
      <c r="O2891" s="268">
        <f t="shared" si="696"/>
        <v>0</v>
      </c>
      <c r="P2891" s="239"/>
      <c r="Q2891" s="239"/>
      <c r="R2891" s="239"/>
      <c r="S2891" s="239"/>
      <c r="T2891" s="239"/>
      <c r="U2891" s="239"/>
      <c r="V2891" s="239"/>
      <c r="W2891" s="240"/>
      <c r="X2891" s="241"/>
      <c r="Y2891" s="239"/>
      <c r="Z2891" s="237"/>
      <c r="AA2891" s="279"/>
      <c r="AB2891" s="238"/>
      <c r="AC2891" s="196">
        <f t="shared" si="677"/>
        <v>0</v>
      </c>
      <c r="AD2891" s="196">
        <f t="shared" si="678"/>
        <v>0</v>
      </c>
      <c r="AE2891" s="196">
        <f t="shared" si="679"/>
        <v>0</v>
      </c>
      <c r="AF2891" s="2">
        <f t="shared" si="680"/>
        <v>0</v>
      </c>
      <c r="AG2891" s="2">
        <f t="shared" si="681"/>
        <v>0</v>
      </c>
    </row>
    <row r="2892" spans="1:33">
      <c r="A2892" s="20" t="s">
        <v>2600</v>
      </c>
      <c r="B2892" s="156"/>
      <c r="C2892" s="21" t="s">
        <v>6418</v>
      </c>
      <c r="D2892" s="109" t="s">
        <v>4062</v>
      </c>
      <c r="E2892" s="109"/>
      <c r="F2892" s="391" t="s">
        <v>16000</v>
      </c>
      <c r="G2892" s="23" t="s">
        <v>5333</v>
      </c>
      <c r="H2892" s="23"/>
      <c r="I2892" s="23"/>
      <c r="J2892" s="23"/>
      <c r="K2892" s="23"/>
      <c r="L2892" s="375" t="s">
        <v>7787</v>
      </c>
      <c r="M2892" s="351" t="s">
        <v>7787</v>
      </c>
      <c r="N2892" s="267">
        <f t="shared" si="695"/>
        <v>0</v>
      </c>
      <c r="O2892" s="268">
        <f t="shared" si="696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7"/>
        <v>0</v>
      </c>
      <c r="AD2892" s="196">
        <f t="shared" si="678"/>
        <v>0</v>
      </c>
      <c r="AE2892" s="196">
        <f t="shared" si="679"/>
        <v>0</v>
      </c>
      <c r="AF2892" s="2">
        <f t="shared" si="680"/>
        <v>0</v>
      </c>
      <c r="AG2892" s="2">
        <f t="shared" si="681"/>
        <v>0</v>
      </c>
    </row>
    <row r="2893" spans="1:33">
      <c r="A2893" s="20" t="s">
        <v>2601</v>
      </c>
      <c r="B2893" s="156"/>
      <c r="C2893" s="21" t="s">
        <v>5087</v>
      </c>
      <c r="D2893" s="109" t="s">
        <v>13293</v>
      </c>
      <c r="E2893" s="109"/>
      <c r="F2893" s="391" t="s">
        <v>15997</v>
      </c>
      <c r="G2893" s="23" t="s">
        <v>15688</v>
      </c>
      <c r="H2893" s="23"/>
      <c r="I2893" s="23"/>
      <c r="J2893" s="23"/>
      <c r="K2893" s="23"/>
      <c r="L2893" s="375" t="s">
        <v>7787</v>
      </c>
      <c r="M2893" s="351"/>
      <c r="N2893" s="267">
        <f t="shared" si="695"/>
        <v>0</v>
      </c>
      <c r="O2893" s="268">
        <f t="shared" si="696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37"/>
      <c r="Z2893" s="237"/>
      <c r="AA2893" s="279"/>
      <c r="AB2893" s="238"/>
      <c r="AC2893" s="196">
        <f t="shared" si="677"/>
        <v>0</v>
      </c>
      <c r="AD2893" s="196">
        <f t="shared" si="678"/>
        <v>0</v>
      </c>
      <c r="AE2893" s="196">
        <f t="shared" si="679"/>
        <v>0</v>
      </c>
      <c r="AF2893" s="2">
        <f t="shared" si="680"/>
        <v>0</v>
      </c>
      <c r="AG2893" s="2">
        <f t="shared" si="681"/>
        <v>0</v>
      </c>
    </row>
    <row r="2894" spans="1:33">
      <c r="A2894" s="20" t="s">
        <v>2602</v>
      </c>
      <c r="B2894" s="151"/>
      <c r="C2894" s="21" t="s">
        <v>5088</v>
      </c>
      <c r="D2894" s="109" t="s">
        <v>13293</v>
      </c>
      <c r="E2894" s="109"/>
      <c r="F2894" s="391" t="s">
        <v>15999</v>
      </c>
      <c r="G2894" s="23" t="s">
        <v>15688</v>
      </c>
      <c r="H2894" s="23"/>
      <c r="I2894" s="23"/>
      <c r="J2894" s="23"/>
      <c r="K2894" s="23"/>
      <c r="L2894" s="375" t="s">
        <v>7787</v>
      </c>
      <c r="M2894" s="351" t="s">
        <v>7787</v>
      </c>
      <c r="N2894" s="267">
        <f t="shared" si="695"/>
        <v>0</v>
      </c>
      <c r="O2894" s="268">
        <f t="shared" si="696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37"/>
      <c r="Z2894" s="237"/>
      <c r="AA2894" s="279"/>
      <c r="AB2894" s="238"/>
      <c r="AC2894" s="196">
        <f t="shared" si="677"/>
        <v>0</v>
      </c>
      <c r="AD2894" s="196">
        <f t="shared" si="678"/>
        <v>0</v>
      </c>
      <c r="AE2894" s="196">
        <f t="shared" si="679"/>
        <v>0</v>
      </c>
      <c r="AF2894" s="2">
        <f t="shared" si="680"/>
        <v>0</v>
      </c>
      <c r="AG2894" s="2">
        <f t="shared" si="681"/>
        <v>0</v>
      </c>
    </row>
    <row r="2895" spans="1:33">
      <c r="A2895" s="20" t="s">
        <v>6859</v>
      </c>
      <c r="B2895" s="151"/>
      <c r="C2895" s="21" t="s">
        <v>5088</v>
      </c>
      <c r="D2895" s="109" t="s">
        <v>13293</v>
      </c>
      <c r="E2895" s="109"/>
      <c r="F2895" s="391" t="s">
        <v>16000</v>
      </c>
      <c r="G2895" s="23" t="s">
        <v>5333</v>
      </c>
      <c r="H2895" s="23"/>
      <c r="I2895" s="23"/>
      <c r="J2895" s="23"/>
      <c r="K2895" s="23"/>
      <c r="L2895" s="375"/>
      <c r="M2895" s="351"/>
      <c r="N2895" s="267">
        <f t="shared" si="695"/>
        <v>0</v>
      </c>
      <c r="O2895" s="268">
        <f t="shared" si="696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3"/>
      <c r="Z2895" s="237"/>
      <c r="AA2895" s="279"/>
      <c r="AB2895" s="238"/>
      <c r="AC2895" s="196">
        <f t="shared" si="677"/>
        <v>0</v>
      </c>
      <c r="AD2895" s="196">
        <f t="shared" si="678"/>
        <v>0</v>
      </c>
      <c r="AE2895" s="196">
        <f t="shared" si="679"/>
        <v>0</v>
      </c>
      <c r="AF2895" s="2">
        <f t="shared" si="680"/>
        <v>0</v>
      </c>
      <c r="AG2895" s="2">
        <f t="shared" si="681"/>
        <v>0</v>
      </c>
    </row>
    <row r="2896" spans="1:33">
      <c r="A2896" s="20" t="s">
        <v>12634</v>
      </c>
      <c r="B2896" s="151"/>
      <c r="C2896" s="21" t="s">
        <v>5088</v>
      </c>
      <c r="D2896" s="109" t="s">
        <v>13293</v>
      </c>
      <c r="E2896" s="202" t="s">
        <v>16001</v>
      </c>
      <c r="F2896" s="391" t="s">
        <v>16000</v>
      </c>
      <c r="G2896" s="23" t="s">
        <v>15688</v>
      </c>
      <c r="H2896" s="23"/>
      <c r="I2896" s="23"/>
      <c r="J2896" s="23"/>
      <c r="K2896" s="23"/>
      <c r="L2896" s="375" t="s">
        <v>7787</v>
      </c>
      <c r="M2896" s="351" t="s">
        <v>7787</v>
      </c>
      <c r="N2896" s="267">
        <f t="shared" si="695"/>
        <v>0</v>
      </c>
      <c r="O2896" s="268">
        <f t="shared" si="696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7"/>
        <v>0</v>
      </c>
      <c r="AD2896" s="196">
        <f t="shared" si="678"/>
        <v>0</v>
      </c>
      <c r="AE2896" s="196">
        <f t="shared" si="679"/>
        <v>0</v>
      </c>
      <c r="AF2896" s="2">
        <f t="shared" si="680"/>
        <v>0</v>
      </c>
      <c r="AG2896" s="2">
        <f t="shared" si="681"/>
        <v>0</v>
      </c>
    </row>
    <row r="2897" spans="1:33">
      <c r="A2897" s="377" t="s">
        <v>6859</v>
      </c>
      <c r="B2897" s="151"/>
      <c r="C2897" s="21" t="s">
        <v>16002</v>
      </c>
      <c r="D2897" s="109" t="s">
        <v>13293</v>
      </c>
      <c r="E2897" s="109"/>
      <c r="F2897" s="391" t="s">
        <v>15999</v>
      </c>
      <c r="G2897" s="23" t="s">
        <v>15688</v>
      </c>
      <c r="H2897" s="23"/>
      <c r="I2897" s="23"/>
      <c r="J2897" s="23"/>
      <c r="K2897" s="23"/>
      <c r="L2897" s="375"/>
      <c r="M2897" s="351" t="s">
        <v>7787</v>
      </c>
      <c r="N2897" s="267">
        <f t="shared" si="695"/>
        <v>0</v>
      </c>
      <c r="O2897" s="268">
        <f t="shared" si="696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7"/>
        <v>0</v>
      </c>
      <c r="AD2897" s="196">
        <f t="shared" si="678"/>
        <v>0</v>
      </c>
      <c r="AE2897" s="196">
        <f t="shared" si="679"/>
        <v>0</v>
      </c>
      <c r="AF2897" s="2">
        <f t="shared" si="680"/>
        <v>0</v>
      </c>
      <c r="AG2897" s="2">
        <f t="shared" si="681"/>
        <v>0</v>
      </c>
    </row>
    <row r="2898" spans="1:33">
      <c r="A2898" s="20" t="s">
        <v>22898</v>
      </c>
      <c r="B2898" s="151"/>
      <c r="C2898" s="21" t="s">
        <v>9116</v>
      </c>
      <c r="D2898" s="109" t="s">
        <v>3097</v>
      </c>
      <c r="E2898" s="109" t="s">
        <v>22742</v>
      </c>
      <c r="F2898" s="391" t="s">
        <v>5090</v>
      </c>
      <c r="G2898" s="23"/>
      <c r="H2898" s="23"/>
      <c r="I2898" s="23"/>
      <c r="J2898" s="23"/>
      <c r="K2898" s="23"/>
      <c r="L2898" s="375"/>
      <c r="M2898" s="351"/>
      <c r="N2898" s="267">
        <f t="shared" si="695"/>
        <v>0</v>
      </c>
      <c r="O2898" s="268">
        <f t="shared" si="696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7"/>
        <v>0</v>
      </c>
      <c r="AD2898" s="196">
        <f t="shared" si="678"/>
        <v>0</v>
      </c>
      <c r="AE2898" s="196">
        <f t="shared" si="679"/>
        <v>0</v>
      </c>
      <c r="AF2898" s="2">
        <f t="shared" si="680"/>
        <v>0</v>
      </c>
      <c r="AG2898" s="2">
        <f t="shared" si="681"/>
        <v>0</v>
      </c>
    </row>
    <row r="2899" spans="1:33">
      <c r="A2899" s="20" t="s">
        <v>12914</v>
      </c>
      <c r="B2899" s="151"/>
      <c r="C2899" s="21" t="s">
        <v>16003</v>
      </c>
      <c r="D2899" s="109" t="s">
        <v>13293</v>
      </c>
      <c r="E2899" s="109"/>
      <c r="F2899" s="391" t="s">
        <v>15999</v>
      </c>
      <c r="G2899" s="23"/>
      <c r="H2899" s="23"/>
      <c r="I2899" s="23"/>
      <c r="J2899" s="23"/>
      <c r="K2899" s="23"/>
      <c r="L2899" s="375" t="s">
        <v>7787</v>
      </c>
      <c r="M2899" s="351" t="s">
        <v>7787</v>
      </c>
      <c r="N2899" s="267">
        <f t="shared" si="695"/>
        <v>0</v>
      </c>
      <c r="O2899" s="268">
        <f t="shared" si="696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7"/>
        <v>0</v>
      </c>
      <c r="AD2899" s="196">
        <f t="shared" si="678"/>
        <v>0</v>
      </c>
      <c r="AE2899" s="196">
        <f t="shared" si="679"/>
        <v>0</v>
      </c>
      <c r="AF2899" s="2">
        <f t="shared" si="680"/>
        <v>0</v>
      </c>
      <c r="AG2899" s="2">
        <f t="shared" si="681"/>
        <v>0</v>
      </c>
    </row>
    <row r="2900" spans="1:33">
      <c r="A2900" s="20" t="s">
        <v>12915</v>
      </c>
      <c r="B2900" s="151"/>
      <c r="C2900" s="21" t="s">
        <v>12683</v>
      </c>
      <c r="D2900" s="109" t="s">
        <v>13293</v>
      </c>
      <c r="E2900" s="109"/>
      <c r="F2900" s="391" t="s">
        <v>15999</v>
      </c>
      <c r="G2900" s="23"/>
      <c r="H2900" s="23"/>
      <c r="I2900" s="23"/>
      <c r="J2900" s="23"/>
      <c r="K2900" s="23"/>
      <c r="L2900" s="375" t="s">
        <v>7787</v>
      </c>
      <c r="M2900" s="351" t="s">
        <v>7787</v>
      </c>
      <c r="N2900" s="267">
        <f t="shared" si="695"/>
        <v>0</v>
      </c>
      <c r="O2900" s="268">
        <f t="shared" si="696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7"/>
        <v>0</v>
      </c>
      <c r="AD2900" s="196">
        <f t="shared" si="678"/>
        <v>0</v>
      </c>
      <c r="AE2900" s="196">
        <f t="shared" si="679"/>
        <v>0</v>
      </c>
      <c r="AF2900" s="2">
        <f t="shared" si="680"/>
        <v>0</v>
      </c>
      <c r="AG2900" s="2">
        <f t="shared" si="681"/>
        <v>0</v>
      </c>
    </row>
    <row r="2901" spans="1:33">
      <c r="A2901" s="20" t="s">
        <v>20229</v>
      </c>
      <c r="B2901" s="151"/>
      <c r="C2901" s="21" t="s">
        <v>20250</v>
      </c>
      <c r="D2901" s="109" t="s">
        <v>3097</v>
      </c>
      <c r="E2901" s="109"/>
      <c r="F2901" s="391" t="s">
        <v>5090</v>
      </c>
      <c r="G2901" s="23" t="s">
        <v>20251</v>
      </c>
      <c r="H2901" s="23"/>
      <c r="I2901" s="23"/>
      <c r="J2901" s="23"/>
      <c r="K2901" s="23"/>
      <c r="L2901" s="375"/>
      <c r="M2901" s="351"/>
      <c r="N2901" s="267">
        <f t="shared" si="695"/>
        <v>0</v>
      </c>
      <c r="O2901" s="268">
        <f t="shared" si="696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7"/>
        <v>0</v>
      </c>
      <c r="AD2901" s="196">
        <f t="shared" si="678"/>
        <v>0</v>
      </c>
      <c r="AE2901" s="196">
        <f t="shared" si="679"/>
        <v>0</v>
      </c>
      <c r="AF2901" s="2">
        <f t="shared" si="680"/>
        <v>0</v>
      </c>
      <c r="AG2901" s="2">
        <f t="shared" si="681"/>
        <v>0</v>
      </c>
    </row>
    <row r="2902" spans="1:33">
      <c r="A2902" s="20" t="s">
        <v>20230</v>
      </c>
      <c r="B2902" s="151"/>
      <c r="C2902" s="21" t="s">
        <v>20265</v>
      </c>
      <c r="D2902" s="109" t="s">
        <v>3097</v>
      </c>
      <c r="E2902" s="109"/>
      <c r="F2902" s="391" t="s">
        <v>5090</v>
      </c>
      <c r="G2902" s="23" t="s">
        <v>20251</v>
      </c>
      <c r="H2902" s="23"/>
      <c r="I2902" s="23"/>
      <c r="J2902" s="23"/>
      <c r="K2902" s="23"/>
      <c r="L2902" s="375"/>
      <c r="M2902" s="351" t="s">
        <v>7787</v>
      </c>
      <c r="N2902" s="267">
        <f t="shared" si="695"/>
        <v>0</v>
      </c>
      <c r="O2902" s="268">
        <f t="shared" si="696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7"/>
        <v>0</v>
      </c>
      <c r="AD2902" s="196">
        <f t="shared" si="678"/>
        <v>0</v>
      </c>
      <c r="AE2902" s="196">
        <f t="shared" si="679"/>
        <v>0</v>
      </c>
      <c r="AF2902" s="2">
        <f t="shared" si="680"/>
        <v>0</v>
      </c>
      <c r="AG2902" s="2">
        <f t="shared" si="681"/>
        <v>0</v>
      </c>
    </row>
    <row r="2903" spans="1:33">
      <c r="A2903" s="20" t="s">
        <v>21451</v>
      </c>
      <c r="B2903" s="151"/>
      <c r="C2903" s="21" t="s">
        <v>20993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45</v>
      </c>
      <c r="M2903" s="351" t="s">
        <v>45</v>
      </c>
      <c r="N2903" s="267">
        <f t="shared" si="695"/>
        <v>0</v>
      </c>
      <c r="O2903" s="268">
        <f t="shared" si="696"/>
        <v>0</v>
      </c>
      <c r="P2903" s="239"/>
      <c r="Q2903" s="239"/>
      <c r="R2903" s="239"/>
      <c r="S2903" s="239"/>
      <c r="T2903" s="239"/>
      <c r="U2903" s="240"/>
      <c r="V2903" s="240"/>
      <c r="W2903" s="240"/>
      <c r="X2903" s="278"/>
      <c r="Y2903" s="248"/>
      <c r="Z2903" s="237"/>
      <c r="AA2903" s="279"/>
      <c r="AB2903" s="238"/>
      <c r="AC2903" s="196">
        <f t="shared" si="677"/>
        <v>0</v>
      </c>
      <c r="AD2903" s="196">
        <f t="shared" si="678"/>
        <v>0</v>
      </c>
      <c r="AE2903" s="196">
        <f t="shared" si="679"/>
        <v>0</v>
      </c>
      <c r="AF2903" s="2">
        <f t="shared" si="680"/>
        <v>0</v>
      </c>
      <c r="AG2903" s="2">
        <f t="shared" si="681"/>
        <v>0</v>
      </c>
    </row>
    <row r="2904" spans="1:33">
      <c r="A2904" s="20" t="s">
        <v>21772</v>
      </c>
      <c r="B2904" s="151"/>
      <c r="C2904" s="21" t="s">
        <v>21800</v>
      </c>
      <c r="D2904" s="109" t="s">
        <v>3097</v>
      </c>
      <c r="E2904" s="109"/>
      <c r="F2904" s="391" t="s">
        <v>5090</v>
      </c>
      <c r="G2904" s="23" t="s">
        <v>13341</v>
      </c>
      <c r="H2904" s="23"/>
      <c r="I2904" s="23"/>
      <c r="J2904" s="23"/>
      <c r="K2904" s="23"/>
      <c r="L2904" s="375" t="s">
        <v>7787</v>
      </c>
      <c r="M2904" s="351" t="s">
        <v>7787</v>
      </c>
      <c r="N2904" s="267">
        <f t="shared" si="695"/>
        <v>0</v>
      </c>
      <c r="O2904" s="268">
        <f t="shared" si="696"/>
        <v>0</v>
      </c>
      <c r="P2904" s="239"/>
      <c r="Q2904" s="239"/>
      <c r="R2904" s="239"/>
      <c r="S2904" s="239"/>
      <c r="T2904" s="239"/>
      <c r="U2904" s="240"/>
      <c r="V2904" s="240"/>
      <c r="W2904" s="240"/>
      <c r="X2904" s="278"/>
      <c r="Y2904" s="248"/>
      <c r="Z2904" s="237"/>
      <c r="AA2904" s="279"/>
      <c r="AB2904" s="238"/>
      <c r="AC2904" s="196">
        <f t="shared" si="677"/>
        <v>0</v>
      </c>
      <c r="AD2904" s="196">
        <f t="shared" si="678"/>
        <v>0</v>
      </c>
      <c r="AE2904" s="196">
        <f t="shared" si="679"/>
        <v>0</v>
      </c>
      <c r="AF2904" s="2">
        <f t="shared" si="680"/>
        <v>0</v>
      </c>
      <c r="AG2904" s="2">
        <f t="shared" si="681"/>
        <v>0</v>
      </c>
    </row>
    <row r="2905" spans="1:33">
      <c r="A2905" s="20" t="s">
        <v>23365</v>
      </c>
      <c r="B2905" s="151"/>
      <c r="C2905" s="21" t="s">
        <v>23416</v>
      </c>
      <c r="D2905" s="109" t="s">
        <v>3097</v>
      </c>
      <c r="E2905" s="109"/>
      <c r="F2905" s="391" t="s">
        <v>5090</v>
      </c>
      <c r="G2905" s="23" t="s">
        <v>13341</v>
      </c>
      <c r="H2905" s="23"/>
      <c r="I2905" s="23"/>
      <c r="J2905" s="23"/>
      <c r="K2905" s="23"/>
      <c r="L2905" s="375" t="s">
        <v>45</v>
      </c>
      <c r="M2905" s="351" t="s">
        <v>7787</v>
      </c>
      <c r="N2905" s="267">
        <f t="shared" si="695"/>
        <v>0</v>
      </c>
      <c r="O2905" s="268">
        <f t="shared" si="696"/>
        <v>1500</v>
      </c>
      <c r="P2905" s="239"/>
      <c r="Q2905" s="239"/>
      <c r="R2905" s="239"/>
      <c r="S2905" s="239"/>
      <c r="T2905" s="239"/>
      <c r="U2905" s="240"/>
      <c r="V2905" s="240">
        <f>2200+4400-3600+1700-3600+900-500</f>
        <v>1500</v>
      </c>
      <c r="W2905" s="240"/>
      <c r="X2905" s="278"/>
      <c r="Y2905" s="248"/>
      <c r="Z2905" s="237"/>
      <c r="AA2905" s="279"/>
      <c r="AB2905" s="238" t="s">
        <v>26406</v>
      </c>
      <c r="AC2905" s="196">
        <f t="shared" si="677"/>
        <v>1500</v>
      </c>
      <c r="AD2905" s="196">
        <f t="shared" si="678"/>
        <v>1500</v>
      </c>
      <c r="AE2905" s="196">
        <f t="shared" si="679"/>
        <v>0</v>
      </c>
      <c r="AF2905" s="2">
        <f t="shared" si="680"/>
        <v>1500</v>
      </c>
      <c r="AG2905" s="2">
        <f t="shared" si="681"/>
        <v>0</v>
      </c>
    </row>
    <row r="2906" spans="1:33">
      <c r="A2906" s="20" t="s">
        <v>11846</v>
      </c>
      <c r="B2906" s="151"/>
      <c r="C2906" s="21" t="s">
        <v>16002</v>
      </c>
      <c r="D2906" s="109" t="s">
        <v>13293</v>
      </c>
      <c r="E2906" s="109" t="s">
        <v>16004</v>
      </c>
      <c r="F2906" s="391" t="s">
        <v>15999</v>
      </c>
      <c r="G2906" s="23"/>
      <c r="H2906" s="23"/>
      <c r="I2906" s="23"/>
      <c r="J2906" s="23"/>
      <c r="K2906" s="23"/>
      <c r="L2906" s="375"/>
      <c r="M2906" s="351" t="s">
        <v>7787</v>
      </c>
      <c r="N2906" s="267">
        <f t="shared" si="695"/>
        <v>0</v>
      </c>
      <c r="O2906" s="268">
        <f t="shared" si="696"/>
        <v>0</v>
      </c>
      <c r="P2906" s="239"/>
      <c r="Q2906" s="239"/>
      <c r="R2906" s="239"/>
      <c r="S2906" s="239"/>
      <c r="T2906" s="239"/>
      <c r="U2906" s="240"/>
      <c r="V2906" s="240"/>
      <c r="W2906" s="240"/>
      <c r="X2906" s="278"/>
      <c r="Y2906" s="237"/>
      <c r="Z2906" s="237"/>
      <c r="AA2906" s="279"/>
      <c r="AB2906" s="238"/>
      <c r="AC2906" s="196">
        <f t="shared" si="677"/>
        <v>0</v>
      </c>
      <c r="AD2906" s="196">
        <f t="shared" si="678"/>
        <v>0</v>
      </c>
      <c r="AE2906" s="196">
        <f t="shared" si="679"/>
        <v>0</v>
      </c>
      <c r="AF2906" s="2">
        <f t="shared" si="680"/>
        <v>0</v>
      </c>
      <c r="AG2906" s="2">
        <f t="shared" si="681"/>
        <v>0</v>
      </c>
    </row>
    <row r="2907" spans="1:33">
      <c r="A2907" s="20" t="s">
        <v>2604</v>
      </c>
      <c r="B2907" s="161"/>
      <c r="C2907" s="21" t="s">
        <v>581</v>
      </c>
      <c r="D2907" s="109" t="s">
        <v>15717</v>
      </c>
      <c r="E2907" s="109" t="s">
        <v>15754</v>
      </c>
      <c r="F2907" s="391" t="s">
        <v>16005</v>
      </c>
      <c r="G2907" s="23" t="s">
        <v>13863</v>
      </c>
      <c r="H2907" s="23"/>
      <c r="I2907" s="23"/>
      <c r="J2907" s="23"/>
      <c r="K2907" s="23"/>
      <c r="L2907" s="350"/>
      <c r="M2907" s="351"/>
      <c r="N2907" s="267">
        <f t="shared" si="695"/>
        <v>0</v>
      </c>
      <c r="O2907" s="268">
        <f t="shared" si="696"/>
        <v>0</v>
      </c>
      <c r="P2907" s="239"/>
      <c r="Q2907" s="239"/>
      <c r="R2907" s="239"/>
      <c r="S2907" s="239"/>
      <c r="T2907" s="239"/>
      <c r="U2907" s="240"/>
      <c r="V2907" s="240"/>
      <c r="W2907" s="240">
        <v>0</v>
      </c>
      <c r="X2907" s="278"/>
      <c r="Y2907" s="239"/>
      <c r="Z2907" s="237"/>
      <c r="AA2907" s="279"/>
      <c r="AB2907" s="238"/>
      <c r="AC2907" s="196">
        <f t="shared" si="677"/>
        <v>0</v>
      </c>
      <c r="AD2907" s="196">
        <f t="shared" si="678"/>
        <v>0</v>
      </c>
      <c r="AE2907" s="196">
        <f t="shared" si="679"/>
        <v>0</v>
      </c>
      <c r="AF2907" s="2">
        <f t="shared" si="680"/>
        <v>0</v>
      </c>
      <c r="AG2907" s="2">
        <f t="shared" si="681"/>
        <v>0</v>
      </c>
    </row>
    <row r="2908" spans="1:33">
      <c r="A2908" s="20" t="s">
        <v>2605</v>
      </c>
      <c r="B2908" s="152" t="s">
        <v>5873</v>
      </c>
      <c r="C2908" s="21" t="s">
        <v>581</v>
      </c>
      <c r="D2908" s="109" t="s">
        <v>15717</v>
      </c>
      <c r="E2908" s="109"/>
      <c r="F2908" s="391" t="s">
        <v>16005</v>
      </c>
      <c r="G2908" s="23" t="s">
        <v>13863</v>
      </c>
      <c r="H2908" s="23" t="s">
        <v>13888</v>
      </c>
      <c r="I2908" s="23"/>
      <c r="J2908" s="23"/>
      <c r="K2908" s="23"/>
      <c r="L2908" s="375"/>
      <c r="M2908" s="351"/>
      <c r="N2908" s="267">
        <f t="shared" si="695"/>
        <v>0</v>
      </c>
      <c r="O2908" s="268">
        <f t="shared" si="696"/>
        <v>0</v>
      </c>
      <c r="P2908" s="239"/>
      <c r="Q2908" s="240"/>
      <c r="R2908" s="239"/>
      <c r="S2908" s="239"/>
      <c r="T2908" s="239"/>
      <c r="U2908" s="240"/>
      <c r="V2908" s="240"/>
      <c r="W2908" s="240">
        <v>0</v>
      </c>
      <c r="X2908" s="278"/>
      <c r="Y2908" s="237"/>
      <c r="Z2908" s="237"/>
      <c r="AA2908" s="248"/>
      <c r="AB2908" s="238"/>
      <c r="AC2908" s="196">
        <f t="shared" si="677"/>
        <v>0</v>
      </c>
      <c r="AD2908" s="196">
        <f t="shared" si="678"/>
        <v>0</v>
      </c>
      <c r="AE2908" s="196">
        <f t="shared" si="679"/>
        <v>0</v>
      </c>
      <c r="AF2908" s="2">
        <f t="shared" si="680"/>
        <v>0</v>
      </c>
      <c r="AG2908" s="2">
        <f t="shared" si="681"/>
        <v>0</v>
      </c>
    </row>
    <row r="2909" spans="1:33">
      <c r="A2909" s="20" t="s">
        <v>2606</v>
      </c>
      <c r="B2909" s="150"/>
      <c r="C2909" s="21" t="s">
        <v>581</v>
      </c>
      <c r="D2909" s="109" t="s">
        <v>13866</v>
      </c>
      <c r="E2909" s="109"/>
      <c r="F2909" s="391" t="s">
        <v>16005</v>
      </c>
      <c r="G2909" s="23" t="s">
        <v>15759</v>
      </c>
      <c r="H2909" s="23"/>
      <c r="I2909" s="23"/>
      <c r="J2909" s="23"/>
      <c r="K2909" s="23"/>
      <c r="L2909" s="350"/>
      <c r="M2909" s="351"/>
      <c r="N2909" s="267">
        <f t="shared" si="695"/>
        <v>0</v>
      </c>
      <c r="O2909" s="268">
        <f t="shared" si="696"/>
        <v>0</v>
      </c>
      <c r="P2909" s="239"/>
      <c r="Q2909" s="239"/>
      <c r="R2909" s="239"/>
      <c r="S2909" s="239"/>
      <c r="T2909" s="239"/>
      <c r="U2909" s="240"/>
      <c r="V2909" s="240"/>
      <c r="W2909" s="240"/>
      <c r="X2909" s="278"/>
      <c r="Y2909" s="237"/>
      <c r="Z2909" s="237"/>
      <c r="AA2909" s="279"/>
      <c r="AB2909" s="238"/>
      <c r="AC2909" s="196">
        <f t="shared" si="677"/>
        <v>0</v>
      </c>
      <c r="AD2909" s="196">
        <f t="shared" si="678"/>
        <v>0</v>
      </c>
      <c r="AE2909" s="196">
        <f t="shared" si="679"/>
        <v>0</v>
      </c>
      <c r="AF2909" s="2">
        <f t="shared" si="680"/>
        <v>0</v>
      </c>
      <c r="AG2909" s="2">
        <f t="shared" si="681"/>
        <v>0</v>
      </c>
    </row>
    <row r="2910" spans="1:33">
      <c r="A2910" s="20" t="s">
        <v>2607</v>
      </c>
      <c r="B2910" s="150"/>
      <c r="C2910" s="21" t="s">
        <v>582</v>
      </c>
      <c r="D2910" s="109" t="s">
        <v>15758</v>
      </c>
      <c r="E2910" s="381" t="s">
        <v>15690</v>
      </c>
      <c r="F2910" s="391" t="s">
        <v>16006</v>
      </c>
      <c r="G2910" s="23" t="s">
        <v>16007</v>
      </c>
      <c r="H2910" s="23" t="s">
        <v>16008</v>
      </c>
      <c r="I2910" s="23" t="s">
        <v>16009</v>
      </c>
      <c r="J2910" s="23" t="s">
        <v>13968</v>
      </c>
      <c r="K2910" s="23" t="s">
        <v>13349</v>
      </c>
      <c r="L2910" s="375" t="s">
        <v>7787</v>
      </c>
      <c r="M2910" s="351" t="s">
        <v>7787</v>
      </c>
      <c r="N2910" s="267">
        <f t="shared" si="695"/>
        <v>0</v>
      </c>
      <c r="O2910" s="268">
        <f t="shared" si="696"/>
        <v>0</v>
      </c>
      <c r="P2910" s="239"/>
      <c r="Q2910" s="239"/>
      <c r="R2910" s="239"/>
      <c r="S2910" s="239"/>
      <c r="T2910" s="239"/>
      <c r="U2910" s="240"/>
      <c r="V2910" s="240"/>
      <c r="W2910" s="240"/>
      <c r="X2910" s="278"/>
      <c r="Y2910" s="237"/>
      <c r="Z2910" s="237"/>
      <c r="AA2910" s="279"/>
      <c r="AB2910" s="238"/>
      <c r="AC2910" s="196">
        <f t="shared" si="677"/>
        <v>0</v>
      </c>
      <c r="AD2910" s="196">
        <f t="shared" si="678"/>
        <v>0</v>
      </c>
      <c r="AE2910" s="196">
        <f t="shared" si="679"/>
        <v>0</v>
      </c>
      <c r="AF2910" s="2">
        <f t="shared" si="680"/>
        <v>0</v>
      </c>
      <c r="AG2910" s="2">
        <f t="shared" si="681"/>
        <v>0</v>
      </c>
    </row>
    <row r="2911" spans="1:33">
      <c r="A2911" s="20" t="s">
        <v>20231</v>
      </c>
      <c r="B2911" s="150"/>
      <c r="C2911" s="21" t="s">
        <v>582</v>
      </c>
      <c r="D2911" s="109" t="s">
        <v>3137</v>
      </c>
      <c r="E2911" s="381"/>
      <c r="F2911" s="391" t="s">
        <v>5091</v>
      </c>
      <c r="G2911" s="23" t="s">
        <v>20188</v>
      </c>
      <c r="H2911" s="23"/>
      <c r="I2911" s="23"/>
      <c r="J2911" s="23"/>
      <c r="K2911" s="23"/>
      <c r="L2911" s="375" t="s">
        <v>7787</v>
      </c>
      <c r="M2911" s="351" t="s">
        <v>7787</v>
      </c>
      <c r="N2911" s="267">
        <f t="shared" si="695"/>
        <v>0</v>
      </c>
      <c r="O2911" s="268">
        <f t="shared" si="696"/>
        <v>0</v>
      </c>
      <c r="P2911" s="239"/>
      <c r="Q2911" s="239"/>
      <c r="R2911" s="239"/>
      <c r="S2911" s="239"/>
      <c r="T2911" s="239"/>
      <c r="U2911" s="239"/>
      <c r="V2911" s="244"/>
      <c r="W2911" s="240"/>
      <c r="X2911" s="278"/>
      <c r="Y2911" s="237"/>
      <c r="Z2911" s="237"/>
      <c r="AA2911" s="279"/>
      <c r="AB2911" s="238"/>
      <c r="AC2911" s="196">
        <f t="shared" si="677"/>
        <v>0</v>
      </c>
      <c r="AD2911" s="196">
        <f t="shared" si="678"/>
        <v>0</v>
      </c>
      <c r="AE2911" s="196">
        <f t="shared" si="679"/>
        <v>0</v>
      </c>
      <c r="AF2911" s="2">
        <f t="shared" si="680"/>
        <v>0</v>
      </c>
      <c r="AG2911" s="2">
        <f t="shared" si="681"/>
        <v>0</v>
      </c>
    </row>
    <row r="2912" spans="1:33">
      <c r="A2912" s="20" t="s">
        <v>2608</v>
      </c>
      <c r="B2912" s="173" t="s">
        <v>16010</v>
      </c>
      <c r="C2912" s="21" t="s">
        <v>583</v>
      </c>
      <c r="D2912" s="109" t="s">
        <v>13723</v>
      </c>
      <c r="E2912" s="109"/>
      <c r="F2912" s="391" t="s">
        <v>16011</v>
      </c>
      <c r="G2912" s="23" t="s">
        <v>16012</v>
      </c>
      <c r="H2912" s="23" t="s">
        <v>22677</v>
      </c>
      <c r="I2912" s="23"/>
      <c r="J2912" s="23"/>
      <c r="K2912" s="23"/>
      <c r="L2912" s="375">
        <v>150</v>
      </c>
      <c r="M2912" s="351" t="s">
        <v>7787</v>
      </c>
      <c r="N2912" s="267">
        <f t="shared" si="695"/>
        <v>150</v>
      </c>
      <c r="O2912" s="268">
        <f t="shared" si="696"/>
        <v>0</v>
      </c>
      <c r="P2912" s="239"/>
      <c r="Q2912" s="239"/>
      <c r="R2912" s="239"/>
      <c r="S2912" s="239"/>
      <c r="T2912" s="239"/>
      <c r="U2912" s="239"/>
      <c r="V2912" s="239"/>
      <c r="W2912" s="240"/>
      <c r="X2912" s="278"/>
      <c r="Y2912" s="237"/>
      <c r="Z2912" s="237"/>
      <c r="AA2912" s="279"/>
      <c r="AB2912" s="238"/>
      <c r="AC2912" s="196">
        <f t="shared" si="677"/>
        <v>0</v>
      </c>
      <c r="AD2912" s="196">
        <f t="shared" si="678"/>
        <v>0</v>
      </c>
      <c r="AE2912" s="196">
        <f t="shared" si="679"/>
        <v>0</v>
      </c>
      <c r="AF2912" s="2">
        <f t="shared" si="680"/>
        <v>0</v>
      </c>
      <c r="AG2912" s="2">
        <f t="shared" si="681"/>
        <v>0</v>
      </c>
    </row>
    <row r="2913" spans="1:33">
      <c r="A2913" s="20" t="s">
        <v>2608</v>
      </c>
      <c r="B2913" s="173"/>
      <c r="C2913" s="21" t="s">
        <v>583</v>
      </c>
      <c r="D2913" s="109" t="s">
        <v>13723</v>
      </c>
      <c r="E2913" s="109" t="s">
        <v>16013</v>
      </c>
      <c r="F2913" s="391" t="s">
        <v>16011</v>
      </c>
      <c r="G2913" s="23" t="s">
        <v>15100</v>
      </c>
      <c r="H2913" s="23" t="s">
        <v>16012</v>
      </c>
      <c r="I2913" s="23"/>
      <c r="J2913" s="23"/>
      <c r="K2913" s="23"/>
      <c r="L2913" s="375"/>
      <c r="M2913" s="351" t="s">
        <v>7787</v>
      </c>
      <c r="N2913" s="267">
        <f t="shared" si="695"/>
        <v>0</v>
      </c>
      <c r="O2913" s="268">
        <f t="shared" si="696"/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si="677"/>
        <v>0</v>
      </c>
      <c r="AD2913" s="196">
        <f t="shared" si="678"/>
        <v>0</v>
      </c>
      <c r="AE2913" s="196">
        <f t="shared" si="679"/>
        <v>0</v>
      </c>
      <c r="AF2913" s="2">
        <f t="shared" si="680"/>
        <v>0</v>
      </c>
      <c r="AG2913" s="2">
        <f t="shared" si="681"/>
        <v>0</v>
      </c>
    </row>
    <row r="2914" spans="1:33">
      <c r="A2914" s="20"/>
      <c r="B2914" s="173"/>
      <c r="C2914" s="21" t="s">
        <v>583</v>
      </c>
      <c r="D2914" s="109" t="s">
        <v>4064</v>
      </c>
      <c r="E2914" s="109" t="s">
        <v>27341</v>
      </c>
      <c r="F2914" s="391" t="s">
        <v>27339</v>
      </c>
      <c r="G2914" s="23" t="s">
        <v>27340</v>
      </c>
      <c r="H2914" s="23"/>
      <c r="I2914" s="23"/>
      <c r="J2914" s="23"/>
      <c r="K2914" s="23"/>
      <c r="L2914" s="375"/>
      <c r="M2914" s="351" t="s">
        <v>7787</v>
      </c>
      <c r="N2914" s="267">
        <f t="shared" ref="N2914" si="697">SUM(L2914:M2914)</f>
        <v>0</v>
      </c>
      <c r="O2914" s="268">
        <f t="shared" ref="O2914" si="698">SUM(P2914:Z2914)</f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ref="AC2914" si="699">SUM(P2914:AA2914)</f>
        <v>0</v>
      </c>
      <c r="AD2914" s="196">
        <f t="shared" ref="AD2914" si="700">SUM(P2914:AB2914)</f>
        <v>0</v>
      </c>
      <c r="AE2914" s="196">
        <f t="shared" ref="AE2914" si="701">SUM(AC2914-AD2914)</f>
        <v>0</v>
      </c>
      <c r="AF2914" s="2">
        <f t="shared" ref="AF2914" si="702">+AC2914</f>
        <v>0</v>
      </c>
      <c r="AG2914" s="2">
        <f t="shared" ref="AG2914" si="703">+AC2914-AF2914</f>
        <v>0</v>
      </c>
    </row>
    <row r="2915" spans="1:33">
      <c r="A2915" s="20" t="s">
        <v>2608</v>
      </c>
      <c r="B2915" s="173"/>
      <c r="C2915" s="21" t="s">
        <v>583</v>
      </c>
      <c r="D2915" s="109" t="s">
        <v>15097</v>
      </c>
      <c r="E2915" s="109"/>
      <c r="F2915" s="391" t="s">
        <v>16011</v>
      </c>
      <c r="G2915" s="23" t="s">
        <v>15100</v>
      </c>
      <c r="H2915" s="23"/>
      <c r="I2915" s="23"/>
      <c r="J2915" s="23"/>
      <c r="K2915" s="23"/>
      <c r="L2915" s="375" t="s">
        <v>7787</v>
      </c>
      <c r="M2915" s="351"/>
      <c r="N2915" s="267">
        <f t="shared" si="695"/>
        <v>0</v>
      </c>
      <c r="O2915" s="268">
        <f t="shared" si="696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7"/>
        <v>0</v>
      </c>
      <c r="AD2915" s="196">
        <f t="shared" si="678"/>
        <v>0</v>
      </c>
      <c r="AE2915" s="196">
        <f t="shared" si="679"/>
        <v>0</v>
      </c>
      <c r="AF2915" s="2">
        <f t="shared" si="680"/>
        <v>0</v>
      </c>
      <c r="AG2915" s="2">
        <f t="shared" si="681"/>
        <v>0</v>
      </c>
    </row>
    <row r="2916" spans="1:33">
      <c r="A2916" s="20" t="s">
        <v>2609</v>
      </c>
      <c r="B2916" s="156" t="s">
        <v>16014</v>
      </c>
      <c r="C2916" s="21" t="s">
        <v>584</v>
      </c>
      <c r="D2916" s="109" t="s">
        <v>13723</v>
      </c>
      <c r="E2916" s="109"/>
      <c r="F2916" s="391" t="s">
        <v>16015</v>
      </c>
      <c r="G2916" s="23" t="s">
        <v>15100</v>
      </c>
      <c r="H2916" s="23" t="s">
        <v>16016</v>
      </c>
      <c r="I2916" s="23"/>
      <c r="J2916" s="23"/>
      <c r="K2916" s="23"/>
      <c r="L2916" s="350"/>
      <c r="M2916" s="357" t="s">
        <v>7787</v>
      </c>
      <c r="N2916" s="267">
        <f t="shared" si="695"/>
        <v>0</v>
      </c>
      <c r="O2916" s="268">
        <f t="shared" si="696"/>
        <v>0</v>
      </c>
      <c r="P2916" s="239"/>
      <c r="Q2916" s="239"/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/>
      <c r="AC2916" s="196">
        <f t="shared" si="677"/>
        <v>0</v>
      </c>
      <c r="AD2916" s="196">
        <f t="shared" si="678"/>
        <v>0</v>
      </c>
      <c r="AE2916" s="196">
        <f t="shared" si="679"/>
        <v>0</v>
      </c>
      <c r="AF2916" s="2">
        <f t="shared" si="680"/>
        <v>0</v>
      </c>
      <c r="AG2916" s="2">
        <f t="shared" si="681"/>
        <v>0</v>
      </c>
    </row>
    <row r="2917" spans="1:33">
      <c r="A2917" s="20" t="s">
        <v>9220</v>
      </c>
      <c r="B2917" s="156"/>
      <c r="C2917" s="21" t="s">
        <v>828</v>
      </c>
      <c r="D2917" s="109" t="s">
        <v>16017</v>
      </c>
      <c r="E2917" s="109" t="s">
        <v>16018</v>
      </c>
      <c r="F2917" s="391" t="s">
        <v>16019</v>
      </c>
      <c r="G2917" s="23" t="s">
        <v>16020</v>
      </c>
      <c r="H2917" s="23"/>
      <c r="I2917" s="23"/>
      <c r="J2917" s="23"/>
      <c r="K2917" s="23"/>
      <c r="L2917" s="375" t="s">
        <v>7787</v>
      </c>
      <c r="M2917" s="357"/>
      <c r="N2917" s="267">
        <f t="shared" si="695"/>
        <v>0</v>
      </c>
      <c r="O2917" s="268">
        <f t="shared" si="696"/>
        <v>0</v>
      </c>
      <c r="P2917" s="239"/>
      <c r="Q2917" s="239"/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/>
      <c r="AC2917" s="196">
        <f t="shared" si="677"/>
        <v>0</v>
      </c>
      <c r="AD2917" s="196">
        <f t="shared" si="678"/>
        <v>0</v>
      </c>
      <c r="AE2917" s="196">
        <f t="shared" si="679"/>
        <v>0</v>
      </c>
      <c r="AF2917" s="2">
        <f t="shared" si="680"/>
        <v>0</v>
      </c>
      <c r="AG2917" s="2">
        <f t="shared" si="681"/>
        <v>0</v>
      </c>
    </row>
    <row r="2918" spans="1:33">
      <c r="A2918" s="20" t="s">
        <v>2757</v>
      </c>
      <c r="B2918" s="150"/>
      <c r="C2918" s="21" t="s">
        <v>828</v>
      </c>
      <c r="D2918" s="109" t="s">
        <v>13723</v>
      </c>
      <c r="E2918" s="109"/>
      <c r="F2918" s="391" t="s">
        <v>16021</v>
      </c>
      <c r="G2918" s="23" t="s">
        <v>16022</v>
      </c>
      <c r="H2918" s="23" t="s">
        <v>16023</v>
      </c>
      <c r="I2918" s="23" t="s">
        <v>14805</v>
      </c>
      <c r="J2918" s="23" t="s">
        <v>16024</v>
      </c>
      <c r="K2918" s="23" t="s">
        <v>21029</v>
      </c>
      <c r="L2918" s="375" t="s">
        <v>45</v>
      </c>
      <c r="M2918" s="351" t="s">
        <v>45</v>
      </c>
      <c r="N2918" s="267">
        <f t="shared" si="695"/>
        <v>0</v>
      </c>
      <c r="O2918" s="268">
        <f t="shared" si="696"/>
        <v>450</v>
      </c>
      <c r="P2918" s="239"/>
      <c r="Q2918" s="239">
        <v>450</v>
      </c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 t="s">
        <v>27260</v>
      </c>
      <c r="AC2918" s="196">
        <f t="shared" si="677"/>
        <v>450</v>
      </c>
      <c r="AD2918" s="196">
        <f t="shared" si="678"/>
        <v>450</v>
      </c>
      <c r="AE2918" s="196">
        <f t="shared" si="679"/>
        <v>0</v>
      </c>
      <c r="AF2918" s="2">
        <f t="shared" si="680"/>
        <v>450</v>
      </c>
      <c r="AG2918" s="2">
        <f t="shared" si="681"/>
        <v>0</v>
      </c>
    </row>
    <row r="2919" spans="1:33">
      <c r="A2919" s="20" t="s">
        <v>2758</v>
      </c>
      <c r="B2919" s="150"/>
      <c r="C2919" s="21" t="s">
        <v>828</v>
      </c>
      <c r="D2919" s="109" t="s">
        <v>13567</v>
      </c>
      <c r="E2919" s="109"/>
      <c r="F2919" s="391" t="s">
        <v>16021</v>
      </c>
      <c r="G2919" s="23"/>
      <c r="H2919" s="23"/>
      <c r="I2919" s="23"/>
      <c r="J2919" s="23"/>
      <c r="K2919" s="23"/>
      <c r="L2919" s="350"/>
      <c r="M2919" s="351"/>
      <c r="N2919" s="267">
        <f t="shared" si="695"/>
        <v>0</v>
      </c>
      <c r="O2919" s="268">
        <f t="shared" si="696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ref="AC2919:AC2982" si="704">SUM(P2919:AA2919)</f>
        <v>0</v>
      </c>
      <c r="AD2919" s="196">
        <f t="shared" ref="AD2919:AD2982" si="705">SUM(P2919:AB2919)</f>
        <v>0</v>
      </c>
      <c r="AE2919" s="196">
        <f t="shared" ref="AE2919:AE2982" si="706">SUM(AC2919-AD2919)</f>
        <v>0</v>
      </c>
      <c r="AF2919" s="2">
        <f t="shared" ref="AF2919:AF2982" si="707">+AC2919</f>
        <v>0</v>
      </c>
      <c r="AG2919" s="2">
        <f t="shared" ref="AG2919:AG2982" si="708">+AC2919-AF2919</f>
        <v>0</v>
      </c>
    </row>
    <row r="2920" spans="1:33">
      <c r="A2920" s="20" t="s">
        <v>2759</v>
      </c>
      <c r="B2920" s="150"/>
      <c r="C2920" s="21" t="s">
        <v>828</v>
      </c>
      <c r="D2920" s="109" t="s">
        <v>13721</v>
      </c>
      <c r="E2920" s="109"/>
      <c r="F2920" s="391" t="s">
        <v>16021</v>
      </c>
      <c r="G2920" s="23" t="s">
        <v>16025</v>
      </c>
      <c r="H2920" s="23"/>
      <c r="I2920" s="23"/>
      <c r="J2920" s="23"/>
      <c r="K2920" s="23"/>
      <c r="L2920" s="350"/>
      <c r="M2920" s="351"/>
      <c r="N2920" s="267">
        <f t="shared" si="695"/>
        <v>0</v>
      </c>
      <c r="O2920" s="268">
        <f t="shared" si="696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4"/>
        <v>0</v>
      </c>
      <c r="AD2920" s="196">
        <f t="shared" si="705"/>
        <v>0</v>
      </c>
      <c r="AE2920" s="196">
        <f t="shared" si="706"/>
        <v>0</v>
      </c>
      <c r="AF2920" s="2">
        <f t="shared" si="707"/>
        <v>0</v>
      </c>
      <c r="AG2920" s="2">
        <f t="shared" si="708"/>
        <v>0</v>
      </c>
    </row>
    <row r="2921" spans="1:33">
      <c r="A2921" s="20" t="s">
        <v>2610</v>
      </c>
      <c r="B2921" s="162"/>
      <c r="C2921" s="21" t="s">
        <v>585</v>
      </c>
      <c r="D2921" s="109" t="s">
        <v>16026</v>
      </c>
      <c r="E2921" s="109"/>
      <c r="F2921" s="391" t="s">
        <v>16027</v>
      </c>
      <c r="G2921" s="23" t="s">
        <v>16028</v>
      </c>
      <c r="H2921" s="23"/>
      <c r="I2921" s="23"/>
      <c r="J2921" s="23"/>
      <c r="K2921" s="23"/>
      <c r="L2921" s="350"/>
      <c r="M2921" s="351"/>
      <c r="N2921" s="267">
        <f t="shared" si="695"/>
        <v>0</v>
      </c>
      <c r="O2921" s="268">
        <f t="shared" si="696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4"/>
        <v>0</v>
      </c>
      <c r="AD2921" s="196">
        <f t="shared" si="705"/>
        <v>0</v>
      </c>
      <c r="AE2921" s="196">
        <f t="shared" si="706"/>
        <v>0</v>
      </c>
      <c r="AF2921" s="2">
        <f t="shared" si="707"/>
        <v>0</v>
      </c>
      <c r="AG2921" s="2">
        <f t="shared" si="708"/>
        <v>0</v>
      </c>
    </row>
    <row r="2922" spans="1:33">
      <c r="A2922" s="20" t="s">
        <v>2611</v>
      </c>
      <c r="B2922" s="162"/>
      <c r="C2922" s="21" t="s">
        <v>585</v>
      </c>
      <c r="D2922" s="109" t="s">
        <v>16026</v>
      </c>
      <c r="E2922" s="109"/>
      <c r="F2922" s="391" t="s">
        <v>16029</v>
      </c>
      <c r="G2922" s="23" t="s">
        <v>13877</v>
      </c>
      <c r="H2922" s="23" t="s">
        <v>16030</v>
      </c>
      <c r="I2922" s="23"/>
      <c r="J2922" s="23"/>
      <c r="K2922" s="23"/>
      <c r="L2922" s="350"/>
      <c r="M2922" s="351"/>
      <c r="N2922" s="267">
        <f t="shared" si="695"/>
        <v>0</v>
      </c>
      <c r="O2922" s="268">
        <f t="shared" si="696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4"/>
        <v>0</v>
      </c>
      <c r="AD2922" s="196">
        <f t="shared" si="705"/>
        <v>0</v>
      </c>
      <c r="AE2922" s="196">
        <f t="shared" si="706"/>
        <v>0</v>
      </c>
      <c r="AF2922" s="2">
        <f t="shared" si="707"/>
        <v>0</v>
      </c>
      <c r="AG2922" s="2">
        <f t="shared" si="708"/>
        <v>0</v>
      </c>
    </row>
    <row r="2923" spans="1:33">
      <c r="A2923" s="20" t="s">
        <v>2612</v>
      </c>
      <c r="B2923" s="150"/>
      <c r="C2923" s="21" t="s">
        <v>586</v>
      </c>
      <c r="D2923" s="109" t="s">
        <v>13315</v>
      </c>
      <c r="E2923" s="109"/>
      <c r="F2923" s="391" t="s">
        <v>16031</v>
      </c>
      <c r="G2923" s="23" t="s">
        <v>13317</v>
      </c>
      <c r="H2923" s="23"/>
      <c r="I2923" s="23"/>
      <c r="J2923" s="23"/>
      <c r="K2923" s="23"/>
      <c r="L2923" s="350"/>
      <c r="M2923" s="351"/>
      <c r="N2923" s="267">
        <f t="shared" si="695"/>
        <v>0</v>
      </c>
      <c r="O2923" s="268">
        <f t="shared" si="696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4"/>
        <v>0</v>
      </c>
      <c r="AD2923" s="196">
        <f t="shared" si="705"/>
        <v>0</v>
      </c>
      <c r="AE2923" s="196">
        <f t="shared" si="706"/>
        <v>0</v>
      </c>
      <c r="AF2923" s="2">
        <f t="shared" si="707"/>
        <v>0</v>
      </c>
      <c r="AG2923" s="2">
        <f t="shared" si="708"/>
        <v>0</v>
      </c>
    </row>
    <row r="2924" spans="1:33">
      <c r="A2924" s="20" t="s">
        <v>2613</v>
      </c>
      <c r="B2924" s="150"/>
      <c r="C2924" s="21" t="s">
        <v>587</v>
      </c>
      <c r="D2924" s="109" t="s">
        <v>13315</v>
      </c>
      <c r="E2924" s="109"/>
      <c r="F2924" s="391" t="s">
        <v>16032</v>
      </c>
      <c r="G2924" s="23" t="s">
        <v>15691</v>
      </c>
      <c r="H2924" s="23"/>
      <c r="I2924" s="23"/>
      <c r="J2924" s="23"/>
      <c r="K2924" s="23"/>
      <c r="L2924" s="350"/>
      <c r="M2924" s="351"/>
      <c r="N2924" s="267">
        <f t="shared" si="695"/>
        <v>0</v>
      </c>
      <c r="O2924" s="268">
        <f t="shared" si="696"/>
        <v>0</v>
      </c>
      <c r="P2924" s="239"/>
      <c r="Q2924" s="239"/>
      <c r="R2924" s="239"/>
      <c r="S2924" s="239"/>
      <c r="T2924" s="239"/>
      <c r="U2924" s="240"/>
      <c r="V2924" s="240"/>
      <c r="W2924" s="240"/>
      <c r="X2924" s="278"/>
      <c r="Y2924" s="237"/>
      <c r="Z2924" s="237"/>
      <c r="AA2924" s="279"/>
      <c r="AB2924" s="238"/>
      <c r="AC2924" s="196">
        <f t="shared" si="704"/>
        <v>0</v>
      </c>
      <c r="AD2924" s="196">
        <f t="shared" si="705"/>
        <v>0</v>
      </c>
      <c r="AE2924" s="196">
        <f t="shared" si="706"/>
        <v>0</v>
      </c>
      <c r="AF2924" s="2">
        <f t="shared" si="707"/>
        <v>0</v>
      </c>
      <c r="AG2924" s="2">
        <f t="shared" si="708"/>
        <v>0</v>
      </c>
    </row>
    <row r="2925" spans="1:33">
      <c r="A2925" s="20" t="s">
        <v>2614</v>
      </c>
      <c r="B2925" s="153" t="s">
        <v>16033</v>
      </c>
      <c r="C2925" s="21" t="s">
        <v>588</v>
      </c>
      <c r="D2925" s="109" t="s">
        <v>15862</v>
      </c>
      <c r="E2925" s="109"/>
      <c r="F2925" s="391" t="s">
        <v>16034</v>
      </c>
      <c r="G2925" s="23" t="s">
        <v>15867</v>
      </c>
      <c r="H2925" s="23"/>
      <c r="I2925" s="23"/>
      <c r="J2925" s="23"/>
      <c r="K2925" s="23"/>
      <c r="L2925" s="350"/>
      <c r="M2925" s="351"/>
      <c r="N2925" s="267">
        <f t="shared" si="695"/>
        <v>0</v>
      </c>
      <c r="O2925" s="268">
        <f t="shared" si="696"/>
        <v>0</v>
      </c>
      <c r="P2925" s="239"/>
      <c r="Q2925" s="239"/>
      <c r="R2925" s="239"/>
      <c r="S2925" s="239"/>
      <c r="T2925" s="239"/>
      <c r="U2925" s="240"/>
      <c r="V2925" s="240"/>
      <c r="W2925" s="240"/>
      <c r="X2925" s="278"/>
      <c r="Y2925" s="237"/>
      <c r="Z2925" s="237"/>
      <c r="AA2925" s="279"/>
      <c r="AB2925" s="238"/>
      <c r="AC2925" s="196">
        <f t="shared" si="704"/>
        <v>0</v>
      </c>
      <c r="AD2925" s="196">
        <f t="shared" si="705"/>
        <v>0</v>
      </c>
      <c r="AE2925" s="196">
        <f t="shared" si="706"/>
        <v>0</v>
      </c>
      <c r="AF2925" s="2">
        <f t="shared" si="707"/>
        <v>0</v>
      </c>
      <c r="AG2925" s="2">
        <f t="shared" si="708"/>
        <v>0</v>
      </c>
    </row>
    <row r="2926" spans="1:33">
      <c r="A2926" s="20" t="s">
        <v>2615</v>
      </c>
      <c r="B2926" s="150"/>
      <c r="C2926" s="21" t="s">
        <v>589</v>
      </c>
      <c r="D2926" s="109" t="s">
        <v>15686</v>
      </c>
      <c r="E2926" s="109" t="s">
        <v>13303</v>
      </c>
      <c r="F2926" s="391" t="s">
        <v>16035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5"/>
        <v>0</v>
      </c>
      <c r="O2926" s="268">
        <f t="shared" si="696"/>
        <v>0</v>
      </c>
      <c r="P2926" s="239"/>
      <c r="Q2926" s="239"/>
      <c r="R2926" s="239"/>
      <c r="S2926" s="239"/>
      <c r="T2926" s="239"/>
      <c r="U2926" s="240">
        <v>0</v>
      </c>
      <c r="V2926" s="240"/>
      <c r="W2926" s="240"/>
      <c r="X2926" s="278"/>
      <c r="Y2926" s="237"/>
      <c r="Z2926" s="237"/>
      <c r="AA2926" s="279"/>
      <c r="AB2926" s="238"/>
      <c r="AC2926" s="196">
        <f t="shared" si="704"/>
        <v>0</v>
      </c>
      <c r="AD2926" s="196">
        <f t="shared" si="705"/>
        <v>0</v>
      </c>
      <c r="AE2926" s="196">
        <f t="shared" si="706"/>
        <v>0</v>
      </c>
      <c r="AF2926" s="2">
        <f t="shared" si="707"/>
        <v>0</v>
      </c>
      <c r="AG2926" s="2">
        <f t="shared" si="708"/>
        <v>0</v>
      </c>
    </row>
    <row r="2927" spans="1:33">
      <c r="A2927" s="20" t="s">
        <v>2616</v>
      </c>
      <c r="B2927" s="161"/>
      <c r="C2927" s="21" t="s">
        <v>589</v>
      </c>
      <c r="D2927" s="109" t="s">
        <v>13293</v>
      </c>
      <c r="E2927" s="109"/>
      <c r="F2927" s="391" t="s">
        <v>16035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5"/>
        <v>0</v>
      </c>
      <c r="O2927" s="268">
        <f t="shared" si="696"/>
        <v>0</v>
      </c>
      <c r="P2927" s="239"/>
      <c r="Q2927" s="239"/>
      <c r="R2927" s="237"/>
      <c r="S2927" s="239"/>
      <c r="T2927" s="239"/>
      <c r="U2927" s="240"/>
      <c r="V2927" s="240"/>
      <c r="W2927" s="240"/>
      <c r="X2927" s="278"/>
      <c r="Y2927" s="237"/>
      <c r="Z2927" s="237"/>
      <c r="AA2927" s="279"/>
      <c r="AB2927" s="238"/>
      <c r="AC2927" s="196">
        <f t="shared" si="704"/>
        <v>0</v>
      </c>
      <c r="AD2927" s="196">
        <f t="shared" si="705"/>
        <v>0</v>
      </c>
      <c r="AE2927" s="196">
        <f t="shared" si="706"/>
        <v>0</v>
      </c>
      <c r="AF2927" s="2">
        <f t="shared" si="707"/>
        <v>0</v>
      </c>
      <c r="AG2927" s="2">
        <f t="shared" si="708"/>
        <v>0</v>
      </c>
    </row>
    <row r="2928" spans="1:33">
      <c r="A2928" s="20" t="s">
        <v>2617</v>
      </c>
      <c r="B2928" s="150"/>
      <c r="C2928" s="21" t="s">
        <v>16036</v>
      </c>
      <c r="D2928" s="109" t="s">
        <v>13293</v>
      </c>
      <c r="E2928" s="109"/>
      <c r="F2928" s="391" t="s">
        <v>15938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5"/>
        <v>0</v>
      </c>
      <c r="O2928" s="268">
        <f t="shared" si="696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37"/>
      <c r="Z2928" s="237"/>
      <c r="AA2928" s="279"/>
      <c r="AB2928" s="238"/>
      <c r="AC2928" s="196">
        <f t="shared" si="704"/>
        <v>0</v>
      </c>
      <c r="AD2928" s="196">
        <f t="shared" si="705"/>
        <v>0</v>
      </c>
      <c r="AE2928" s="196">
        <f t="shared" si="706"/>
        <v>0</v>
      </c>
      <c r="AF2928" s="2">
        <f t="shared" si="707"/>
        <v>0</v>
      </c>
      <c r="AG2928" s="2">
        <f t="shared" si="708"/>
        <v>0</v>
      </c>
    </row>
    <row r="2929" spans="1:33">
      <c r="A2929" s="20" t="s">
        <v>2618</v>
      </c>
      <c r="B2929" s="161"/>
      <c r="C2929" s="21" t="s">
        <v>16036</v>
      </c>
      <c r="D2929" s="109" t="s">
        <v>13293</v>
      </c>
      <c r="E2929" s="109"/>
      <c r="F2929" s="391" t="s">
        <v>16037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5"/>
        <v>0</v>
      </c>
      <c r="O2929" s="268">
        <f t="shared" si="696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40"/>
      <c r="Z2929" s="237"/>
      <c r="AA2929" s="237"/>
      <c r="AB2929" s="238"/>
      <c r="AC2929" s="196">
        <f t="shared" si="704"/>
        <v>0</v>
      </c>
      <c r="AD2929" s="196">
        <f t="shared" si="705"/>
        <v>0</v>
      </c>
      <c r="AE2929" s="196">
        <f t="shared" si="706"/>
        <v>0</v>
      </c>
      <c r="AF2929" s="2">
        <f t="shared" si="707"/>
        <v>0</v>
      </c>
      <c r="AG2929" s="2">
        <f t="shared" si="708"/>
        <v>0</v>
      </c>
    </row>
    <row r="2930" spans="1:33">
      <c r="A2930" s="20" t="s">
        <v>2619</v>
      </c>
      <c r="B2930" s="161"/>
      <c r="C2930" s="21" t="s">
        <v>5101</v>
      </c>
      <c r="D2930" s="109" t="s">
        <v>13293</v>
      </c>
      <c r="E2930" s="109"/>
      <c r="F2930" s="391" t="s">
        <v>15938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5"/>
        <v>0</v>
      </c>
      <c r="O2930" s="268">
        <f t="shared" si="696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40"/>
      <c r="Z2930" s="237"/>
      <c r="AA2930" s="279"/>
      <c r="AB2930" s="238"/>
      <c r="AC2930" s="196">
        <f t="shared" si="704"/>
        <v>0</v>
      </c>
      <c r="AD2930" s="196">
        <f t="shared" si="705"/>
        <v>0</v>
      </c>
      <c r="AE2930" s="196">
        <f t="shared" si="706"/>
        <v>0</v>
      </c>
      <c r="AF2930" s="2">
        <f t="shared" si="707"/>
        <v>0</v>
      </c>
      <c r="AG2930" s="2">
        <f t="shared" si="708"/>
        <v>0</v>
      </c>
    </row>
    <row r="2931" spans="1:33">
      <c r="A2931" s="20" t="s">
        <v>2620</v>
      </c>
      <c r="B2931" s="161"/>
      <c r="C2931" s="21" t="s">
        <v>5101</v>
      </c>
      <c r="D2931" s="109" t="s">
        <v>13293</v>
      </c>
      <c r="E2931" s="109"/>
      <c r="F2931" s="391" t="s">
        <v>16037</v>
      </c>
      <c r="G2931" s="23" t="s">
        <v>15688</v>
      </c>
      <c r="H2931" s="23"/>
      <c r="I2931" s="23"/>
      <c r="J2931" s="23"/>
      <c r="K2931" s="23"/>
      <c r="L2931" s="350"/>
      <c r="M2931" s="351"/>
      <c r="N2931" s="267">
        <f t="shared" si="695"/>
        <v>0</v>
      </c>
      <c r="O2931" s="268">
        <f t="shared" si="696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37"/>
      <c r="Z2931" s="237"/>
      <c r="AA2931" s="279"/>
      <c r="AB2931" s="238"/>
      <c r="AC2931" s="196">
        <f t="shared" si="704"/>
        <v>0</v>
      </c>
      <c r="AD2931" s="196">
        <f t="shared" si="705"/>
        <v>0</v>
      </c>
      <c r="AE2931" s="196">
        <f t="shared" si="706"/>
        <v>0</v>
      </c>
      <c r="AF2931" s="2">
        <f t="shared" si="707"/>
        <v>0</v>
      </c>
      <c r="AG2931" s="2">
        <f t="shared" si="708"/>
        <v>0</v>
      </c>
    </row>
    <row r="2932" spans="1:33">
      <c r="A2932" s="20" t="s">
        <v>2622</v>
      </c>
      <c r="B2932" s="150"/>
      <c r="C2932" s="21" t="s">
        <v>5102</v>
      </c>
      <c r="D2932" s="109" t="s">
        <v>15686</v>
      </c>
      <c r="E2932" s="109" t="s">
        <v>13303</v>
      </c>
      <c r="F2932" s="391" t="s">
        <v>15938</v>
      </c>
      <c r="G2932" s="23" t="s">
        <v>15688</v>
      </c>
      <c r="H2932" s="23"/>
      <c r="I2932" s="23"/>
      <c r="J2932" s="23"/>
      <c r="K2932" s="23"/>
      <c r="L2932" s="350"/>
      <c r="M2932" s="351"/>
      <c r="N2932" s="267">
        <f t="shared" si="695"/>
        <v>0</v>
      </c>
      <c r="O2932" s="268">
        <f t="shared" si="696"/>
        <v>0</v>
      </c>
      <c r="P2932" s="239"/>
      <c r="Q2932" s="239"/>
      <c r="R2932" s="239"/>
      <c r="S2932" s="239"/>
      <c r="T2932" s="239"/>
      <c r="U2932" s="240"/>
      <c r="V2932" s="240"/>
      <c r="W2932" s="240"/>
      <c r="X2932" s="278"/>
      <c r="Y2932" s="237"/>
      <c r="Z2932" s="237"/>
      <c r="AA2932" s="240"/>
      <c r="AB2932" s="238"/>
      <c r="AC2932" s="196">
        <f t="shared" si="704"/>
        <v>0</v>
      </c>
      <c r="AD2932" s="196">
        <f t="shared" si="705"/>
        <v>0</v>
      </c>
      <c r="AE2932" s="196">
        <f t="shared" si="706"/>
        <v>0</v>
      </c>
      <c r="AF2932" s="2">
        <f t="shared" si="707"/>
        <v>0</v>
      </c>
      <c r="AG2932" s="2">
        <f t="shared" si="708"/>
        <v>0</v>
      </c>
    </row>
    <row r="2933" spans="1:33">
      <c r="A2933" s="20" t="s">
        <v>2621</v>
      </c>
      <c r="B2933" s="150"/>
      <c r="C2933" s="21" t="s">
        <v>5102</v>
      </c>
      <c r="D2933" s="109" t="s">
        <v>13293</v>
      </c>
      <c r="E2933" s="109"/>
      <c r="F2933" s="391" t="s">
        <v>15938</v>
      </c>
      <c r="G2933" s="23" t="s">
        <v>15688</v>
      </c>
      <c r="H2933" s="23" t="s">
        <v>16038</v>
      </c>
      <c r="I2933" s="23"/>
      <c r="J2933" s="23"/>
      <c r="K2933" s="23"/>
      <c r="L2933" s="375" t="s">
        <v>7787</v>
      </c>
      <c r="M2933" s="351" t="s">
        <v>7787</v>
      </c>
      <c r="N2933" s="267">
        <f t="shared" si="695"/>
        <v>0</v>
      </c>
      <c r="O2933" s="268">
        <f t="shared" si="696"/>
        <v>0</v>
      </c>
      <c r="P2933" s="239"/>
      <c r="Q2933" s="239"/>
      <c r="R2933" s="239"/>
      <c r="S2933" s="239"/>
      <c r="T2933" s="239"/>
      <c r="U2933" s="240"/>
      <c r="V2933" s="240"/>
      <c r="W2933" s="240"/>
      <c r="X2933" s="278"/>
      <c r="Y2933" s="278"/>
      <c r="Z2933" s="237"/>
      <c r="AA2933" s="279"/>
      <c r="AB2933" s="238"/>
      <c r="AC2933" s="196">
        <f t="shared" si="704"/>
        <v>0</v>
      </c>
      <c r="AD2933" s="196">
        <f t="shared" si="705"/>
        <v>0</v>
      </c>
      <c r="AE2933" s="196">
        <f t="shared" si="706"/>
        <v>0</v>
      </c>
      <c r="AF2933" s="2">
        <f t="shared" si="707"/>
        <v>0</v>
      </c>
      <c r="AG2933" s="2">
        <f t="shared" si="708"/>
        <v>0</v>
      </c>
    </row>
    <row r="2934" spans="1:33">
      <c r="A2934" s="20" t="s">
        <v>6860</v>
      </c>
      <c r="B2934" s="150"/>
      <c r="C2934" s="21" t="s">
        <v>5102</v>
      </c>
      <c r="D2934" s="109" t="s">
        <v>13293</v>
      </c>
      <c r="E2934" s="109"/>
      <c r="F2934" s="391" t="s">
        <v>16039</v>
      </c>
      <c r="G2934" s="23" t="s">
        <v>13863</v>
      </c>
      <c r="H2934" s="23"/>
      <c r="I2934" s="23"/>
      <c r="J2934" s="23"/>
      <c r="K2934" s="23"/>
      <c r="L2934" s="375"/>
      <c r="M2934" s="351"/>
      <c r="N2934" s="267">
        <f t="shared" si="695"/>
        <v>0</v>
      </c>
      <c r="O2934" s="268">
        <f t="shared" si="696"/>
        <v>0</v>
      </c>
      <c r="P2934" s="240"/>
      <c r="Q2934" s="240"/>
      <c r="R2934" s="240"/>
      <c r="S2934" s="240"/>
      <c r="T2934" s="240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4"/>
        <v>0</v>
      </c>
      <c r="AD2934" s="196">
        <f t="shared" si="705"/>
        <v>0</v>
      </c>
      <c r="AE2934" s="196">
        <f t="shared" si="706"/>
        <v>0</v>
      </c>
      <c r="AF2934" s="2">
        <f t="shared" si="707"/>
        <v>0</v>
      </c>
      <c r="AG2934" s="2">
        <f t="shared" si="708"/>
        <v>0</v>
      </c>
    </row>
    <row r="2935" spans="1:33">
      <c r="A2935" s="20" t="s">
        <v>20232</v>
      </c>
      <c r="B2935" s="150"/>
      <c r="C2935" s="21" t="s">
        <v>5102</v>
      </c>
      <c r="D2935" s="109" t="s">
        <v>3097</v>
      </c>
      <c r="E2935" s="202" t="s">
        <v>20388</v>
      </c>
      <c r="F2935" s="391" t="s">
        <v>6770</v>
      </c>
      <c r="G2935" s="23" t="s">
        <v>13341</v>
      </c>
      <c r="H2935" s="23"/>
      <c r="I2935" s="23"/>
      <c r="J2935" s="23"/>
      <c r="K2935" s="23"/>
      <c r="L2935" s="375"/>
      <c r="M2935" s="351"/>
      <c r="N2935" s="267">
        <f t="shared" si="695"/>
        <v>0</v>
      </c>
      <c r="O2935" s="268">
        <f t="shared" si="696"/>
        <v>0</v>
      </c>
      <c r="P2935" s="244"/>
      <c r="Q2935" s="244"/>
      <c r="R2935" s="244"/>
      <c r="S2935" s="244"/>
      <c r="T2935" s="244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4"/>
        <v>0</v>
      </c>
      <c r="AD2935" s="196">
        <f t="shared" si="705"/>
        <v>0</v>
      </c>
      <c r="AE2935" s="196">
        <f t="shared" si="706"/>
        <v>0</v>
      </c>
      <c r="AF2935" s="2">
        <f t="shared" si="707"/>
        <v>0</v>
      </c>
      <c r="AG2935" s="2">
        <f t="shared" si="708"/>
        <v>0</v>
      </c>
    </row>
    <row r="2936" spans="1:33">
      <c r="A2936" s="20" t="s">
        <v>9974</v>
      </c>
      <c r="B2936" s="150"/>
      <c r="C2936" s="21" t="s">
        <v>16040</v>
      </c>
      <c r="D2936" s="109" t="s">
        <v>4062</v>
      </c>
      <c r="E2936" s="109"/>
      <c r="F2936" s="391" t="s">
        <v>9934</v>
      </c>
      <c r="G2936" s="23" t="s">
        <v>15688</v>
      </c>
      <c r="H2936" s="23"/>
      <c r="I2936" s="23"/>
      <c r="J2936" s="23"/>
      <c r="K2936" s="23"/>
      <c r="L2936" s="375"/>
      <c r="M2936" s="351"/>
      <c r="N2936" s="267">
        <f t="shared" si="695"/>
        <v>0</v>
      </c>
      <c r="O2936" s="268">
        <f t="shared" si="696"/>
        <v>0</v>
      </c>
      <c r="P2936" s="244"/>
      <c r="Q2936" s="244"/>
      <c r="R2936" s="244"/>
      <c r="S2936" s="244"/>
      <c r="T2936" s="244"/>
      <c r="U2936" s="240"/>
      <c r="V2936" s="240"/>
      <c r="W2936" s="240"/>
      <c r="X2936" s="278"/>
      <c r="Y2936" s="237"/>
      <c r="Z2936" s="237"/>
      <c r="AA2936" s="279"/>
      <c r="AB2936" s="238"/>
      <c r="AC2936" s="196">
        <f t="shared" si="704"/>
        <v>0</v>
      </c>
      <c r="AD2936" s="196">
        <f t="shared" si="705"/>
        <v>0</v>
      </c>
      <c r="AE2936" s="196">
        <f t="shared" si="706"/>
        <v>0</v>
      </c>
      <c r="AF2936" s="2">
        <f t="shared" si="707"/>
        <v>0</v>
      </c>
      <c r="AG2936" s="2">
        <f t="shared" si="708"/>
        <v>0</v>
      </c>
    </row>
    <row r="2937" spans="1:33">
      <c r="A2937" s="20" t="s">
        <v>2623</v>
      </c>
      <c r="B2937" s="162" t="s">
        <v>5956</v>
      </c>
      <c r="C2937" s="21" t="s">
        <v>591</v>
      </c>
      <c r="D2937" s="109" t="s">
        <v>15717</v>
      </c>
      <c r="E2937" s="109"/>
      <c r="F2937" s="391" t="s">
        <v>16041</v>
      </c>
      <c r="G2937" s="23" t="s">
        <v>13863</v>
      </c>
      <c r="H2937" s="23" t="s">
        <v>15759</v>
      </c>
      <c r="I2937" s="23" t="s">
        <v>13301</v>
      </c>
      <c r="J2937" s="23"/>
      <c r="K2937" s="23"/>
      <c r="L2937" s="375" t="s">
        <v>7787</v>
      </c>
      <c r="M2937" s="351" t="s">
        <v>7787</v>
      </c>
      <c r="N2937" s="267">
        <f t="shared" si="695"/>
        <v>0</v>
      </c>
      <c r="O2937" s="268">
        <f t="shared" si="696"/>
        <v>0</v>
      </c>
      <c r="P2937" s="239"/>
      <c r="Q2937" s="239"/>
      <c r="R2937" s="239"/>
      <c r="S2937" s="239"/>
      <c r="T2937" s="239"/>
      <c r="U2937" s="240"/>
      <c r="V2937" s="240"/>
      <c r="W2937" s="240"/>
      <c r="X2937" s="278"/>
      <c r="Y2937" s="237"/>
      <c r="Z2937" s="237"/>
      <c r="AA2937" s="279"/>
      <c r="AB2937" s="238"/>
      <c r="AC2937" s="196">
        <f t="shared" si="704"/>
        <v>0</v>
      </c>
      <c r="AD2937" s="196">
        <f t="shared" si="705"/>
        <v>0</v>
      </c>
      <c r="AE2937" s="196">
        <f t="shared" si="706"/>
        <v>0</v>
      </c>
      <c r="AF2937" s="2">
        <f t="shared" si="707"/>
        <v>0</v>
      </c>
      <c r="AG2937" s="2">
        <f t="shared" si="708"/>
        <v>0</v>
      </c>
    </row>
    <row r="2938" spans="1:33">
      <c r="A2938" s="20" t="s">
        <v>2624</v>
      </c>
      <c r="B2938" s="161"/>
      <c r="C2938" s="21" t="s">
        <v>592</v>
      </c>
      <c r="D2938" s="109" t="s">
        <v>13293</v>
      </c>
      <c r="E2938" s="109"/>
      <c r="F2938" s="391" t="s">
        <v>16042</v>
      </c>
      <c r="G2938" s="23" t="s">
        <v>15688</v>
      </c>
      <c r="H2938" s="23"/>
      <c r="I2938" s="23"/>
      <c r="J2938" s="23"/>
      <c r="K2938" s="23"/>
      <c r="L2938" s="375" t="s">
        <v>45</v>
      </c>
      <c r="M2938" s="351" t="s">
        <v>45</v>
      </c>
      <c r="N2938" s="267">
        <f t="shared" si="695"/>
        <v>0</v>
      </c>
      <c r="O2938" s="268">
        <f t="shared" si="696"/>
        <v>800</v>
      </c>
      <c r="P2938" s="239"/>
      <c r="Q2938" s="239"/>
      <c r="R2938" s="239"/>
      <c r="S2938" s="239"/>
      <c r="T2938" s="239"/>
      <c r="U2938" s="240"/>
      <c r="V2938" s="240">
        <f>700+1200+300-1100-300</f>
        <v>800</v>
      </c>
      <c r="W2938" s="240"/>
      <c r="X2938" s="278"/>
      <c r="Y2938" s="237"/>
      <c r="Z2938" s="237"/>
      <c r="AA2938" s="279"/>
      <c r="AB2938" s="238" t="s">
        <v>26515</v>
      </c>
      <c r="AC2938" s="196">
        <f t="shared" si="704"/>
        <v>800</v>
      </c>
      <c r="AD2938" s="196">
        <f t="shared" si="705"/>
        <v>800</v>
      </c>
      <c r="AE2938" s="196">
        <f t="shared" si="706"/>
        <v>0</v>
      </c>
      <c r="AF2938" s="2">
        <f t="shared" si="707"/>
        <v>800</v>
      </c>
      <c r="AG2938" s="2">
        <f t="shared" si="708"/>
        <v>0</v>
      </c>
    </row>
    <row r="2939" spans="1:33">
      <c r="A2939" s="20" t="s">
        <v>12003</v>
      </c>
      <c r="B2939" s="161"/>
      <c r="C2939" s="21" t="s">
        <v>592</v>
      </c>
      <c r="D2939" s="109" t="s">
        <v>4062</v>
      </c>
      <c r="E2939" s="109"/>
      <c r="F2939" s="391" t="s">
        <v>16043</v>
      </c>
      <c r="G2939" s="23" t="s">
        <v>16044</v>
      </c>
      <c r="H2939" s="23"/>
      <c r="I2939" s="23"/>
      <c r="J2939" s="23"/>
      <c r="K2939" s="23"/>
      <c r="L2939" s="375" t="s">
        <v>7787</v>
      </c>
      <c r="M2939" s="351" t="s">
        <v>7787</v>
      </c>
      <c r="N2939" s="267">
        <f t="shared" si="695"/>
        <v>0</v>
      </c>
      <c r="O2939" s="268">
        <f t="shared" si="696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4"/>
        <v>0</v>
      </c>
      <c r="AD2939" s="196">
        <f t="shared" si="705"/>
        <v>0</v>
      </c>
      <c r="AE2939" s="196">
        <f t="shared" si="706"/>
        <v>0</v>
      </c>
      <c r="AF2939" s="2">
        <f t="shared" si="707"/>
        <v>0</v>
      </c>
      <c r="AG2939" s="2">
        <f t="shared" si="708"/>
        <v>0</v>
      </c>
    </row>
    <row r="2940" spans="1:33">
      <c r="A2940" s="20" t="s">
        <v>2761</v>
      </c>
      <c r="B2940" s="161"/>
      <c r="C2940" s="21" t="s">
        <v>829</v>
      </c>
      <c r="D2940" s="109" t="s">
        <v>13438</v>
      </c>
      <c r="E2940" s="109"/>
      <c r="F2940" s="391" t="s">
        <v>16045</v>
      </c>
      <c r="G2940" s="23"/>
      <c r="H2940" s="23"/>
      <c r="I2940" s="23"/>
      <c r="J2940" s="23"/>
      <c r="K2940" s="23"/>
      <c r="L2940" s="350"/>
      <c r="M2940" s="351"/>
      <c r="N2940" s="267">
        <f t="shared" si="695"/>
        <v>0</v>
      </c>
      <c r="O2940" s="268">
        <f t="shared" si="696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4"/>
        <v>0</v>
      </c>
      <c r="AD2940" s="196">
        <f t="shared" si="705"/>
        <v>0</v>
      </c>
      <c r="AE2940" s="196">
        <f t="shared" si="706"/>
        <v>0</v>
      </c>
      <c r="AF2940" s="2">
        <f t="shared" si="707"/>
        <v>0</v>
      </c>
      <c r="AG2940" s="2">
        <f t="shared" si="708"/>
        <v>0</v>
      </c>
    </row>
    <row r="2941" spans="1:33">
      <c r="A2941" s="20" t="s">
        <v>2762</v>
      </c>
      <c r="B2941" s="150"/>
      <c r="C2941" s="21" t="s">
        <v>829</v>
      </c>
      <c r="D2941" s="109" t="s">
        <v>13296</v>
      </c>
      <c r="E2941" s="109"/>
      <c r="F2941" s="391" t="s">
        <v>16046</v>
      </c>
      <c r="G2941" s="23"/>
      <c r="H2941" s="23"/>
      <c r="I2941" s="23"/>
      <c r="J2941" s="23"/>
      <c r="K2941" s="23"/>
      <c r="L2941" s="350"/>
      <c r="M2941" s="351"/>
      <c r="N2941" s="267">
        <f t="shared" si="695"/>
        <v>0</v>
      </c>
      <c r="O2941" s="268">
        <f t="shared" si="696"/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4"/>
        <v>0</v>
      </c>
      <c r="AD2941" s="196">
        <f t="shared" si="705"/>
        <v>0</v>
      </c>
      <c r="AE2941" s="196">
        <f t="shared" si="706"/>
        <v>0</v>
      </c>
      <c r="AF2941" s="2">
        <f t="shared" si="707"/>
        <v>0</v>
      </c>
      <c r="AG2941" s="2">
        <f t="shared" si="708"/>
        <v>0</v>
      </c>
    </row>
    <row r="2942" spans="1:33">
      <c r="A2942" s="20" t="s">
        <v>2760</v>
      </c>
      <c r="B2942" s="150"/>
      <c r="C2942" s="21" t="s">
        <v>829</v>
      </c>
      <c r="D2942" s="109" t="s">
        <v>13866</v>
      </c>
      <c r="E2942" s="109"/>
      <c r="F2942" s="391" t="s">
        <v>16046</v>
      </c>
      <c r="G2942" s="23"/>
      <c r="H2942" s="23"/>
      <c r="I2942" s="23"/>
      <c r="J2942" s="23"/>
      <c r="K2942" s="23"/>
      <c r="L2942" s="350"/>
      <c r="M2942" s="351"/>
      <c r="N2942" s="267">
        <f t="shared" si="695"/>
        <v>0</v>
      </c>
      <c r="O2942" s="268">
        <f t="shared" si="696"/>
        <v>0</v>
      </c>
      <c r="P2942" s="239"/>
      <c r="Q2942" s="239"/>
      <c r="R2942" s="239"/>
      <c r="S2942" s="239"/>
      <c r="T2942" s="239"/>
      <c r="U2942" s="240"/>
      <c r="V2942" s="240"/>
      <c r="W2942" s="240"/>
      <c r="X2942" s="278"/>
      <c r="Y2942" s="237"/>
      <c r="Z2942" s="237"/>
      <c r="AA2942" s="279"/>
      <c r="AB2942" s="238"/>
      <c r="AC2942" s="196">
        <f t="shared" si="704"/>
        <v>0</v>
      </c>
      <c r="AD2942" s="196">
        <f t="shared" si="705"/>
        <v>0</v>
      </c>
      <c r="AE2942" s="196">
        <f t="shared" si="706"/>
        <v>0</v>
      </c>
      <c r="AF2942" s="2">
        <f t="shared" si="707"/>
        <v>0</v>
      </c>
      <c r="AG2942" s="2">
        <f t="shared" si="708"/>
        <v>0</v>
      </c>
    </row>
    <row r="2943" spans="1:33">
      <c r="A2943" s="20" t="s">
        <v>2625</v>
      </c>
      <c r="B2943" s="156" t="s">
        <v>16047</v>
      </c>
      <c r="C2943" s="21" t="s">
        <v>593</v>
      </c>
      <c r="D2943" s="109" t="s">
        <v>16048</v>
      </c>
      <c r="E2943" s="109"/>
      <c r="F2943" s="391" t="s">
        <v>16049</v>
      </c>
      <c r="G2943" s="23" t="s">
        <v>15696</v>
      </c>
      <c r="H2943" s="23"/>
      <c r="I2943" s="23"/>
      <c r="J2943" s="23"/>
      <c r="K2943" s="23"/>
      <c r="L2943" s="350"/>
      <c r="M2943" s="351"/>
      <c r="N2943" s="267">
        <f t="shared" ref="N2943:N3008" si="709">SUM(L2943:M2943)</f>
        <v>0</v>
      </c>
      <c r="O2943" s="268">
        <f t="shared" ref="O2943:O3008" si="710">SUM(P2943:Z2943)</f>
        <v>0</v>
      </c>
      <c r="P2943" s="239"/>
      <c r="Q2943" s="239"/>
      <c r="R2943" s="239"/>
      <c r="S2943" s="239"/>
      <c r="T2943" s="239"/>
      <c r="U2943" s="240"/>
      <c r="V2943" s="240"/>
      <c r="W2943" s="240"/>
      <c r="X2943" s="278"/>
      <c r="Y2943" s="237"/>
      <c r="Z2943" s="237"/>
      <c r="AA2943" s="279"/>
      <c r="AB2943" s="238"/>
      <c r="AC2943" s="196">
        <f t="shared" si="704"/>
        <v>0</v>
      </c>
      <c r="AD2943" s="196">
        <f t="shared" si="705"/>
        <v>0</v>
      </c>
      <c r="AE2943" s="196">
        <f t="shared" si="706"/>
        <v>0</v>
      </c>
      <c r="AF2943" s="2">
        <f t="shared" si="707"/>
        <v>0</v>
      </c>
      <c r="AG2943" s="2">
        <f t="shared" si="708"/>
        <v>0</v>
      </c>
    </row>
    <row r="2944" spans="1:33">
      <c r="A2944" s="20" t="s">
        <v>2626</v>
      </c>
      <c r="B2944" s="150"/>
      <c r="C2944" s="21" t="s">
        <v>594</v>
      </c>
      <c r="D2944" s="109" t="s">
        <v>13866</v>
      </c>
      <c r="E2944" s="109"/>
      <c r="F2944" s="391" t="s">
        <v>16050</v>
      </c>
      <c r="G2944" s="23" t="s">
        <v>13863</v>
      </c>
      <c r="H2944" s="23" t="s">
        <v>16051</v>
      </c>
      <c r="I2944" s="23" t="s">
        <v>13888</v>
      </c>
      <c r="J2944" s="23" t="s">
        <v>14100</v>
      </c>
      <c r="K2944" s="23" t="s">
        <v>24223</v>
      </c>
      <c r="L2944" s="375" t="s">
        <v>27870</v>
      </c>
      <c r="M2944" s="351" t="s">
        <v>45</v>
      </c>
      <c r="N2944" s="267">
        <f t="shared" si="709"/>
        <v>0</v>
      </c>
      <c r="O2944" s="268">
        <f t="shared" si="710"/>
        <v>250</v>
      </c>
      <c r="P2944" s="237"/>
      <c r="Q2944" s="237"/>
      <c r="R2944" s="237">
        <f>300-250</f>
        <v>50</v>
      </c>
      <c r="S2944" s="237"/>
      <c r="T2944" s="237"/>
      <c r="U2944" s="237">
        <f>600-400</f>
        <v>200</v>
      </c>
      <c r="V2944" s="240"/>
      <c r="W2944" s="240"/>
      <c r="X2944" s="278"/>
      <c r="Y2944" s="237"/>
      <c r="Z2944" s="237"/>
      <c r="AA2944" s="237"/>
      <c r="AB2944" s="238" t="s">
        <v>27866</v>
      </c>
      <c r="AC2944" s="196">
        <f t="shared" si="704"/>
        <v>250</v>
      </c>
      <c r="AD2944" s="196">
        <f t="shared" si="705"/>
        <v>250</v>
      </c>
      <c r="AE2944" s="196">
        <f t="shared" si="706"/>
        <v>0</v>
      </c>
      <c r="AF2944" s="2">
        <f t="shared" si="707"/>
        <v>250</v>
      </c>
      <c r="AG2944" s="2">
        <f t="shared" si="708"/>
        <v>0</v>
      </c>
    </row>
    <row r="2945" spans="1:33">
      <c r="A2945" s="20" t="s">
        <v>2627</v>
      </c>
      <c r="B2945" s="151"/>
      <c r="C2945" s="21" t="s">
        <v>595</v>
      </c>
      <c r="D2945" s="109" t="s">
        <v>15862</v>
      </c>
      <c r="E2945" s="109" t="s">
        <v>16052</v>
      </c>
      <c r="F2945" s="391" t="s">
        <v>16053</v>
      </c>
      <c r="G2945" s="23" t="s">
        <v>15699</v>
      </c>
      <c r="H2945" s="23" t="s">
        <v>15871</v>
      </c>
      <c r="I2945" s="23" t="s">
        <v>16054</v>
      </c>
      <c r="J2945" s="23" t="s">
        <v>15869</v>
      </c>
      <c r="K2945" s="23" t="s">
        <v>6133</v>
      </c>
      <c r="L2945" s="375" t="s">
        <v>7787</v>
      </c>
      <c r="M2945" s="351" t="s">
        <v>7787</v>
      </c>
      <c r="N2945" s="267">
        <f t="shared" si="709"/>
        <v>0</v>
      </c>
      <c r="O2945" s="268">
        <f t="shared" si="710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4"/>
        <v>0</v>
      </c>
      <c r="AD2945" s="196">
        <f t="shared" si="705"/>
        <v>0</v>
      </c>
      <c r="AE2945" s="196">
        <f t="shared" si="706"/>
        <v>0</v>
      </c>
      <c r="AF2945" s="2">
        <f t="shared" si="707"/>
        <v>0</v>
      </c>
      <c r="AG2945" s="2">
        <f t="shared" si="708"/>
        <v>0</v>
      </c>
    </row>
    <row r="2946" spans="1:33">
      <c r="A2946" s="20" t="s">
        <v>2628</v>
      </c>
      <c r="B2946" s="156"/>
      <c r="C2946" s="21" t="s">
        <v>595</v>
      </c>
      <c r="D2946" s="109" t="s">
        <v>4063</v>
      </c>
      <c r="E2946" s="109" t="s">
        <v>16055</v>
      </c>
      <c r="F2946" s="391" t="s">
        <v>5107</v>
      </c>
      <c r="G2946" s="23" t="s">
        <v>5563</v>
      </c>
      <c r="H2946" s="23" t="s">
        <v>15871</v>
      </c>
      <c r="I2946" s="23" t="s">
        <v>5564</v>
      </c>
      <c r="J2946" s="23"/>
      <c r="K2946" s="23"/>
      <c r="L2946" s="350"/>
      <c r="M2946" s="351"/>
      <c r="N2946" s="267">
        <f t="shared" si="709"/>
        <v>0</v>
      </c>
      <c r="O2946" s="268">
        <f t="shared" si="710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4"/>
        <v>0</v>
      </c>
      <c r="AD2946" s="196">
        <f t="shared" si="705"/>
        <v>0</v>
      </c>
      <c r="AE2946" s="196">
        <f t="shared" si="706"/>
        <v>0</v>
      </c>
      <c r="AF2946" s="2">
        <f t="shared" si="707"/>
        <v>0</v>
      </c>
      <c r="AG2946" s="2">
        <f t="shared" si="708"/>
        <v>0</v>
      </c>
    </row>
    <row r="2947" spans="1:33">
      <c r="A2947" s="20" t="s">
        <v>2629</v>
      </c>
      <c r="B2947" s="156"/>
      <c r="C2947" s="21" t="s">
        <v>595</v>
      </c>
      <c r="D2947" s="109" t="s">
        <v>4063</v>
      </c>
      <c r="E2947" s="109" t="s">
        <v>16056</v>
      </c>
      <c r="F2947" s="391" t="s">
        <v>5107</v>
      </c>
      <c r="G2947" s="23" t="s">
        <v>15731</v>
      </c>
      <c r="H2947" s="23"/>
      <c r="I2947" s="23"/>
      <c r="J2947" s="23"/>
      <c r="K2947" s="23"/>
      <c r="L2947" s="350"/>
      <c r="M2947" s="351"/>
      <c r="N2947" s="267">
        <f t="shared" si="709"/>
        <v>0</v>
      </c>
      <c r="O2947" s="268">
        <f t="shared" si="710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4"/>
        <v>0</v>
      </c>
      <c r="AD2947" s="196">
        <f t="shared" si="705"/>
        <v>0</v>
      </c>
      <c r="AE2947" s="196">
        <f t="shared" si="706"/>
        <v>0</v>
      </c>
      <c r="AF2947" s="2">
        <f t="shared" si="707"/>
        <v>0</v>
      </c>
      <c r="AG2947" s="2">
        <f t="shared" si="708"/>
        <v>0</v>
      </c>
    </row>
    <row r="2948" spans="1:33">
      <c r="A2948" s="20" t="s">
        <v>2630</v>
      </c>
      <c r="B2948" s="150"/>
      <c r="C2948" s="21" t="s">
        <v>595</v>
      </c>
      <c r="D2948" s="109" t="s">
        <v>13866</v>
      </c>
      <c r="E2948" s="109"/>
      <c r="F2948" s="391" t="s">
        <v>16053</v>
      </c>
      <c r="G2948" s="23" t="s">
        <v>15731</v>
      </c>
      <c r="H2948" s="23"/>
      <c r="I2948" s="23"/>
      <c r="J2948" s="23"/>
      <c r="K2948" s="23"/>
      <c r="L2948" s="350"/>
      <c r="M2948" s="351" t="s">
        <v>7787</v>
      </c>
      <c r="N2948" s="267">
        <f t="shared" si="709"/>
        <v>0</v>
      </c>
      <c r="O2948" s="268">
        <f t="shared" si="710"/>
        <v>0</v>
      </c>
      <c r="P2948" s="239"/>
      <c r="Q2948" s="239"/>
      <c r="R2948" s="239"/>
      <c r="S2948" s="239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4"/>
        <v>0</v>
      </c>
      <c r="AD2948" s="196">
        <f t="shared" si="705"/>
        <v>0</v>
      </c>
      <c r="AE2948" s="196">
        <f t="shared" si="706"/>
        <v>0</v>
      </c>
      <c r="AF2948" s="2">
        <f t="shared" si="707"/>
        <v>0</v>
      </c>
      <c r="AG2948" s="2">
        <f t="shared" si="708"/>
        <v>0</v>
      </c>
    </row>
    <row r="2949" spans="1:33">
      <c r="A2949" s="20" t="s">
        <v>2631</v>
      </c>
      <c r="B2949" s="151" t="s">
        <v>16057</v>
      </c>
      <c r="C2949" s="21" t="s">
        <v>596</v>
      </c>
      <c r="D2949" s="109" t="s">
        <v>15862</v>
      </c>
      <c r="E2949" s="109" t="s">
        <v>15764</v>
      </c>
      <c r="F2949" s="391" t="s">
        <v>16058</v>
      </c>
      <c r="G2949" s="23" t="s">
        <v>15808</v>
      </c>
      <c r="H2949" s="23" t="s">
        <v>16059</v>
      </c>
      <c r="I2949" s="23"/>
      <c r="J2949" s="23"/>
      <c r="K2949" s="23"/>
      <c r="L2949" s="375"/>
      <c r="M2949" s="351" t="s">
        <v>7787</v>
      </c>
      <c r="N2949" s="267">
        <f t="shared" si="709"/>
        <v>0</v>
      </c>
      <c r="O2949" s="268">
        <f t="shared" si="710"/>
        <v>0</v>
      </c>
      <c r="P2949" s="239"/>
      <c r="Q2949" s="239"/>
      <c r="R2949" s="239"/>
      <c r="S2949" s="239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4"/>
        <v>0</v>
      </c>
      <c r="AD2949" s="196">
        <f t="shared" si="705"/>
        <v>0</v>
      </c>
      <c r="AE2949" s="196">
        <f t="shared" si="706"/>
        <v>0</v>
      </c>
      <c r="AF2949" s="2">
        <f t="shared" si="707"/>
        <v>0</v>
      </c>
      <c r="AG2949" s="2">
        <f t="shared" si="708"/>
        <v>0</v>
      </c>
    </row>
    <row r="2950" spans="1:33">
      <c r="A2950" s="20" t="s">
        <v>2631</v>
      </c>
      <c r="B2950" s="151" t="s">
        <v>16057</v>
      </c>
      <c r="C2950" s="21" t="s">
        <v>596</v>
      </c>
      <c r="D2950" s="109" t="s">
        <v>15862</v>
      </c>
      <c r="E2950" s="109"/>
      <c r="F2950" s="391" t="s">
        <v>16060</v>
      </c>
      <c r="G2950" s="23" t="s">
        <v>15808</v>
      </c>
      <c r="H2950" s="23" t="s">
        <v>16059</v>
      </c>
      <c r="I2950" s="23" t="s">
        <v>16061</v>
      </c>
      <c r="J2950" s="23" t="s">
        <v>13861</v>
      </c>
      <c r="K2950" s="23"/>
      <c r="L2950" s="375" t="s">
        <v>7787</v>
      </c>
      <c r="M2950" s="351" t="s">
        <v>7787</v>
      </c>
      <c r="N2950" s="267">
        <f t="shared" si="709"/>
        <v>0</v>
      </c>
      <c r="O2950" s="268">
        <f t="shared" si="710"/>
        <v>0</v>
      </c>
      <c r="P2950" s="239"/>
      <c r="Q2950" s="239"/>
      <c r="R2950" s="248"/>
      <c r="S2950" s="248"/>
      <c r="T2950" s="239"/>
      <c r="U2950" s="240"/>
      <c r="V2950" s="240"/>
      <c r="W2950" s="240"/>
      <c r="X2950" s="278"/>
      <c r="Y2950" s="237"/>
      <c r="Z2950" s="237"/>
      <c r="AA2950" s="279"/>
      <c r="AB2950" s="238"/>
      <c r="AC2950" s="196">
        <f t="shared" si="704"/>
        <v>0</v>
      </c>
      <c r="AD2950" s="196">
        <f t="shared" si="705"/>
        <v>0</v>
      </c>
      <c r="AE2950" s="196">
        <f t="shared" si="706"/>
        <v>0</v>
      </c>
      <c r="AF2950" s="2">
        <f t="shared" si="707"/>
        <v>0</v>
      </c>
      <c r="AG2950" s="2">
        <f t="shared" si="708"/>
        <v>0</v>
      </c>
    </row>
    <row r="2951" spans="1:33">
      <c r="A2951" s="20" t="s">
        <v>2632</v>
      </c>
      <c r="B2951" s="161"/>
      <c r="C2951" s="21" t="s">
        <v>597</v>
      </c>
      <c r="D2951" s="109" t="s">
        <v>13859</v>
      </c>
      <c r="E2951" s="109" t="s">
        <v>16062</v>
      </c>
      <c r="F2951" s="391" t="s">
        <v>16063</v>
      </c>
      <c r="G2951" s="23" t="s">
        <v>15715</v>
      </c>
      <c r="H2951" s="23"/>
      <c r="I2951" s="23"/>
      <c r="J2951" s="23"/>
      <c r="K2951" s="23"/>
      <c r="L2951" s="375" t="s">
        <v>7787</v>
      </c>
      <c r="M2951" s="357"/>
      <c r="N2951" s="267">
        <f t="shared" si="709"/>
        <v>0</v>
      </c>
      <c r="O2951" s="268">
        <f t="shared" si="710"/>
        <v>0</v>
      </c>
      <c r="P2951" s="239"/>
      <c r="Q2951" s="239"/>
      <c r="R2951" s="239"/>
      <c r="S2951" s="239"/>
      <c r="T2951" s="239"/>
      <c r="U2951" s="240"/>
      <c r="V2951" s="240"/>
      <c r="W2951" s="240"/>
      <c r="X2951" s="278"/>
      <c r="Y2951" s="237"/>
      <c r="Z2951" s="237"/>
      <c r="AA2951" s="279"/>
      <c r="AB2951" s="238"/>
      <c r="AC2951" s="196">
        <f t="shared" si="704"/>
        <v>0</v>
      </c>
      <c r="AD2951" s="196">
        <f t="shared" si="705"/>
        <v>0</v>
      </c>
      <c r="AE2951" s="196">
        <f t="shared" si="706"/>
        <v>0</v>
      </c>
      <c r="AF2951" s="2">
        <f t="shared" si="707"/>
        <v>0</v>
      </c>
      <c r="AG2951" s="2">
        <f t="shared" si="708"/>
        <v>0</v>
      </c>
    </row>
    <row r="2952" spans="1:33">
      <c r="A2952" s="20" t="s">
        <v>2633</v>
      </c>
      <c r="B2952" s="151" t="s">
        <v>16064</v>
      </c>
      <c r="C2952" s="21" t="s">
        <v>597</v>
      </c>
      <c r="D2952" s="109" t="s">
        <v>13866</v>
      </c>
      <c r="E2952" s="109" t="s">
        <v>15722</v>
      </c>
      <c r="F2952" s="391" t="s">
        <v>16063</v>
      </c>
      <c r="G2952" s="23" t="s">
        <v>26889</v>
      </c>
      <c r="H2952" s="23" t="s">
        <v>15731</v>
      </c>
      <c r="I2952" s="23" t="s">
        <v>15727</v>
      </c>
      <c r="J2952" s="23" t="s">
        <v>18853</v>
      </c>
      <c r="K2952" s="23" t="s">
        <v>26180</v>
      </c>
      <c r="L2952" s="375"/>
      <c r="M2952" s="351" t="s">
        <v>7787</v>
      </c>
      <c r="N2952" s="267">
        <f t="shared" si="709"/>
        <v>0</v>
      </c>
      <c r="O2952" s="268">
        <f t="shared" si="710"/>
        <v>0</v>
      </c>
      <c r="P2952" s="239"/>
      <c r="Q2952" s="239"/>
      <c r="R2952" s="239"/>
      <c r="S2952" s="239"/>
      <c r="T2952" s="239"/>
      <c r="U2952" s="240"/>
      <c r="V2952" s="240"/>
      <c r="W2952" s="240"/>
      <c r="X2952" s="278"/>
      <c r="Y2952" s="237"/>
      <c r="Z2952" s="237"/>
      <c r="AA2952" s="239"/>
      <c r="AB2952" s="238"/>
      <c r="AC2952" s="196">
        <f t="shared" si="704"/>
        <v>0</v>
      </c>
      <c r="AD2952" s="196">
        <f t="shared" si="705"/>
        <v>0</v>
      </c>
      <c r="AE2952" s="196">
        <f t="shared" si="706"/>
        <v>0</v>
      </c>
      <c r="AF2952" s="2">
        <f t="shared" si="707"/>
        <v>0</v>
      </c>
      <c r="AG2952" s="2">
        <f t="shared" si="708"/>
        <v>0</v>
      </c>
    </row>
    <row r="2953" spans="1:33">
      <c r="A2953" s="20" t="s">
        <v>12635</v>
      </c>
      <c r="B2953" s="151"/>
      <c r="C2953" s="21" t="s">
        <v>597</v>
      </c>
      <c r="D2953" s="109" t="s">
        <v>16065</v>
      </c>
      <c r="E2953" s="109"/>
      <c r="F2953" s="391" t="s">
        <v>16066</v>
      </c>
      <c r="G2953" s="23" t="s">
        <v>16067</v>
      </c>
      <c r="H2953" s="23" t="s">
        <v>15731</v>
      </c>
      <c r="I2953" s="23" t="s">
        <v>22585</v>
      </c>
      <c r="J2953" s="23"/>
      <c r="K2953" s="23"/>
      <c r="L2953" s="375" t="s">
        <v>45</v>
      </c>
      <c r="M2953" s="351"/>
      <c r="N2953" s="267">
        <f t="shared" si="709"/>
        <v>0</v>
      </c>
      <c r="O2953" s="268">
        <f t="shared" si="710"/>
        <v>100</v>
      </c>
      <c r="P2953" s="239"/>
      <c r="Q2953" s="239"/>
      <c r="R2953" s="239">
        <f>250-150</f>
        <v>100</v>
      </c>
      <c r="S2953" s="239"/>
      <c r="T2953" s="239"/>
      <c r="U2953" s="240"/>
      <c r="V2953" s="240"/>
      <c r="W2953" s="240"/>
      <c r="X2953" s="278"/>
      <c r="Y2953" s="239"/>
      <c r="Z2953" s="237"/>
      <c r="AA2953" s="292"/>
      <c r="AB2953" s="238" t="s">
        <v>26668</v>
      </c>
      <c r="AC2953" s="196">
        <f t="shared" si="704"/>
        <v>100</v>
      </c>
      <c r="AD2953" s="196">
        <f t="shared" si="705"/>
        <v>100</v>
      </c>
      <c r="AE2953" s="196">
        <f t="shared" si="706"/>
        <v>0</v>
      </c>
      <c r="AF2953" s="2">
        <f t="shared" si="707"/>
        <v>100</v>
      </c>
      <c r="AG2953" s="2">
        <f t="shared" si="708"/>
        <v>0</v>
      </c>
    </row>
    <row r="2954" spans="1:33">
      <c r="A2954" s="20" t="s">
        <v>11285</v>
      </c>
      <c r="B2954" s="151"/>
      <c r="C2954" s="21" t="s">
        <v>16068</v>
      </c>
      <c r="D2954" s="109" t="s">
        <v>15862</v>
      </c>
      <c r="E2954" s="109" t="s">
        <v>25505</v>
      </c>
      <c r="F2954" s="391" t="s">
        <v>16069</v>
      </c>
      <c r="G2954" s="23" t="s">
        <v>27217</v>
      </c>
      <c r="H2954" s="23" t="s">
        <v>16071</v>
      </c>
      <c r="I2954" s="23" t="s">
        <v>16072</v>
      </c>
      <c r="J2954" s="23" t="s">
        <v>17847</v>
      </c>
      <c r="K2954" s="23" t="s">
        <v>13214</v>
      </c>
      <c r="L2954" s="375" t="s">
        <v>7787</v>
      </c>
      <c r="M2954" s="351" t="s">
        <v>7787</v>
      </c>
      <c r="N2954" s="267">
        <f t="shared" si="709"/>
        <v>0</v>
      </c>
      <c r="O2954" s="268">
        <f t="shared" si="710"/>
        <v>450</v>
      </c>
      <c r="P2954" s="239"/>
      <c r="Q2954" s="239"/>
      <c r="R2954" s="239">
        <v>450</v>
      </c>
      <c r="S2954" s="239"/>
      <c r="T2954" s="239"/>
      <c r="U2954" s="239"/>
      <c r="V2954" s="240"/>
      <c r="W2954" s="240"/>
      <c r="X2954" s="278"/>
      <c r="Y2954" s="239"/>
      <c r="Z2954" s="237"/>
      <c r="AA2954" s="292"/>
      <c r="AB2954" s="238"/>
      <c r="AC2954" s="196">
        <f t="shared" si="704"/>
        <v>450</v>
      </c>
      <c r="AD2954" s="196">
        <f t="shared" si="705"/>
        <v>450</v>
      </c>
      <c r="AE2954" s="196">
        <f t="shared" si="706"/>
        <v>0</v>
      </c>
      <c r="AF2954" s="2">
        <f t="shared" si="707"/>
        <v>450</v>
      </c>
      <c r="AG2954" s="2">
        <f t="shared" si="708"/>
        <v>0</v>
      </c>
    </row>
    <row r="2955" spans="1:33">
      <c r="A2955" s="20" t="s">
        <v>26762</v>
      </c>
      <c r="B2955" s="151"/>
      <c r="C2955" s="21" t="s">
        <v>25554</v>
      </c>
      <c r="D2955" s="109" t="s">
        <v>25558</v>
      </c>
      <c r="E2955" s="109" t="s">
        <v>25555</v>
      </c>
      <c r="F2955" s="391" t="s">
        <v>25556</v>
      </c>
      <c r="G2955" s="23" t="s">
        <v>25557</v>
      </c>
      <c r="H2955" s="23"/>
      <c r="I2955" s="23"/>
      <c r="J2955" s="23"/>
      <c r="K2955" s="23"/>
      <c r="L2955" s="375" t="s">
        <v>7787</v>
      </c>
      <c r="M2955" s="351" t="s">
        <v>7787</v>
      </c>
      <c r="N2955" s="267">
        <f t="shared" ref="N2955" si="711">SUM(L2955:M2955)</f>
        <v>0</v>
      </c>
      <c r="O2955" s="268">
        <f t="shared" ref="O2955" si="712">SUM(P2955:Z2955)</f>
        <v>0</v>
      </c>
      <c r="P2955" s="239"/>
      <c r="Q2955" s="239"/>
      <c r="R2955" s="239"/>
      <c r="S2955" s="239"/>
      <c r="T2955" s="239"/>
      <c r="U2955" s="240"/>
      <c r="V2955" s="240"/>
      <c r="W2955" s="240"/>
      <c r="X2955" s="278"/>
      <c r="Y2955" s="239"/>
      <c r="Z2955" s="237"/>
      <c r="AA2955" s="292"/>
      <c r="AB2955" s="238"/>
      <c r="AC2955" s="196">
        <f t="shared" si="704"/>
        <v>0</v>
      </c>
      <c r="AD2955" s="196">
        <f t="shared" si="705"/>
        <v>0</v>
      </c>
      <c r="AE2955" s="196">
        <f t="shared" si="706"/>
        <v>0</v>
      </c>
      <c r="AF2955" s="2">
        <f t="shared" si="707"/>
        <v>0</v>
      </c>
      <c r="AG2955" s="2">
        <f t="shared" si="708"/>
        <v>0</v>
      </c>
    </row>
    <row r="2956" spans="1:33">
      <c r="A2956" s="20" t="s">
        <v>2634</v>
      </c>
      <c r="B2956" s="152" t="s">
        <v>5874</v>
      </c>
      <c r="C2956" s="21" t="s">
        <v>598</v>
      </c>
      <c r="D2956" s="109" t="s">
        <v>16073</v>
      </c>
      <c r="E2956" s="109" t="s">
        <v>26789</v>
      </c>
      <c r="F2956" s="391" t="s">
        <v>16074</v>
      </c>
      <c r="G2956" s="23" t="s">
        <v>25197</v>
      </c>
      <c r="H2956" s="23" t="s">
        <v>25783</v>
      </c>
      <c r="I2956" s="23" t="s">
        <v>13865</v>
      </c>
      <c r="J2956" s="23" t="s">
        <v>25196</v>
      </c>
      <c r="K2956" s="23" t="s">
        <v>25761</v>
      </c>
      <c r="L2956" s="375" t="s">
        <v>27988</v>
      </c>
      <c r="M2956" s="351" t="s">
        <v>7787</v>
      </c>
      <c r="N2956" s="267">
        <f t="shared" si="709"/>
        <v>0</v>
      </c>
      <c r="O2956" s="268">
        <f t="shared" si="710"/>
        <v>1950</v>
      </c>
      <c r="P2956" s="239"/>
      <c r="Q2956" s="241">
        <f>2450-500</f>
        <v>1950</v>
      </c>
      <c r="R2956" s="239"/>
      <c r="S2956" s="239"/>
      <c r="T2956" s="239"/>
      <c r="U2956" s="240"/>
      <c r="V2956" s="240"/>
      <c r="W2956" s="240"/>
      <c r="X2956" s="278"/>
      <c r="Y2956" s="237"/>
      <c r="Z2956" s="237"/>
      <c r="AA2956" s="279"/>
      <c r="AB2956" s="238" t="s">
        <v>27986</v>
      </c>
      <c r="AC2956" s="196">
        <f t="shared" si="704"/>
        <v>1950</v>
      </c>
      <c r="AD2956" s="196">
        <f t="shared" si="705"/>
        <v>1950</v>
      </c>
      <c r="AE2956" s="196">
        <f t="shared" si="706"/>
        <v>0</v>
      </c>
      <c r="AF2956" s="2">
        <f t="shared" si="707"/>
        <v>1950</v>
      </c>
      <c r="AG2956" s="2">
        <f t="shared" si="708"/>
        <v>0</v>
      </c>
    </row>
    <row r="2957" spans="1:33">
      <c r="A2957" s="20" t="s">
        <v>26761</v>
      </c>
      <c r="B2957" s="162"/>
      <c r="C2957" s="21" t="s">
        <v>598</v>
      </c>
      <c r="D2957" s="109" t="s">
        <v>4070</v>
      </c>
      <c r="E2957" s="109" t="s">
        <v>27499</v>
      </c>
      <c r="F2957" s="391" t="s">
        <v>26790</v>
      </c>
      <c r="G2957" s="23" t="s">
        <v>10645</v>
      </c>
      <c r="H2957" s="23" t="s">
        <v>26791</v>
      </c>
      <c r="I2957" s="23" t="s">
        <v>26792</v>
      </c>
      <c r="J2957" s="23" t="s">
        <v>21255</v>
      </c>
      <c r="K2957" s="23" t="s">
        <v>26793</v>
      </c>
      <c r="L2957" s="375" t="s">
        <v>7787</v>
      </c>
      <c r="M2957" s="351" t="s">
        <v>7787</v>
      </c>
      <c r="N2957" s="267">
        <f t="shared" ref="N2957" si="713">SUM(L2957:M2957)</f>
        <v>0</v>
      </c>
      <c r="O2957" s="268">
        <f t="shared" ref="O2957" si="714">SUM(P2957:Z2957)</f>
        <v>700</v>
      </c>
      <c r="P2957" s="239"/>
      <c r="Q2957" s="241"/>
      <c r="R2957" s="239">
        <f>1000-300</f>
        <v>700</v>
      </c>
      <c r="S2957" s="239"/>
      <c r="T2957" s="239"/>
      <c r="U2957" s="240"/>
      <c r="V2957" s="240"/>
      <c r="W2957" s="240"/>
      <c r="X2957" s="278"/>
      <c r="Y2957" s="237"/>
      <c r="Z2957" s="237"/>
      <c r="AA2957" s="279"/>
      <c r="AB2957" s="238"/>
      <c r="AC2957" s="196">
        <f t="shared" si="704"/>
        <v>700</v>
      </c>
      <c r="AD2957" s="196">
        <f t="shared" si="705"/>
        <v>700</v>
      </c>
      <c r="AE2957" s="196">
        <f t="shared" si="706"/>
        <v>0</v>
      </c>
      <c r="AF2957" s="2">
        <f t="shared" si="707"/>
        <v>700</v>
      </c>
      <c r="AG2957" s="2">
        <f t="shared" si="708"/>
        <v>0</v>
      </c>
    </row>
    <row r="2958" spans="1:33">
      <c r="A2958" s="20" t="s">
        <v>2635</v>
      </c>
      <c r="B2958" s="150"/>
      <c r="C2958" s="21" t="s">
        <v>599</v>
      </c>
      <c r="D2958" s="109" t="s">
        <v>13866</v>
      </c>
      <c r="E2958" s="109"/>
      <c r="F2958" s="391" t="s">
        <v>16075</v>
      </c>
      <c r="G2958" s="23" t="s">
        <v>15696</v>
      </c>
      <c r="H2958" s="23"/>
      <c r="I2958" s="23"/>
      <c r="J2958" s="23"/>
      <c r="K2958" s="23"/>
      <c r="L2958" s="375" t="s">
        <v>7787</v>
      </c>
      <c r="M2958" s="351"/>
      <c r="N2958" s="267">
        <f t="shared" si="709"/>
        <v>0</v>
      </c>
      <c r="O2958" s="268">
        <f t="shared" si="710"/>
        <v>0</v>
      </c>
      <c r="P2958" s="239"/>
      <c r="Q2958" s="239"/>
      <c r="R2958" s="239"/>
      <c r="S2958" s="239"/>
      <c r="T2958" s="239"/>
      <c r="U2958" s="240"/>
      <c r="V2958" s="240"/>
      <c r="W2958" s="240"/>
      <c r="X2958" s="278"/>
      <c r="Y2958" s="237"/>
      <c r="Z2958" s="237"/>
      <c r="AA2958" s="240"/>
      <c r="AB2958" s="238"/>
      <c r="AC2958" s="196">
        <f t="shared" si="704"/>
        <v>0</v>
      </c>
      <c r="AD2958" s="196">
        <f t="shared" si="705"/>
        <v>0</v>
      </c>
      <c r="AE2958" s="196">
        <f t="shared" si="706"/>
        <v>0</v>
      </c>
      <c r="AF2958" s="2">
        <f t="shared" si="707"/>
        <v>0</v>
      </c>
      <c r="AG2958" s="2">
        <f t="shared" si="708"/>
        <v>0</v>
      </c>
    </row>
    <row r="2959" spans="1:33">
      <c r="A2959" s="20" t="s">
        <v>2636</v>
      </c>
      <c r="B2959" s="150"/>
      <c r="C2959" s="21" t="s">
        <v>600</v>
      </c>
      <c r="D2959" s="109" t="s">
        <v>13859</v>
      </c>
      <c r="E2959" s="109" t="s">
        <v>13303</v>
      </c>
      <c r="F2959" s="391" t="s">
        <v>16076</v>
      </c>
      <c r="G2959" s="23" t="s">
        <v>15715</v>
      </c>
      <c r="H2959" s="23"/>
      <c r="I2959" s="23"/>
      <c r="J2959" s="23"/>
      <c r="K2959" s="23"/>
      <c r="L2959" s="350"/>
      <c r="M2959" s="351"/>
      <c r="N2959" s="267">
        <f t="shared" si="709"/>
        <v>0</v>
      </c>
      <c r="O2959" s="268">
        <f t="shared" si="710"/>
        <v>0</v>
      </c>
      <c r="P2959" s="239"/>
      <c r="Q2959" s="239"/>
      <c r="R2959" s="239"/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/>
      <c r="AC2959" s="196">
        <f t="shared" si="704"/>
        <v>0</v>
      </c>
      <c r="AD2959" s="196">
        <f t="shared" si="705"/>
        <v>0</v>
      </c>
      <c r="AE2959" s="196">
        <f t="shared" si="706"/>
        <v>0</v>
      </c>
      <c r="AF2959" s="2">
        <f t="shared" si="707"/>
        <v>0</v>
      </c>
      <c r="AG2959" s="2">
        <f t="shared" si="708"/>
        <v>0</v>
      </c>
    </row>
    <row r="2960" spans="1:33">
      <c r="A2960" s="20" t="s">
        <v>2637</v>
      </c>
      <c r="B2960" s="150"/>
      <c r="C2960" s="21" t="s">
        <v>600</v>
      </c>
      <c r="D2960" s="109" t="s">
        <v>13866</v>
      </c>
      <c r="E2960" s="109"/>
      <c r="F2960" s="391" t="s">
        <v>16077</v>
      </c>
      <c r="G2960" s="23" t="s">
        <v>15715</v>
      </c>
      <c r="H2960" s="23"/>
      <c r="I2960" s="23"/>
      <c r="J2960" s="23"/>
      <c r="K2960" s="23"/>
      <c r="L2960" s="375" t="s">
        <v>7787</v>
      </c>
      <c r="M2960" s="351" t="s">
        <v>7787</v>
      </c>
      <c r="N2960" s="267">
        <f t="shared" si="709"/>
        <v>0</v>
      </c>
      <c r="O2960" s="268">
        <f t="shared" si="710"/>
        <v>0</v>
      </c>
      <c r="P2960" s="239"/>
      <c r="Q2960" s="239"/>
      <c r="R2960" s="248"/>
      <c r="S2960" s="239"/>
      <c r="T2960" s="239"/>
      <c r="U2960" s="240"/>
      <c r="V2960" s="240"/>
      <c r="W2960" s="240"/>
      <c r="X2960" s="278"/>
      <c r="Y2960" s="237"/>
      <c r="Z2960" s="237"/>
      <c r="AA2960" s="279"/>
      <c r="AB2960" s="238"/>
      <c r="AC2960" s="196">
        <f t="shared" si="704"/>
        <v>0</v>
      </c>
      <c r="AD2960" s="196">
        <f t="shared" si="705"/>
        <v>0</v>
      </c>
      <c r="AE2960" s="196">
        <f t="shared" si="706"/>
        <v>0</v>
      </c>
      <c r="AF2960" s="2">
        <f t="shared" si="707"/>
        <v>0</v>
      </c>
      <c r="AG2960" s="2">
        <f t="shared" si="708"/>
        <v>0</v>
      </c>
    </row>
    <row r="2961" spans="1:33">
      <c r="A2961" s="20" t="s">
        <v>17965</v>
      </c>
      <c r="B2961" s="150"/>
      <c r="C2961" s="21" t="s">
        <v>600</v>
      </c>
      <c r="D2961" s="109" t="s">
        <v>3137</v>
      </c>
      <c r="E2961" s="109"/>
      <c r="F2961" s="391" t="s">
        <v>5114</v>
      </c>
      <c r="G2961" s="23" t="s">
        <v>15190</v>
      </c>
      <c r="H2961" s="23"/>
      <c r="I2961" s="23"/>
      <c r="J2961" s="23"/>
      <c r="K2961" s="23"/>
      <c r="L2961" s="375" t="s">
        <v>45</v>
      </c>
      <c r="M2961" s="351" t="s">
        <v>7787</v>
      </c>
      <c r="N2961" s="267">
        <f t="shared" si="709"/>
        <v>0</v>
      </c>
      <c r="O2961" s="268">
        <f t="shared" si="710"/>
        <v>50</v>
      </c>
      <c r="P2961" s="239"/>
      <c r="Q2961" s="239"/>
      <c r="R2961" s="239">
        <v>50</v>
      </c>
      <c r="S2961" s="239"/>
      <c r="T2961" s="239"/>
      <c r="U2961" s="240"/>
      <c r="V2961" s="240"/>
      <c r="W2961" s="240"/>
      <c r="X2961" s="278"/>
      <c r="Y2961" s="237"/>
      <c r="Z2961" s="237"/>
      <c r="AA2961" s="279"/>
      <c r="AB2961" s="238" t="s">
        <v>26535</v>
      </c>
      <c r="AC2961" s="196">
        <f t="shared" si="704"/>
        <v>50</v>
      </c>
      <c r="AD2961" s="196">
        <f t="shared" si="705"/>
        <v>50</v>
      </c>
      <c r="AE2961" s="196">
        <f t="shared" si="706"/>
        <v>0</v>
      </c>
      <c r="AF2961" s="2">
        <f t="shared" si="707"/>
        <v>50</v>
      </c>
      <c r="AG2961" s="2">
        <f t="shared" si="708"/>
        <v>0</v>
      </c>
    </row>
    <row r="2962" spans="1:33">
      <c r="A2962" s="20" t="s">
        <v>2638</v>
      </c>
      <c r="B2962" s="150"/>
      <c r="C2962" s="21" t="s">
        <v>601</v>
      </c>
      <c r="D2962" s="109" t="s">
        <v>15862</v>
      </c>
      <c r="E2962" s="109"/>
      <c r="F2962" s="391" t="s">
        <v>16078</v>
      </c>
      <c r="G2962" s="23" t="s">
        <v>15867</v>
      </c>
      <c r="H2962" s="23"/>
      <c r="I2962" s="23"/>
      <c r="J2962" s="23"/>
      <c r="K2962" s="23"/>
      <c r="L2962" s="350"/>
      <c r="M2962" s="351"/>
      <c r="N2962" s="267">
        <f t="shared" si="709"/>
        <v>0</v>
      </c>
      <c r="O2962" s="268">
        <f t="shared" si="710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85"/>
      <c r="AB2962" s="238"/>
      <c r="AC2962" s="196">
        <f t="shared" si="704"/>
        <v>0</v>
      </c>
      <c r="AD2962" s="196">
        <f t="shared" si="705"/>
        <v>0</v>
      </c>
      <c r="AE2962" s="196">
        <f t="shared" si="706"/>
        <v>0</v>
      </c>
      <c r="AF2962" s="2">
        <f t="shared" si="707"/>
        <v>0</v>
      </c>
      <c r="AG2962" s="2">
        <f t="shared" si="708"/>
        <v>0</v>
      </c>
    </row>
    <row r="2963" spans="1:33">
      <c r="A2963" s="20" t="s">
        <v>2763</v>
      </c>
      <c r="B2963" s="161"/>
      <c r="C2963" s="21" t="s">
        <v>16079</v>
      </c>
      <c r="D2963" s="109" t="s">
        <v>15933</v>
      </c>
      <c r="E2963" s="109"/>
      <c r="F2963" s="391" t="s">
        <v>16046</v>
      </c>
      <c r="G2963" s="23"/>
      <c r="H2963" s="23"/>
      <c r="I2963" s="23"/>
      <c r="J2963" s="23"/>
      <c r="K2963" s="23"/>
      <c r="L2963" s="350"/>
      <c r="M2963" s="351"/>
      <c r="N2963" s="267">
        <f t="shared" si="709"/>
        <v>0</v>
      </c>
      <c r="O2963" s="268">
        <f t="shared" si="710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4"/>
        <v>0</v>
      </c>
      <c r="AD2963" s="196">
        <f t="shared" si="705"/>
        <v>0</v>
      </c>
      <c r="AE2963" s="196">
        <f t="shared" si="706"/>
        <v>0</v>
      </c>
      <c r="AF2963" s="2">
        <f t="shared" si="707"/>
        <v>0</v>
      </c>
      <c r="AG2963" s="2">
        <f t="shared" si="708"/>
        <v>0</v>
      </c>
    </row>
    <row r="2964" spans="1:33">
      <c r="A2964" s="20" t="s">
        <v>2764</v>
      </c>
      <c r="B2964" s="161"/>
      <c r="C2964" s="21" t="s">
        <v>16079</v>
      </c>
      <c r="D2964" s="109" t="s">
        <v>15935</v>
      </c>
      <c r="E2964" s="109"/>
      <c r="F2964" s="391" t="s">
        <v>16046</v>
      </c>
      <c r="G2964" s="23"/>
      <c r="H2964" s="23"/>
      <c r="I2964" s="23"/>
      <c r="J2964" s="23"/>
      <c r="K2964" s="23"/>
      <c r="L2964" s="350"/>
      <c r="M2964" s="351"/>
      <c r="N2964" s="267">
        <f t="shared" si="709"/>
        <v>0</v>
      </c>
      <c r="O2964" s="268">
        <f t="shared" si="710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4"/>
        <v>0</v>
      </c>
      <c r="AD2964" s="196">
        <f t="shared" si="705"/>
        <v>0</v>
      </c>
      <c r="AE2964" s="196">
        <f t="shared" si="706"/>
        <v>0</v>
      </c>
      <c r="AF2964" s="2">
        <f t="shared" si="707"/>
        <v>0</v>
      </c>
      <c r="AG2964" s="2">
        <f t="shared" si="708"/>
        <v>0</v>
      </c>
    </row>
    <row r="2965" spans="1:33">
      <c r="A2965" s="20" t="s">
        <v>2765</v>
      </c>
      <c r="B2965" s="150"/>
      <c r="C2965" s="21" t="s">
        <v>830</v>
      </c>
      <c r="D2965" s="109" t="s">
        <v>13866</v>
      </c>
      <c r="E2965" s="109"/>
      <c r="F2965" s="391" t="s">
        <v>16080</v>
      </c>
      <c r="G2965" s="23"/>
      <c r="H2965" s="23"/>
      <c r="I2965" s="23"/>
      <c r="J2965" s="23"/>
      <c r="K2965" s="23"/>
      <c r="L2965" s="350"/>
      <c r="M2965" s="351"/>
      <c r="N2965" s="267">
        <f t="shared" si="709"/>
        <v>0</v>
      </c>
      <c r="O2965" s="268">
        <f t="shared" si="710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/>
      <c r="Y2965" s="237"/>
      <c r="Z2965" s="237"/>
      <c r="AA2965" s="279"/>
      <c r="AB2965" s="238"/>
      <c r="AC2965" s="196">
        <f t="shared" si="704"/>
        <v>0</v>
      </c>
      <c r="AD2965" s="196">
        <f t="shared" si="705"/>
        <v>0</v>
      </c>
      <c r="AE2965" s="196">
        <f t="shared" si="706"/>
        <v>0</v>
      </c>
      <c r="AF2965" s="2">
        <f t="shared" si="707"/>
        <v>0</v>
      </c>
      <c r="AG2965" s="2">
        <f t="shared" si="708"/>
        <v>0</v>
      </c>
    </row>
    <row r="2966" spans="1:33">
      <c r="A2966" s="20" t="s">
        <v>2639</v>
      </c>
      <c r="B2966" s="151" t="s">
        <v>5875</v>
      </c>
      <c r="C2966" s="21" t="s">
        <v>602</v>
      </c>
      <c r="D2966" s="109" t="s">
        <v>13866</v>
      </c>
      <c r="E2966" s="109" t="s">
        <v>15690</v>
      </c>
      <c r="F2966" s="391" t="s">
        <v>16081</v>
      </c>
      <c r="G2966" s="23" t="s">
        <v>15688</v>
      </c>
      <c r="H2966" s="23"/>
      <c r="I2966" s="23"/>
      <c r="J2966" s="23"/>
      <c r="K2966" s="23"/>
      <c r="L2966" s="375"/>
      <c r="M2966" s="351"/>
      <c r="N2966" s="267">
        <f t="shared" si="709"/>
        <v>0</v>
      </c>
      <c r="O2966" s="268">
        <f t="shared" si="710"/>
        <v>0</v>
      </c>
      <c r="P2966" s="239"/>
      <c r="Q2966" s="239"/>
      <c r="R2966" s="239"/>
      <c r="S2966" s="239"/>
      <c r="T2966" s="239"/>
      <c r="U2966" s="240"/>
      <c r="V2966" s="240"/>
      <c r="W2966" s="240"/>
      <c r="X2966" s="278"/>
      <c r="Y2966" s="237"/>
      <c r="Z2966" s="237"/>
      <c r="AA2966" s="279"/>
      <c r="AB2966" s="238"/>
      <c r="AC2966" s="196">
        <f t="shared" si="704"/>
        <v>0</v>
      </c>
      <c r="AD2966" s="196">
        <f t="shared" si="705"/>
        <v>0</v>
      </c>
      <c r="AE2966" s="196">
        <f t="shared" si="706"/>
        <v>0</v>
      </c>
      <c r="AF2966" s="2">
        <f t="shared" si="707"/>
        <v>0</v>
      </c>
      <c r="AG2966" s="2">
        <f t="shared" si="708"/>
        <v>0</v>
      </c>
    </row>
    <row r="2967" spans="1:33">
      <c r="A2967" s="20" t="s">
        <v>2640</v>
      </c>
      <c r="B2967" s="161"/>
      <c r="C2967" s="21" t="s">
        <v>602</v>
      </c>
      <c r="D2967" s="109" t="s">
        <v>13866</v>
      </c>
      <c r="E2967" s="109"/>
      <c r="F2967" s="391" t="s">
        <v>16082</v>
      </c>
      <c r="G2967" s="23" t="s">
        <v>15688</v>
      </c>
      <c r="H2967" s="23"/>
      <c r="I2967" s="23"/>
      <c r="J2967" s="23"/>
      <c r="K2967" s="23"/>
      <c r="L2967" s="350"/>
      <c r="M2967" s="351"/>
      <c r="N2967" s="267">
        <f t="shared" si="709"/>
        <v>0</v>
      </c>
      <c r="O2967" s="268">
        <f t="shared" si="710"/>
        <v>0</v>
      </c>
      <c r="P2967" s="239"/>
      <c r="Q2967" s="239"/>
      <c r="R2967" s="239"/>
      <c r="S2967" s="239"/>
      <c r="T2967" s="239"/>
      <c r="U2967" s="240"/>
      <c r="V2967" s="240"/>
      <c r="W2967" s="240"/>
      <c r="X2967" s="278">
        <v>0</v>
      </c>
      <c r="Y2967" s="237"/>
      <c r="Z2967" s="237"/>
      <c r="AA2967" s="279"/>
      <c r="AB2967" s="238"/>
      <c r="AC2967" s="196">
        <f t="shared" si="704"/>
        <v>0</v>
      </c>
      <c r="AD2967" s="196">
        <f t="shared" si="705"/>
        <v>0</v>
      </c>
      <c r="AE2967" s="196">
        <f t="shared" si="706"/>
        <v>0</v>
      </c>
      <c r="AF2967" s="2">
        <f t="shared" si="707"/>
        <v>0</v>
      </c>
      <c r="AG2967" s="2">
        <f t="shared" si="708"/>
        <v>0</v>
      </c>
    </row>
    <row r="2968" spans="1:33">
      <c r="A2968" s="20" t="s">
        <v>6861</v>
      </c>
      <c r="B2968" s="161"/>
      <c r="C2968" s="21" t="s">
        <v>16083</v>
      </c>
      <c r="D2968" s="109" t="s">
        <v>13296</v>
      </c>
      <c r="E2968" s="109" t="s">
        <v>24297</v>
      </c>
      <c r="F2968" s="391" t="s">
        <v>16084</v>
      </c>
      <c r="G2968" s="23" t="s">
        <v>15707</v>
      </c>
      <c r="H2968" s="23" t="s">
        <v>16085</v>
      </c>
      <c r="I2968" s="23" t="s">
        <v>16086</v>
      </c>
      <c r="J2968" s="23"/>
      <c r="K2968" s="23"/>
      <c r="L2968" s="359" t="s">
        <v>7787</v>
      </c>
      <c r="M2968" s="357" t="s">
        <v>7787</v>
      </c>
      <c r="N2968" s="267">
        <f t="shared" si="709"/>
        <v>0</v>
      </c>
      <c r="O2968" s="268">
        <f t="shared" si="710"/>
        <v>7200</v>
      </c>
      <c r="P2968" s="239"/>
      <c r="Q2968" s="239"/>
      <c r="R2968" s="239"/>
      <c r="S2968" s="239"/>
      <c r="T2968" s="239">
        <f>10000-2800</f>
        <v>7200</v>
      </c>
      <c r="U2968" s="240"/>
      <c r="V2968" s="240"/>
      <c r="W2968" s="240"/>
      <c r="X2968" s="278"/>
      <c r="Y2968" s="237"/>
      <c r="Z2968" s="237"/>
      <c r="AA2968" s="279"/>
      <c r="AB2968" s="238" t="s">
        <v>26905</v>
      </c>
      <c r="AC2968" s="196">
        <f t="shared" si="704"/>
        <v>7200</v>
      </c>
      <c r="AD2968" s="196">
        <f t="shared" si="705"/>
        <v>7200</v>
      </c>
      <c r="AE2968" s="196">
        <f t="shared" si="706"/>
        <v>0</v>
      </c>
      <c r="AF2968" s="2">
        <f t="shared" si="707"/>
        <v>7200</v>
      </c>
      <c r="AG2968" s="2">
        <f t="shared" si="708"/>
        <v>0</v>
      </c>
    </row>
    <row r="2969" spans="1:33">
      <c r="A2969" s="20" t="s">
        <v>2641</v>
      </c>
      <c r="B2969" s="161"/>
      <c r="C2969" s="21" t="s">
        <v>603</v>
      </c>
      <c r="D2969" s="109" t="s">
        <v>13859</v>
      </c>
      <c r="E2969" s="109" t="s">
        <v>13303</v>
      </c>
      <c r="F2969" s="391" t="s">
        <v>16087</v>
      </c>
      <c r="G2969" s="23" t="s">
        <v>16088</v>
      </c>
      <c r="H2969" s="23"/>
      <c r="I2969" s="23"/>
      <c r="J2969" s="23"/>
      <c r="K2969" s="23"/>
      <c r="L2969" s="350"/>
      <c r="M2969" s="351"/>
      <c r="N2969" s="267">
        <f t="shared" si="709"/>
        <v>0</v>
      </c>
      <c r="O2969" s="268">
        <f t="shared" si="710"/>
        <v>0</v>
      </c>
      <c r="P2969" s="239"/>
      <c r="Q2969" s="239"/>
      <c r="R2969" s="239"/>
      <c r="S2969" s="239"/>
      <c r="T2969" s="239"/>
      <c r="U2969" s="240"/>
      <c r="V2969" s="240"/>
      <c r="W2969" s="240"/>
      <c r="X2969" s="278"/>
      <c r="Y2969" s="237"/>
      <c r="Z2969" s="237"/>
      <c r="AA2969" s="279"/>
      <c r="AB2969" s="238"/>
      <c r="AC2969" s="196">
        <f t="shared" si="704"/>
        <v>0</v>
      </c>
      <c r="AD2969" s="196">
        <f t="shared" si="705"/>
        <v>0</v>
      </c>
      <c r="AE2969" s="196">
        <f t="shared" si="706"/>
        <v>0</v>
      </c>
      <c r="AF2969" s="2">
        <f t="shared" si="707"/>
        <v>0</v>
      </c>
      <c r="AG2969" s="2">
        <f t="shared" si="708"/>
        <v>0</v>
      </c>
    </row>
    <row r="2970" spans="1:33">
      <c r="A2970" s="20" t="s">
        <v>2642</v>
      </c>
      <c r="B2970" s="150"/>
      <c r="C2970" s="21" t="s">
        <v>603</v>
      </c>
      <c r="D2970" s="109" t="s">
        <v>13866</v>
      </c>
      <c r="E2970" s="109"/>
      <c r="F2970" s="391" t="s">
        <v>16087</v>
      </c>
      <c r="G2970" s="23" t="s">
        <v>16088</v>
      </c>
      <c r="H2970" s="23" t="s">
        <v>15699</v>
      </c>
      <c r="I2970" s="23"/>
      <c r="J2970" s="23"/>
      <c r="K2970" s="23"/>
      <c r="L2970" s="375" t="s">
        <v>7787</v>
      </c>
      <c r="M2970" s="351"/>
      <c r="N2970" s="267">
        <f t="shared" si="709"/>
        <v>0</v>
      </c>
      <c r="O2970" s="268">
        <f t="shared" si="710"/>
        <v>0</v>
      </c>
      <c r="P2970" s="239"/>
      <c r="Q2970" s="239"/>
      <c r="R2970" s="239"/>
      <c r="S2970" s="239"/>
      <c r="T2970" s="239"/>
      <c r="U2970" s="240"/>
      <c r="V2970" s="240"/>
      <c r="W2970" s="240"/>
      <c r="X2970" s="278"/>
      <c r="Y2970" s="237"/>
      <c r="Z2970" s="237"/>
      <c r="AA2970" s="279"/>
      <c r="AB2970" s="238"/>
      <c r="AC2970" s="196">
        <f t="shared" si="704"/>
        <v>0</v>
      </c>
      <c r="AD2970" s="196">
        <f t="shared" si="705"/>
        <v>0</v>
      </c>
      <c r="AE2970" s="196">
        <f t="shared" si="706"/>
        <v>0</v>
      </c>
      <c r="AF2970" s="2">
        <f t="shared" si="707"/>
        <v>0</v>
      </c>
      <c r="AG2970" s="2">
        <f t="shared" si="708"/>
        <v>0</v>
      </c>
    </row>
    <row r="2971" spans="1:33">
      <c r="A2971" s="20" t="s">
        <v>2643</v>
      </c>
      <c r="B2971" s="162" t="s">
        <v>5876</v>
      </c>
      <c r="C2971" s="21" t="s">
        <v>604</v>
      </c>
      <c r="D2971" s="109" t="s">
        <v>15717</v>
      </c>
      <c r="E2971" s="109"/>
      <c r="F2971" s="391" t="s">
        <v>16089</v>
      </c>
      <c r="G2971" s="23" t="s">
        <v>13863</v>
      </c>
      <c r="H2971" s="23"/>
      <c r="I2971" s="23"/>
      <c r="J2971" s="23"/>
      <c r="K2971" s="23"/>
      <c r="L2971" s="375" t="s">
        <v>7787</v>
      </c>
      <c r="M2971" s="351" t="s">
        <v>7787</v>
      </c>
      <c r="N2971" s="267">
        <f t="shared" si="709"/>
        <v>0</v>
      </c>
      <c r="O2971" s="268">
        <f t="shared" si="710"/>
        <v>0</v>
      </c>
      <c r="P2971" s="239"/>
      <c r="Q2971" s="239"/>
      <c r="R2971" s="239"/>
      <c r="S2971" s="239"/>
      <c r="T2971" s="239"/>
      <c r="U2971" s="240"/>
      <c r="V2971" s="239"/>
      <c r="W2971" s="240"/>
      <c r="X2971" s="278"/>
      <c r="Y2971" s="237"/>
      <c r="Z2971" s="237"/>
      <c r="AA2971" s="279"/>
      <c r="AB2971" s="238"/>
      <c r="AC2971" s="196">
        <f t="shared" si="704"/>
        <v>0</v>
      </c>
      <c r="AD2971" s="196">
        <f t="shared" si="705"/>
        <v>0</v>
      </c>
      <c r="AE2971" s="196">
        <f t="shared" si="706"/>
        <v>0</v>
      </c>
      <c r="AF2971" s="2">
        <f t="shared" si="707"/>
        <v>0</v>
      </c>
      <c r="AG2971" s="2">
        <f t="shared" si="708"/>
        <v>0</v>
      </c>
    </row>
    <row r="2972" spans="1:33">
      <c r="A2972" s="20" t="s">
        <v>10825</v>
      </c>
      <c r="B2972" s="162"/>
      <c r="C2972" s="21" t="s">
        <v>16090</v>
      </c>
      <c r="D2972" s="109" t="s">
        <v>16091</v>
      </c>
      <c r="E2972" s="109"/>
      <c r="F2972" s="391" t="s">
        <v>16092</v>
      </c>
      <c r="G2972" s="23" t="s">
        <v>16093</v>
      </c>
      <c r="H2972" s="23"/>
      <c r="I2972" s="23"/>
      <c r="J2972" s="23"/>
      <c r="K2972" s="23"/>
      <c r="L2972" s="375" t="s">
        <v>7787</v>
      </c>
      <c r="M2972" s="351" t="s">
        <v>7787</v>
      </c>
      <c r="N2972" s="267">
        <f t="shared" si="709"/>
        <v>0</v>
      </c>
      <c r="O2972" s="268">
        <f t="shared" si="710"/>
        <v>0</v>
      </c>
      <c r="P2972" s="239"/>
      <c r="Q2972" s="239"/>
      <c r="R2972" s="239"/>
      <c r="S2972" s="239"/>
      <c r="T2972" s="239"/>
      <c r="U2972" s="240"/>
      <c r="V2972" s="240"/>
      <c r="W2972" s="240"/>
      <c r="X2972" s="278"/>
      <c r="Y2972" s="237"/>
      <c r="Z2972" s="237"/>
      <c r="AA2972" s="239"/>
      <c r="AB2972" s="238"/>
      <c r="AC2972" s="196">
        <f t="shared" si="704"/>
        <v>0</v>
      </c>
      <c r="AD2972" s="196">
        <f t="shared" si="705"/>
        <v>0</v>
      </c>
      <c r="AE2972" s="196">
        <f t="shared" si="706"/>
        <v>0</v>
      </c>
      <c r="AF2972" s="2">
        <f t="shared" si="707"/>
        <v>0</v>
      </c>
      <c r="AG2972" s="2">
        <f t="shared" si="708"/>
        <v>0</v>
      </c>
    </row>
    <row r="2973" spans="1:33">
      <c r="A2973" s="20" t="s">
        <v>2644</v>
      </c>
      <c r="B2973" s="156" t="s">
        <v>16094</v>
      </c>
      <c r="C2973" s="21" t="s">
        <v>605</v>
      </c>
      <c r="D2973" s="109" t="s">
        <v>15694</v>
      </c>
      <c r="E2973" s="109"/>
      <c r="F2973" s="391" t="s">
        <v>16095</v>
      </c>
      <c r="G2973" s="23" t="s">
        <v>15696</v>
      </c>
      <c r="H2973" s="23"/>
      <c r="I2973" s="23"/>
      <c r="J2973" s="23"/>
      <c r="K2973" s="23"/>
      <c r="L2973" s="350"/>
      <c r="M2973" s="351"/>
      <c r="N2973" s="267">
        <f t="shared" si="709"/>
        <v>0</v>
      </c>
      <c r="O2973" s="268">
        <f t="shared" si="710"/>
        <v>0</v>
      </c>
      <c r="P2973" s="239"/>
      <c r="Q2973" s="239"/>
      <c r="R2973" s="239"/>
      <c r="S2973" s="239"/>
      <c r="T2973" s="239"/>
      <c r="U2973" s="240"/>
      <c r="V2973" s="240"/>
      <c r="W2973" s="240"/>
      <c r="X2973" s="278"/>
      <c r="Y2973" s="237"/>
      <c r="Z2973" s="237"/>
      <c r="AA2973" s="279"/>
      <c r="AB2973" s="238"/>
      <c r="AC2973" s="196">
        <f t="shared" si="704"/>
        <v>0</v>
      </c>
      <c r="AD2973" s="196">
        <f t="shared" si="705"/>
        <v>0</v>
      </c>
      <c r="AE2973" s="196">
        <f t="shared" si="706"/>
        <v>0</v>
      </c>
      <c r="AF2973" s="2">
        <f t="shared" si="707"/>
        <v>0</v>
      </c>
      <c r="AG2973" s="2">
        <f t="shared" si="708"/>
        <v>0</v>
      </c>
    </row>
    <row r="2974" spans="1:33">
      <c r="A2974" s="377" t="s">
        <v>2645</v>
      </c>
      <c r="B2974" s="151"/>
      <c r="C2974" s="213" t="s">
        <v>606</v>
      </c>
      <c r="D2974" s="109" t="s">
        <v>15694</v>
      </c>
      <c r="E2974" s="109" t="s">
        <v>21132</v>
      </c>
      <c r="F2974" s="393" t="s">
        <v>16096</v>
      </c>
      <c r="G2974" s="380" t="s">
        <v>15696</v>
      </c>
      <c r="H2974" s="380" t="s">
        <v>13863</v>
      </c>
      <c r="I2974" s="380" t="s">
        <v>15071</v>
      </c>
      <c r="J2974" s="380" t="s">
        <v>18865</v>
      </c>
      <c r="K2974" s="380"/>
      <c r="L2974" s="375"/>
      <c r="M2974" s="351"/>
      <c r="N2974" s="267">
        <f t="shared" si="709"/>
        <v>0</v>
      </c>
      <c r="O2974" s="268">
        <f t="shared" si="710"/>
        <v>8800</v>
      </c>
      <c r="P2974" s="239"/>
      <c r="Q2974" s="239"/>
      <c r="R2974" s="239"/>
      <c r="S2974" s="239"/>
      <c r="T2974" s="239"/>
      <c r="U2974" s="240">
        <f>3600-2000+3200+3200-100-4800+3200+3200+3000+3500-4800-9600+1400+2200-4800+2800+2800-2700+2600+2400+1800+3000-9600+3200+3000+2800+3200+3600+2800+3000+2800+3400+3200-100+2800+3400-9600-300-2700-9600-9600</f>
        <v>8800</v>
      </c>
      <c r="V2974" s="240"/>
      <c r="W2974" s="240"/>
      <c r="X2974" s="278"/>
      <c r="Y2974" s="237"/>
      <c r="Z2974" s="237"/>
      <c r="AA2974" s="279"/>
      <c r="AB2974" s="238" t="s">
        <v>27746</v>
      </c>
      <c r="AC2974" s="196">
        <f t="shared" si="704"/>
        <v>8800</v>
      </c>
      <c r="AD2974" s="196">
        <f t="shared" si="705"/>
        <v>8800</v>
      </c>
      <c r="AE2974" s="196">
        <f t="shared" si="706"/>
        <v>0</v>
      </c>
      <c r="AF2974" s="2">
        <f t="shared" si="707"/>
        <v>8800</v>
      </c>
      <c r="AG2974" s="2">
        <f t="shared" si="708"/>
        <v>0</v>
      </c>
    </row>
    <row r="2975" spans="1:33">
      <c r="A2975" s="377" t="s">
        <v>2646</v>
      </c>
      <c r="B2975" s="156"/>
      <c r="C2975" s="213" t="s">
        <v>606</v>
      </c>
      <c r="D2975" s="109" t="s">
        <v>4071</v>
      </c>
      <c r="E2975" s="109" t="s">
        <v>21131</v>
      </c>
      <c r="F2975" s="393" t="s">
        <v>16097</v>
      </c>
      <c r="G2975" s="380" t="s">
        <v>15718</v>
      </c>
      <c r="H2975" s="380"/>
      <c r="I2975" s="380"/>
      <c r="J2975" s="380"/>
      <c r="K2975" s="380"/>
      <c r="L2975" s="375"/>
      <c r="M2975" s="351" t="s">
        <v>7787</v>
      </c>
      <c r="N2975" s="267">
        <f t="shared" si="709"/>
        <v>0</v>
      </c>
      <c r="O2975" s="268">
        <f t="shared" si="710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40"/>
      <c r="Z2975" s="237"/>
      <c r="AA2975" s="279"/>
      <c r="AB2975" s="238"/>
      <c r="AC2975" s="196">
        <f t="shared" si="704"/>
        <v>0</v>
      </c>
      <c r="AD2975" s="196">
        <f t="shared" si="705"/>
        <v>0</v>
      </c>
      <c r="AE2975" s="196">
        <f t="shared" si="706"/>
        <v>0</v>
      </c>
      <c r="AF2975" s="2">
        <f t="shared" si="707"/>
        <v>0</v>
      </c>
      <c r="AG2975" s="2">
        <f t="shared" si="708"/>
        <v>0</v>
      </c>
    </row>
    <row r="2976" spans="1:33">
      <c r="A2976" s="20" t="s">
        <v>6862</v>
      </c>
      <c r="B2976" s="156"/>
      <c r="C2976" s="21" t="s">
        <v>606</v>
      </c>
      <c r="D2976" s="109" t="s">
        <v>4071</v>
      </c>
      <c r="E2976" s="109"/>
      <c r="F2976" s="391" t="s">
        <v>16098</v>
      </c>
      <c r="G2976" s="23" t="s">
        <v>15696</v>
      </c>
      <c r="H2976" s="23" t="s">
        <v>15992</v>
      </c>
      <c r="I2976" s="23" t="s">
        <v>18865</v>
      </c>
      <c r="J2976" s="23"/>
      <c r="K2976" s="23"/>
      <c r="L2976" s="375" t="s">
        <v>7787</v>
      </c>
      <c r="M2976" s="351"/>
      <c r="N2976" s="267">
        <f t="shared" si="709"/>
        <v>0</v>
      </c>
      <c r="O2976" s="268">
        <f t="shared" si="710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40"/>
      <c r="Z2976" s="237"/>
      <c r="AA2976" s="240"/>
      <c r="AB2976" s="238"/>
      <c r="AC2976" s="196">
        <f t="shared" si="704"/>
        <v>0</v>
      </c>
      <c r="AD2976" s="196">
        <f t="shared" si="705"/>
        <v>0</v>
      </c>
      <c r="AE2976" s="196">
        <f t="shared" si="706"/>
        <v>0</v>
      </c>
      <c r="AF2976" s="2">
        <f t="shared" si="707"/>
        <v>0</v>
      </c>
      <c r="AG2976" s="2">
        <f t="shared" si="708"/>
        <v>0</v>
      </c>
    </row>
    <row r="2977" spans="1:33">
      <c r="A2977" s="20" t="s">
        <v>6863</v>
      </c>
      <c r="B2977" s="156"/>
      <c r="C2977" s="21" t="s">
        <v>606</v>
      </c>
      <c r="D2977" s="109" t="s">
        <v>4071</v>
      </c>
      <c r="E2977" s="109"/>
      <c r="F2977" s="391" t="s">
        <v>16099</v>
      </c>
      <c r="G2977" s="23" t="s">
        <v>15699</v>
      </c>
      <c r="H2977" s="23" t="s">
        <v>15718</v>
      </c>
      <c r="I2977" s="23"/>
      <c r="J2977" s="23"/>
      <c r="K2977" s="23"/>
      <c r="L2977" s="350"/>
      <c r="M2977" s="351"/>
      <c r="N2977" s="267">
        <f t="shared" si="709"/>
        <v>0</v>
      </c>
      <c r="O2977" s="268">
        <f t="shared" si="710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79"/>
      <c r="AB2977" s="238"/>
      <c r="AC2977" s="196">
        <f t="shared" si="704"/>
        <v>0</v>
      </c>
      <c r="AD2977" s="196">
        <f t="shared" si="705"/>
        <v>0</v>
      </c>
      <c r="AE2977" s="196">
        <f t="shared" si="706"/>
        <v>0</v>
      </c>
      <c r="AF2977" s="2">
        <f t="shared" si="707"/>
        <v>0</v>
      </c>
      <c r="AG2977" s="2">
        <f t="shared" si="708"/>
        <v>0</v>
      </c>
    </row>
    <row r="2978" spans="1:33">
      <c r="A2978" s="20" t="s">
        <v>2648</v>
      </c>
      <c r="B2978" s="150"/>
      <c r="C2978" s="21" t="s">
        <v>607</v>
      </c>
      <c r="D2978" s="109" t="s">
        <v>15686</v>
      </c>
      <c r="E2978" s="109" t="s">
        <v>13303</v>
      </c>
      <c r="F2978" s="391" t="s">
        <v>16100</v>
      </c>
      <c r="G2978" s="23" t="s">
        <v>15688</v>
      </c>
      <c r="H2978" s="23"/>
      <c r="I2978" s="23"/>
      <c r="J2978" s="23"/>
      <c r="K2978" s="23"/>
      <c r="L2978" s="350"/>
      <c r="M2978" s="351"/>
      <c r="N2978" s="267">
        <f t="shared" si="709"/>
        <v>0</v>
      </c>
      <c r="O2978" s="268">
        <f t="shared" si="710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40"/>
      <c r="AB2978" s="238"/>
      <c r="AC2978" s="196">
        <f t="shared" si="704"/>
        <v>0</v>
      </c>
      <c r="AD2978" s="196">
        <f t="shared" si="705"/>
        <v>0</v>
      </c>
      <c r="AE2978" s="196">
        <f t="shared" si="706"/>
        <v>0</v>
      </c>
      <c r="AF2978" s="2">
        <f t="shared" si="707"/>
        <v>0</v>
      </c>
      <c r="AG2978" s="2">
        <f t="shared" si="708"/>
        <v>0</v>
      </c>
    </row>
    <row r="2979" spans="1:33">
      <c r="A2979" s="20" t="s">
        <v>2647</v>
      </c>
      <c r="B2979" s="161"/>
      <c r="C2979" s="21" t="s">
        <v>607</v>
      </c>
      <c r="D2979" s="109" t="s">
        <v>13293</v>
      </c>
      <c r="E2979" s="109"/>
      <c r="F2979" s="391" t="s">
        <v>16100</v>
      </c>
      <c r="G2979" s="23" t="s">
        <v>15688</v>
      </c>
      <c r="H2979" s="23"/>
      <c r="I2979" s="23"/>
      <c r="J2979" s="23"/>
      <c r="K2979" s="23"/>
      <c r="L2979" s="375" t="s">
        <v>7787</v>
      </c>
      <c r="M2979" s="351" t="s">
        <v>7787</v>
      </c>
      <c r="N2979" s="267">
        <f t="shared" si="709"/>
        <v>0</v>
      </c>
      <c r="O2979" s="268">
        <f t="shared" si="710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40"/>
      <c r="AB2979" s="238"/>
      <c r="AC2979" s="196">
        <f t="shared" si="704"/>
        <v>0</v>
      </c>
      <c r="AD2979" s="196">
        <f t="shared" si="705"/>
        <v>0</v>
      </c>
      <c r="AE2979" s="196">
        <f t="shared" si="706"/>
        <v>0</v>
      </c>
      <c r="AF2979" s="2">
        <f t="shared" si="707"/>
        <v>0</v>
      </c>
      <c r="AG2979" s="2">
        <f t="shared" si="708"/>
        <v>0</v>
      </c>
    </row>
    <row r="2980" spans="1:33">
      <c r="A2980" s="20" t="s">
        <v>2649</v>
      </c>
      <c r="B2980" s="161"/>
      <c r="C2980" s="21" t="s">
        <v>608</v>
      </c>
      <c r="D2980" s="109" t="s">
        <v>13296</v>
      </c>
      <c r="E2980" s="109"/>
      <c r="F2980" s="391" t="s">
        <v>16101</v>
      </c>
      <c r="G2980" s="23" t="s">
        <v>15707</v>
      </c>
      <c r="H2980" s="23"/>
      <c r="I2980" s="23"/>
      <c r="J2980" s="23"/>
      <c r="K2980" s="23"/>
      <c r="L2980" s="350"/>
      <c r="M2980" s="351"/>
      <c r="N2980" s="267">
        <f t="shared" si="709"/>
        <v>0</v>
      </c>
      <c r="O2980" s="268">
        <f t="shared" si="710"/>
        <v>0</v>
      </c>
      <c r="P2980" s="239"/>
      <c r="Q2980" s="239"/>
      <c r="R2980" s="239"/>
      <c r="S2980" s="239"/>
      <c r="T2980" s="239"/>
      <c r="U2980" s="240"/>
      <c r="V2980" s="240"/>
      <c r="W2980" s="240"/>
      <c r="X2980" s="278"/>
      <c r="Y2980" s="237"/>
      <c r="Z2980" s="237"/>
      <c r="AA2980" s="279"/>
      <c r="AB2980" s="238"/>
      <c r="AC2980" s="196">
        <f t="shared" si="704"/>
        <v>0</v>
      </c>
      <c r="AD2980" s="196">
        <f t="shared" si="705"/>
        <v>0</v>
      </c>
      <c r="AE2980" s="196">
        <f t="shared" si="706"/>
        <v>0</v>
      </c>
      <c r="AF2980" s="2">
        <f t="shared" si="707"/>
        <v>0</v>
      </c>
      <c r="AG2980" s="2">
        <f t="shared" si="708"/>
        <v>0</v>
      </c>
    </row>
    <row r="2981" spans="1:33">
      <c r="A2981" s="20" t="s">
        <v>2650</v>
      </c>
      <c r="B2981" s="150"/>
      <c r="C2981" s="21" t="s">
        <v>609</v>
      </c>
      <c r="D2981" s="109" t="s">
        <v>13859</v>
      </c>
      <c r="E2981" s="109" t="s">
        <v>13303</v>
      </c>
      <c r="F2981" s="391" t="s">
        <v>16102</v>
      </c>
      <c r="G2981" s="23" t="s">
        <v>15897</v>
      </c>
      <c r="H2981" s="23" t="s">
        <v>15808</v>
      </c>
      <c r="I2981" s="23"/>
      <c r="J2981" s="23"/>
      <c r="K2981" s="23"/>
      <c r="L2981" s="350"/>
      <c r="M2981" s="351"/>
      <c r="N2981" s="267">
        <f t="shared" si="709"/>
        <v>0</v>
      </c>
      <c r="O2981" s="268">
        <f t="shared" si="710"/>
        <v>0</v>
      </c>
      <c r="P2981" s="239"/>
      <c r="Q2981" s="239"/>
      <c r="R2981" s="239"/>
      <c r="S2981" s="239"/>
      <c r="T2981" s="239"/>
      <c r="U2981" s="240"/>
      <c r="V2981" s="240"/>
      <c r="W2981" s="240"/>
      <c r="X2981" s="278"/>
      <c r="Y2981" s="237"/>
      <c r="Z2981" s="237"/>
      <c r="AA2981" s="279"/>
      <c r="AB2981" s="238"/>
      <c r="AC2981" s="196">
        <f t="shared" si="704"/>
        <v>0</v>
      </c>
      <c r="AD2981" s="196">
        <f t="shared" si="705"/>
        <v>0</v>
      </c>
      <c r="AE2981" s="196">
        <f t="shared" si="706"/>
        <v>0</v>
      </c>
      <c r="AF2981" s="2">
        <f t="shared" si="707"/>
        <v>0</v>
      </c>
      <c r="AG2981" s="2">
        <f t="shared" si="708"/>
        <v>0</v>
      </c>
    </row>
    <row r="2982" spans="1:33">
      <c r="A2982" s="20" t="s">
        <v>2651</v>
      </c>
      <c r="B2982" s="156" t="s">
        <v>16103</v>
      </c>
      <c r="C2982" s="21" t="s">
        <v>609</v>
      </c>
      <c r="D2982" s="109" t="s">
        <v>13866</v>
      </c>
      <c r="E2982" s="109" t="s">
        <v>25355</v>
      </c>
      <c r="F2982" s="391" t="s">
        <v>16104</v>
      </c>
      <c r="G2982" s="23" t="s">
        <v>15897</v>
      </c>
      <c r="H2982" s="23" t="s">
        <v>15731</v>
      </c>
      <c r="I2982" s="23"/>
      <c r="J2982" s="23"/>
      <c r="K2982" s="23"/>
      <c r="L2982" s="350"/>
      <c r="M2982" s="351"/>
      <c r="N2982" s="267">
        <f t="shared" si="709"/>
        <v>0</v>
      </c>
      <c r="O2982" s="268">
        <f t="shared" si="710"/>
        <v>800</v>
      </c>
      <c r="P2982" s="239"/>
      <c r="Q2982" s="239"/>
      <c r="R2982" s="239"/>
      <c r="S2982" s="239"/>
      <c r="T2982" s="239">
        <f>2000-300-300-200-400</f>
        <v>800</v>
      </c>
      <c r="U2982" s="240"/>
      <c r="V2982" s="240"/>
      <c r="W2982" s="240"/>
      <c r="X2982" s="278"/>
      <c r="Y2982" s="237"/>
      <c r="Z2982" s="237"/>
      <c r="AA2982" s="279"/>
      <c r="AB2982" s="238" t="s">
        <v>25356</v>
      </c>
      <c r="AC2982" s="196">
        <f t="shared" si="704"/>
        <v>800</v>
      </c>
      <c r="AD2982" s="196">
        <f t="shared" si="705"/>
        <v>800</v>
      </c>
      <c r="AE2982" s="196">
        <f t="shared" si="706"/>
        <v>0</v>
      </c>
      <c r="AF2982" s="2">
        <f t="shared" si="707"/>
        <v>800</v>
      </c>
      <c r="AG2982" s="2">
        <f t="shared" si="708"/>
        <v>0</v>
      </c>
    </row>
    <row r="2983" spans="1:33">
      <c r="A2983" s="20" t="s">
        <v>2652</v>
      </c>
      <c r="B2983" s="152" t="s">
        <v>16105</v>
      </c>
      <c r="C2983" s="21" t="s">
        <v>610</v>
      </c>
      <c r="D2983" s="109" t="s">
        <v>14815</v>
      </c>
      <c r="E2983" s="109"/>
      <c r="F2983" s="391" t="s">
        <v>16106</v>
      </c>
      <c r="G2983" s="23" t="s">
        <v>14843</v>
      </c>
      <c r="H2983" s="23"/>
      <c r="I2983" s="23"/>
      <c r="J2983" s="23"/>
      <c r="K2983" s="23"/>
      <c r="L2983" s="350"/>
      <c r="M2983" s="351"/>
      <c r="N2983" s="267">
        <f t="shared" si="709"/>
        <v>0</v>
      </c>
      <c r="O2983" s="268">
        <f t="shared" si="710"/>
        <v>0</v>
      </c>
      <c r="P2983" s="239"/>
      <c r="Q2983" s="239"/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/>
      <c r="AC2983" s="196">
        <f t="shared" ref="AC2983:AC3047" si="715">SUM(P2983:AA2983)</f>
        <v>0</v>
      </c>
      <c r="AD2983" s="196">
        <f t="shared" ref="AD2983:AD3047" si="716">SUM(P2983:AB2983)</f>
        <v>0</v>
      </c>
      <c r="AE2983" s="196">
        <f t="shared" ref="AE2983:AE3047" si="717">SUM(AC2983-AD2983)</f>
        <v>0</v>
      </c>
      <c r="AF2983" s="2">
        <f t="shared" ref="AF2983:AF3047" si="718">+AC2983</f>
        <v>0</v>
      </c>
      <c r="AG2983" s="2">
        <f t="shared" ref="AG2983:AG3047" si="719">+AC2983-AF2983</f>
        <v>0</v>
      </c>
    </row>
    <row r="2984" spans="1:33">
      <c r="A2984" s="20" t="s">
        <v>2653</v>
      </c>
      <c r="B2984" s="150"/>
      <c r="C2984" s="21" t="s">
        <v>611</v>
      </c>
      <c r="D2984" s="109" t="s">
        <v>14815</v>
      </c>
      <c r="E2984" s="109"/>
      <c r="F2984" s="391" t="s">
        <v>16107</v>
      </c>
      <c r="G2984" s="23" t="s">
        <v>15820</v>
      </c>
      <c r="H2984" s="23" t="s">
        <v>13420</v>
      </c>
      <c r="I2984" s="23"/>
      <c r="J2984" s="23"/>
      <c r="K2984" s="23"/>
      <c r="L2984" s="350"/>
      <c r="M2984" s="351"/>
      <c r="N2984" s="267">
        <f t="shared" si="709"/>
        <v>0</v>
      </c>
      <c r="O2984" s="268">
        <f t="shared" si="710"/>
        <v>0</v>
      </c>
      <c r="P2984" s="239"/>
      <c r="Q2984" s="239"/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/>
      <c r="AC2984" s="196">
        <f t="shared" si="715"/>
        <v>0</v>
      </c>
      <c r="AD2984" s="196">
        <f t="shared" si="716"/>
        <v>0</v>
      </c>
      <c r="AE2984" s="196">
        <f t="shared" si="717"/>
        <v>0</v>
      </c>
      <c r="AF2984" s="2">
        <f t="shared" si="718"/>
        <v>0</v>
      </c>
      <c r="AG2984" s="2">
        <f t="shared" si="719"/>
        <v>0</v>
      </c>
    </row>
    <row r="2985" spans="1:33">
      <c r="A2985" s="20" t="s">
        <v>2654</v>
      </c>
      <c r="B2985" s="162" t="s">
        <v>5957</v>
      </c>
      <c r="C2985" s="21" t="s">
        <v>612</v>
      </c>
      <c r="D2985" s="109" t="s">
        <v>14815</v>
      </c>
      <c r="E2985" s="109"/>
      <c r="F2985" s="391" t="s">
        <v>16108</v>
      </c>
      <c r="G2985" s="23" t="s">
        <v>18138</v>
      </c>
      <c r="H2985" s="23" t="s">
        <v>16109</v>
      </c>
      <c r="I2985" s="23" t="s">
        <v>18812</v>
      </c>
      <c r="J2985" s="23" t="s">
        <v>13888</v>
      </c>
      <c r="K2985" s="23"/>
      <c r="L2985" s="375" t="s">
        <v>27673</v>
      </c>
      <c r="M2985" s="351" t="s">
        <v>45</v>
      </c>
      <c r="N2985" s="267">
        <f t="shared" si="709"/>
        <v>0</v>
      </c>
      <c r="O2985" s="268">
        <f t="shared" si="710"/>
        <v>1300</v>
      </c>
      <c r="P2985" s="239"/>
      <c r="Q2985" s="239">
        <f>1800-150-300-50</f>
        <v>1300</v>
      </c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 t="s">
        <v>27664</v>
      </c>
      <c r="AC2985" s="196">
        <f t="shared" si="715"/>
        <v>1300</v>
      </c>
      <c r="AD2985" s="196">
        <f t="shared" si="716"/>
        <v>1300</v>
      </c>
      <c r="AE2985" s="196">
        <f t="shared" si="717"/>
        <v>0</v>
      </c>
      <c r="AF2985" s="2">
        <f t="shared" si="718"/>
        <v>1300</v>
      </c>
      <c r="AG2985" s="2">
        <f t="shared" si="719"/>
        <v>0</v>
      </c>
    </row>
    <row r="2986" spans="1:33">
      <c r="A2986" s="20" t="s">
        <v>6864</v>
      </c>
      <c r="B2986" s="162" t="s">
        <v>16110</v>
      </c>
      <c r="C2986" s="21" t="s">
        <v>613</v>
      </c>
      <c r="D2986" s="109" t="s">
        <v>16111</v>
      </c>
      <c r="E2986" s="109" t="s">
        <v>16112</v>
      </c>
      <c r="F2986" s="391" t="s">
        <v>16113</v>
      </c>
      <c r="G2986" s="23" t="s">
        <v>15728</v>
      </c>
      <c r="H2986" s="23"/>
      <c r="I2986" s="23"/>
      <c r="J2986" s="23"/>
      <c r="K2986" s="23"/>
      <c r="L2986" s="350"/>
      <c r="M2986" s="351"/>
      <c r="N2986" s="267">
        <f t="shared" si="709"/>
        <v>0</v>
      </c>
      <c r="O2986" s="268">
        <f t="shared" si="710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5"/>
        <v>0</v>
      </c>
      <c r="AD2986" s="196">
        <f t="shared" si="716"/>
        <v>0</v>
      </c>
      <c r="AE2986" s="196">
        <f t="shared" si="717"/>
        <v>0</v>
      </c>
      <c r="AF2986" s="2">
        <f t="shared" si="718"/>
        <v>0</v>
      </c>
      <c r="AG2986" s="2">
        <f t="shared" si="719"/>
        <v>0</v>
      </c>
    </row>
    <row r="2987" spans="1:33">
      <c r="A2987" s="20" t="s">
        <v>2655</v>
      </c>
      <c r="B2987" s="156" t="s">
        <v>16114</v>
      </c>
      <c r="C2987" s="21" t="s">
        <v>613</v>
      </c>
      <c r="D2987" s="109" t="s">
        <v>15862</v>
      </c>
      <c r="E2987" s="109" t="s">
        <v>15764</v>
      </c>
      <c r="F2987" s="391" t="s">
        <v>16115</v>
      </c>
      <c r="G2987" s="23" t="s">
        <v>16116</v>
      </c>
      <c r="H2987" s="23" t="s">
        <v>16117</v>
      </c>
      <c r="I2987" s="23"/>
      <c r="J2987" s="23"/>
      <c r="K2987" s="23"/>
      <c r="L2987" s="356"/>
      <c r="M2987" s="351" t="s">
        <v>7787</v>
      </c>
      <c r="N2987" s="267">
        <f t="shared" si="709"/>
        <v>0</v>
      </c>
      <c r="O2987" s="268">
        <f t="shared" si="710"/>
        <v>0</v>
      </c>
      <c r="P2987" s="239"/>
      <c r="Q2987" s="239"/>
      <c r="R2987" s="239"/>
      <c r="S2987" s="239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5"/>
        <v>0</v>
      </c>
      <c r="AD2987" s="196">
        <f t="shared" si="716"/>
        <v>0</v>
      </c>
      <c r="AE2987" s="196">
        <f t="shared" si="717"/>
        <v>0</v>
      </c>
      <c r="AF2987" s="2">
        <f t="shared" si="718"/>
        <v>0</v>
      </c>
      <c r="AG2987" s="2">
        <f t="shared" si="719"/>
        <v>0</v>
      </c>
    </row>
    <row r="2988" spans="1:33">
      <c r="A2988" s="20" t="s">
        <v>2655</v>
      </c>
      <c r="B2988" s="156" t="s">
        <v>16118</v>
      </c>
      <c r="C2988" s="21" t="s">
        <v>613</v>
      </c>
      <c r="D2988" s="109" t="s">
        <v>13455</v>
      </c>
      <c r="E2988" s="109"/>
      <c r="F2988" s="391" t="s">
        <v>16119</v>
      </c>
      <c r="G2988" s="23" t="s">
        <v>16116</v>
      </c>
      <c r="H2988" s="23" t="s">
        <v>16117</v>
      </c>
      <c r="I2988" s="23"/>
      <c r="J2988" s="23"/>
      <c r="K2988" s="23"/>
      <c r="L2988" s="356" t="s">
        <v>7787</v>
      </c>
      <c r="M2988" s="351" t="s">
        <v>7787</v>
      </c>
      <c r="N2988" s="267">
        <f t="shared" si="709"/>
        <v>0</v>
      </c>
      <c r="O2988" s="268">
        <f t="shared" si="710"/>
        <v>0</v>
      </c>
      <c r="P2988" s="239"/>
      <c r="Q2988" s="239"/>
      <c r="R2988" s="239"/>
      <c r="S2988" s="239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5"/>
        <v>0</v>
      </c>
      <c r="AD2988" s="196">
        <f t="shared" si="716"/>
        <v>0</v>
      </c>
      <c r="AE2988" s="196">
        <f t="shared" si="717"/>
        <v>0</v>
      </c>
      <c r="AF2988" s="2">
        <f t="shared" si="718"/>
        <v>0</v>
      </c>
      <c r="AG2988" s="2">
        <f t="shared" si="719"/>
        <v>0</v>
      </c>
    </row>
    <row r="2989" spans="1:33">
      <c r="A2989" s="20" t="s">
        <v>2656</v>
      </c>
      <c r="B2989" s="156" t="s">
        <v>16120</v>
      </c>
      <c r="C2989" s="21" t="s">
        <v>613</v>
      </c>
      <c r="D2989" s="109" t="s">
        <v>13441</v>
      </c>
      <c r="E2989" s="109"/>
      <c r="F2989" s="391" t="s">
        <v>16121</v>
      </c>
      <c r="G2989" s="23" t="s">
        <v>13529</v>
      </c>
      <c r="H2989" s="23"/>
      <c r="I2989" s="23"/>
      <c r="J2989" s="23"/>
      <c r="K2989" s="23"/>
      <c r="L2989" s="356" t="s">
        <v>7787</v>
      </c>
      <c r="M2989" s="351" t="s">
        <v>7787</v>
      </c>
      <c r="N2989" s="267">
        <f t="shared" si="709"/>
        <v>0</v>
      </c>
      <c r="O2989" s="268">
        <f t="shared" si="710"/>
        <v>0</v>
      </c>
      <c r="P2989" s="239"/>
      <c r="Q2989" s="239"/>
      <c r="R2989" s="248"/>
      <c r="S2989" s="248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5"/>
        <v>0</v>
      </c>
      <c r="AD2989" s="196">
        <f t="shared" si="716"/>
        <v>0</v>
      </c>
      <c r="AE2989" s="196">
        <f t="shared" si="717"/>
        <v>0</v>
      </c>
      <c r="AF2989" s="2">
        <f t="shared" si="718"/>
        <v>0</v>
      </c>
      <c r="AG2989" s="2">
        <f t="shared" si="719"/>
        <v>0</v>
      </c>
    </row>
    <row r="2990" spans="1:33">
      <c r="A2990" s="20" t="s">
        <v>2657</v>
      </c>
      <c r="B2990" s="161"/>
      <c r="C2990" s="21" t="s">
        <v>614</v>
      </c>
      <c r="D2990" s="109" t="s">
        <v>13438</v>
      </c>
      <c r="E2990" s="109"/>
      <c r="F2990" s="391" t="s">
        <v>16122</v>
      </c>
      <c r="G2990" s="23" t="s">
        <v>14822</v>
      </c>
      <c r="H2990" s="23"/>
      <c r="I2990" s="23"/>
      <c r="J2990" s="23"/>
      <c r="K2990" s="23"/>
      <c r="L2990" s="375"/>
      <c r="M2990" s="358"/>
      <c r="N2990" s="267">
        <f t="shared" si="709"/>
        <v>0</v>
      </c>
      <c r="O2990" s="268">
        <f t="shared" si="710"/>
        <v>0</v>
      </c>
      <c r="P2990" s="239"/>
      <c r="Q2990" s="239"/>
      <c r="R2990" s="239"/>
      <c r="S2990" s="239"/>
      <c r="T2990" s="239"/>
      <c r="U2990" s="240"/>
      <c r="V2990" s="240"/>
      <c r="W2990" s="240"/>
      <c r="X2990" s="278"/>
      <c r="Y2990" s="237"/>
      <c r="Z2990" s="237"/>
      <c r="AA2990" s="279"/>
      <c r="AB2990" s="238"/>
      <c r="AC2990" s="196">
        <f t="shared" si="715"/>
        <v>0</v>
      </c>
      <c r="AD2990" s="196">
        <f t="shared" si="716"/>
        <v>0</v>
      </c>
      <c r="AE2990" s="196">
        <f t="shared" si="717"/>
        <v>0</v>
      </c>
      <c r="AF2990" s="2">
        <f t="shared" si="718"/>
        <v>0</v>
      </c>
      <c r="AG2990" s="2">
        <f t="shared" si="719"/>
        <v>0</v>
      </c>
    </row>
    <row r="2991" spans="1:33">
      <c r="A2991" s="20" t="s">
        <v>9385</v>
      </c>
      <c r="B2991" s="150"/>
      <c r="C2991" s="21" t="s">
        <v>614</v>
      </c>
      <c r="D2991" s="109" t="s">
        <v>15748</v>
      </c>
      <c r="E2991" s="109"/>
      <c r="F2991" s="391" t="s">
        <v>16123</v>
      </c>
      <c r="G2991" s="23" t="s">
        <v>14822</v>
      </c>
      <c r="H2991" s="23"/>
      <c r="I2991" s="23"/>
      <c r="J2991" s="23"/>
      <c r="K2991" s="23"/>
      <c r="L2991" s="375" t="s">
        <v>7787</v>
      </c>
      <c r="M2991" s="358" t="s">
        <v>7787</v>
      </c>
      <c r="N2991" s="267">
        <f t="shared" si="709"/>
        <v>0</v>
      </c>
      <c r="O2991" s="268">
        <f t="shared" si="710"/>
        <v>0</v>
      </c>
      <c r="P2991" s="239"/>
      <c r="Q2991" s="239"/>
      <c r="R2991" s="239"/>
      <c r="S2991" s="239"/>
      <c r="T2991" s="239"/>
      <c r="U2991" s="240"/>
      <c r="V2991" s="240"/>
      <c r="W2991" s="240"/>
      <c r="X2991" s="278"/>
      <c r="Y2991" s="237"/>
      <c r="Z2991" s="237"/>
      <c r="AA2991" s="279"/>
      <c r="AB2991" s="238"/>
      <c r="AC2991" s="196">
        <f t="shared" si="715"/>
        <v>0</v>
      </c>
      <c r="AD2991" s="196">
        <f t="shared" si="716"/>
        <v>0</v>
      </c>
      <c r="AE2991" s="196">
        <f t="shared" si="717"/>
        <v>0</v>
      </c>
      <c r="AF2991" s="2">
        <f t="shared" si="718"/>
        <v>0</v>
      </c>
      <c r="AG2991" s="2">
        <f t="shared" si="719"/>
        <v>0</v>
      </c>
    </row>
    <row r="2992" spans="1:33">
      <c r="A2992" s="20" t="s">
        <v>2658</v>
      </c>
      <c r="B2992" s="150"/>
      <c r="C2992" s="21" t="s">
        <v>615</v>
      </c>
      <c r="D2992" s="109" t="s">
        <v>14815</v>
      </c>
      <c r="E2992" s="109" t="s">
        <v>26710</v>
      </c>
      <c r="F2992" s="391" t="s">
        <v>16124</v>
      </c>
      <c r="G2992" s="23" t="s">
        <v>15829</v>
      </c>
      <c r="H2992" s="23" t="s">
        <v>16125</v>
      </c>
      <c r="I2992" s="23" t="s">
        <v>15071</v>
      </c>
      <c r="J2992" s="23" t="s">
        <v>13249</v>
      </c>
      <c r="K2992" s="23"/>
      <c r="L2992" s="375" t="s">
        <v>45</v>
      </c>
      <c r="M2992" s="351" t="s">
        <v>45</v>
      </c>
      <c r="N2992" s="267">
        <f t="shared" si="709"/>
        <v>0</v>
      </c>
      <c r="O2992" s="268">
        <f t="shared" si="710"/>
        <v>0</v>
      </c>
      <c r="P2992" s="239"/>
      <c r="Q2992" s="240"/>
      <c r="R2992" s="240"/>
      <c r="S2992" s="240"/>
      <c r="T2992" s="239"/>
      <c r="U2992" s="240"/>
      <c r="V2992" s="240"/>
      <c r="W2992" s="240"/>
      <c r="X2992" s="278"/>
      <c r="Y2992" s="240"/>
      <c r="Z2992" s="237"/>
      <c r="AA2992" s="279"/>
      <c r="AB2992" s="238"/>
      <c r="AC2992" s="196">
        <f t="shared" si="715"/>
        <v>0</v>
      </c>
      <c r="AD2992" s="196">
        <f t="shared" si="716"/>
        <v>0</v>
      </c>
      <c r="AE2992" s="196">
        <f t="shared" si="717"/>
        <v>0</v>
      </c>
      <c r="AF2992" s="2">
        <f t="shared" si="718"/>
        <v>0</v>
      </c>
      <c r="AG2992" s="2">
        <f t="shared" si="719"/>
        <v>0</v>
      </c>
    </row>
    <row r="2993" spans="1:33">
      <c r="A2993" s="20" t="s">
        <v>18527</v>
      </c>
      <c r="B2993" s="150"/>
      <c r="C2993" s="21" t="s">
        <v>615</v>
      </c>
      <c r="D2993" s="109" t="s">
        <v>8376</v>
      </c>
      <c r="E2993" s="109" t="s">
        <v>3126</v>
      </c>
      <c r="F2993" s="391" t="s">
        <v>5128</v>
      </c>
      <c r="G2993" s="23" t="s">
        <v>18569</v>
      </c>
      <c r="H2993" s="23"/>
      <c r="I2993" s="23"/>
      <c r="J2993" s="23"/>
      <c r="K2993" s="23"/>
      <c r="L2993" s="375" t="s">
        <v>45</v>
      </c>
      <c r="M2993" s="351" t="s">
        <v>45</v>
      </c>
      <c r="N2993" s="267">
        <f t="shared" si="709"/>
        <v>0</v>
      </c>
      <c r="O2993" s="268">
        <f t="shared" si="710"/>
        <v>0</v>
      </c>
      <c r="P2993" s="239"/>
      <c r="Q2993" s="239"/>
      <c r="R2993" s="239"/>
      <c r="S2993" s="239"/>
      <c r="T2993" s="239"/>
      <c r="U2993" s="240"/>
      <c r="V2993" s="240"/>
      <c r="W2993" s="240"/>
      <c r="X2993" s="278"/>
      <c r="Y2993" s="237"/>
      <c r="Z2993" s="237"/>
      <c r="AA2993" s="279"/>
      <c r="AB2993" s="238"/>
      <c r="AC2993" s="196">
        <f t="shared" si="715"/>
        <v>0</v>
      </c>
      <c r="AD2993" s="196">
        <f t="shared" si="716"/>
        <v>0</v>
      </c>
      <c r="AE2993" s="196">
        <f t="shared" si="717"/>
        <v>0</v>
      </c>
      <c r="AF2993" s="2">
        <f t="shared" si="718"/>
        <v>0</v>
      </c>
      <c r="AG2993" s="2">
        <f t="shared" si="719"/>
        <v>0</v>
      </c>
    </row>
    <row r="2994" spans="1:33">
      <c r="A2994" s="20" t="s">
        <v>2659</v>
      </c>
      <c r="B2994" s="150"/>
      <c r="C2994" s="21" t="s">
        <v>616</v>
      </c>
      <c r="D2994" s="109" t="s">
        <v>13455</v>
      </c>
      <c r="E2994" s="109"/>
      <c r="F2994" s="391" t="s">
        <v>16126</v>
      </c>
      <c r="G2994" s="23" t="s">
        <v>13456</v>
      </c>
      <c r="H2994" s="23"/>
      <c r="I2994" s="23"/>
      <c r="J2994" s="23"/>
      <c r="K2994" s="23"/>
      <c r="L2994" s="350"/>
      <c r="M2994" s="351"/>
      <c r="N2994" s="267">
        <f t="shared" si="709"/>
        <v>0</v>
      </c>
      <c r="O2994" s="268">
        <f t="shared" si="710"/>
        <v>0</v>
      </c>
      <c r="P2994" s="239"/>
      <c r="Q2994" s="239"/>
      <c r="R2994" s="239"/>
      <c r="S2994" s="239"/>
      <c r="T2994" s="239"/>
      <c r="U2994" s="240"/>
      <c r="V2994" s="240"/>
      <c r="W2994" s="240"/>
      <c r="X2994" s="278"/>
      <c r="Y2994" s="237"/>
      <c r="Z2994" s="237"/>
      <c r="AA2994" s="279"/>
      <c r="AB2994" s="238"/>
      <c r="AC2994" s="196">
        <f t="shared" si="715"/>
        <v>0</v>
      </c>
      <c r="AD2994" s="196">
        <f t="shared" si="716"/>
        <v>0</v>
      </c>
      <c r="AE2994" s="196">
        <f t="shared" si="717"/>
        <v>0</v>
      </c>
      <c r="AF2994" s="2">
        <f t="shared" si="718"/>
        <v>0</v>
      </c>
      <c r="AG2994" s="2">
        <f t="shared" si="719"/>
        <v>0</v>
      </c>
    </row>
    <row r="2995" spans="1:33">
      <c r="A2995" s="20" t="s">
        <v>2660</v>
      </c>
      <c r="B2995" s="151" t="s">
        <v>16127</v>
      </c>
      <c r="C2995" s="21" t="s">
        <v>617</v>
      </c>
      <c r="D2995" s="109" t="s">
        <v>14815</v>
      </c>
      <c r="E2995" s="109"/>
      <c r="F2995" s="391" t="s">
        <v>16128</v>
      </c>
      <c r="G2995" s="23" t="s">
        <v>13420</v>
      </c>
      <c r="H2995" s="23"/>
      <c r="I2995" s="23"/>
      <c r="J2995" s="23"/>
      <c r="K2995" s="23"/>
      <c r="L2995" s="350"/>
      <c r="M2995" s="351"/>
      <c r="N2995" s="267">
        <f t="shared" si="709"/>
        <v>0</v>
      </c>
      <c r="O2995" s="268">
        <f t="shared" si="710"/>
        <v>0</v>
      </c>
      <c r="P2995" s="239"/>
      <c r="Q2995" s="239"/>
      <c r="R2995" s="239"/>
      <c r="S2995" s="239"/>
      <c r="T2995" s="239"/>
      <c r="U2995" s="240"/>
      <c r="V2995" s="240"/>
      <c r="W2995" s="240">
        <v>0</v>
      </c>
      <c r="X2995" s="278"/>
      <c r="Y2995" s="237"/>
      <c r="Z2995" s="237"/>
      <c r="AA2995" s="279"/>
      <c r="AB2995" s="238"/>
      <c r="AC2995" s="196">
        <f t="shared" si="715"/>
        <v>0</v>
      </c>
      <c r="AD2995" s="196">
        <f t="shared" si="716"/>
        <v>0</v>
      </c>
      <c r="AE2995" s="196">
        <f t="shared" si="717"/>
        <v>0</v>
      </c>
      <c r="AF2995" s="2">
        <f t="shared" si="718"/>
        <v>0</v>
      </c>
      <c r="AG2995" s="2">
        <f t="shared" si="719"/>
        <v>0</v>
      </c>
    </row>
    <row r="2996" spans="1:33">
      <c r="A2996" s="20" t="s">
        <v>2661</v>
      </c>
      <c r="B2996" s="161"/>
      <c r="C2996" s="21" t="s">
        <v>617</v>
      </c>
      <c r="D2996" s="109" t="s">
        <v>13441</v>
      </c>
      <c r="E2996" s="109"/>
      <c r="F2996" s="391" t="s">
        <v>5130</v>
      </c>
      <c r="G2996" s="23" t="s">
        <v>13420</v>
      </c>
      <c r="H2996" s="23" t="s">
        <v>14844</v>
      </c>
      <c r="I2996" s="23" t="s">
        <v>15829</v>
      </c>
      <c r="J2996" s="23"/>
      <c r="K2996" s="23"/>
      <c r="L2996" s="350"/>
      <c r="M2996" s="351"/>
      <c r="N2996" s="267">
        <f t="shared" si="709"/>
        <v>0</v>
      </c>
      <c r="O2996" s="268">
        <f t="shared" si="710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5"/>
        <v>0</v>
      </c>
      <c r="AD2996" s="196">
        <f t="shared" si="716"/>
        <v>0</v>
      </c>
      <c r="AE2996" s="196">
        <f t="shared" si="717"/>
        <v>0</v>
      </c>
      <c r="AF2996" s="2">
        <f t="shared" si="718"/>
        <v>0</v>
      </c>
      <c r="AG2996" s="2">
        <f t="shared" si="719"/>
        <v>0</v>
      </c>
    </row>
    <row r="2997" spans="1:33">
      <c r="A2997" s="20" t="s">
        <v>6865</v>
      </c>
      <c r="B2997" s="161"/>
      <c r="C2997" s="21" t="s">
        <v>617</v>
      </c>
      <c r="D2997" s="109" t="s">
        <v>15748</v>
      </c>
      <c r="E2997" s="109"/>
      <c r="F2997" s="391" t="s">
        <v>5130</v>
      </c>
      <c r="G2997" s="23" t="s">
        <v>6533</v>
      </c>
      <c r="H2997" s="23"/>
      <c r="I2997" s="23"/>
      <c r="J2997" s="23"/>
      <c r="K2997" s="23"/>
      <c r="L2997" s="350"/>
      <c r="M2997" s="351"/>
      <c r="N2997" s="267">
        <f t="shared" si="709"/>
        <v>0</v>
      </c>
      <c r="O2997" s="268">
        <f t="shared" si="710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/>
      <c r="Y2997" s="237"/>
      <c r="Z2997" s="237"/>
      <c r="AA2997" s="279"/>
      <c r="AB2997" s="238"/>
      <c r="AC2997" s="196">
        <f t="shared" si="715"/>
        <v>0</v>
      </c>
      <c r="AD2997" s="196">
        <f t="shared" si="716"/>
        <v>0</v>
      </c>
      <c r="AE2997" s="196">
        <f t="shared" si="717"/>
        <v>0</v>
      </c>
      <c r="AF2997" s="2">
        <f t="shared" si="718"/>
        <v>0</v>
      </c>
      <c r="AG2997" s="2">
        <f t="shared" si="719"/>
        <v>0</v>
      </c>
    </row>
    <row r="2998" spans="1:33">
      <c r="A2998" s="20" t="s">
        <v>2662</v>
      </c>
      <c r="B2998" s="161"/>
      <c r="C2998" s="21" t="s">
        <v>618</v>
      </c>
      <c r="D2998" s="109" t="s">
        <v>16129</v>
      </c>
      <c r="E2998" s="109"/>
      <c r="F2998" s="391" t="s">
        <v>16130</v>
      </c>
      <c r="G2998" s="23" t="s">
        <v>16131</v>
      </c>
      <c r="H2998" s="23"/>
      <c r="I2998" s="23"/>
      <c r="J2998" s="23"/>
      <c r="K2998" s="23"/>
      <c r="L2998" s="375" t="s">
        <v>7787</v>
      </c>
      <c r="M2998" s="351"/>
      <c r="N2998" s="267">
        <f t="shared" si="709"/>
        <v>0</v>
      </c>
      <c r="O2998" s="268">
        <f t="shared" si="710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/>
      <c r="Y2998" s="237"/>
      <c r="Z2998" s="237"/>
      <c r="AA2998" s="279"/>
      <c r="AB2998" s="238"/>
      <c r="AC2998" s="196">
        <f t="shared" si="715"/>
        <v>0</v>
      </c>
      <c r="AD2998" s="196">
        <f t="shared" si="716"/>
        <v>0</v>
      </c>
      <c r="AE2998" s="196">
        <f t="shared" si="717"/>
        <v>0</v>
      </c>
      <c r="AF2998" s="2">
        <f t="shared" si="718"/>
        <v>0</v>
      </c>
      <c r="AG2998" s="2">
        <f t="shared" si="719"/>
        <v>0</v>
      </c>
    </row>
    <row r="2999" spans="1:33">
      <c r="A2999" s="20" t="s">
        <v>2663</v>
      </c>
      <c r="B2999" s="151"/>
      <c r="C2999" s="21" t="s">
        <v>619</v>
      </c>
      <c r="D2999" s="109" t="s">
        <v>13293</v>
      </c>
      <c r="E2999" s="109"/>
      <c r="F2999" s="391" t="s">
        <v>16132</v>
      </c>
      <c r="G2999" s="23" t="s">
        <v>15688</v>
      </c>
      <c r="H2999" s="23"/>
      <c r="I2999" s="23"/>
      <c r="J2999" s="23"/>
      <c r="K2999" s="23"/>
      <c r="L2999" s="375"/>
      <c r="M2999" s="351"/>
      <c r="N2999" s="267">
        <f t="shared" si="709"/>
        <v>0</v>
      </c>
      <c r="O2999" s="268">
        <f t="shared" si="710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>
        <v>0</v>
      </c>
      <c r="Y2999" s="237"/>
      <c r="Z2999" s="237"/>
      <c r="AA2999" s="279"/>
      <c r="AB2999" s="238"/>
      <c r="AC2999" s="196">
        <f t="shared" si="715"/>
        <v>0</v>
      </c>
      <c r="AD2999" s="196">
        <f t="shared" si="716"/>
        <v>0</v>
      </c>
      <c r="AE2999" s="196">
        <f t="shared" si="717"/>
        <v>0</v>
      </c>
      <c r="AF2999" s="2">
        <f t="shared" si="718"/>
        <v>0</v>
      </c>
      <c r="AG2999" s="2">
        <f t="shared" si="719"/>
        <v>0</v>
      </c>
    </row>
    <row r="3000" spans="1:33">
      <c r="A3000" s="20" t="s">
        <v>2664</v>
      </c>
      <c r="B3000" s="152"/>
      <c r="C3000" s="21" t="s">
        <v>619</v>
      </c>
      <c r="D3000" s="109" t="s">
        <v>13293</v>
      </c>
      <c r="E3000" s="109"/>
      <c r="F3000" s="391" t="s">
        <v>16133</v>
      </c>
      <c r="G3000" s="23" t="s">
        <v>16134</v>
      </c>
      <c r="H3000" s="23"/>
      <c r="I3000" s="23"/>
      <c r="J3000" s="23"/>
      <c r="K3000" s="23"/>
      <c r="L3000" s="375" t="s">
        <v>7787</v>
      </c>
      <c r="M3000" s="351" t="s">
        <v>7787</v>
      </c>
      <c r="N3000" s="267">
        <f t="shared" si="709"/>
        <v>0</v>
      </c>
      <c r="O3000" s="268">
        <f t="shared" si="710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5"/>
        <v>0</v>
      </c>
      <c r="AD3000" s="196">
        <f t="shared" si="716"/>
        <v>0</v>
      </c>
      <c r="AE3000" s="196">
        <f t="shared" si="717"/>
        <v>0</v>
      </c>
      <c r="AF3000" s="2">
        <f t="shared" si="718"/>
        <v>0</v>
      </c>
      <c r="AG3000" s="2">
        <f t="shared" si="719"/>
        <v>0</v>
      </c>
    </row>
    <row r="3001" spans="1:33">
      <c r="A3001" s="20" t="s">
        <v>2665</v>
      </c>
      <c r="B3001" s="161"/>
      <c r="C3001" s="21" t="s">
        <v>16135</v>
      </c>
      <c r="D3001" s="109" t="s">
        <v>16136</v>
      </c>
      <c r="E3001" s="109"/>
      <c r="F3001" s="391" t="s">
        <v>16137</v>
      </c>
      <c r="G3001" s="23" t="s">
        <v>16138</v>
      </c>
      <c r="H3001" s="23"/>
      <c r="I3001" s="23"/>
      <c r="J3001" s="23"/>
      <c r="K3001" s="23"/>
      <c r="L3001" s="350"/>
      <c r="M3001" s="351"/>
      <c r="N3001" s="267">
        <f t="shared" si="709"/>
        <v>0</v>
      </c>
      <c r="O3001" s="268">
        <f t="shared" si="710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5"/>
        <v>0</v>
      </c>
      <c r="AD3001" s="196">
        <f t="shared" si="716"/>
        <v>0</v>
      </c>
      <c r="AE3001" s="196">
        <f t="shared" si="717"/>
        <v>0</v>
      </c>
      <c r="AF3001" s="2">
        <f t="shared" si="718"/>
        <v>0</v>
      </c>
      <c r="AG3001" s="2">
        <f t="shared" si="719"/>
        <v>0</v>
      </c>
    </row>
    <row r="3002" spans="1:33">
      <c r="A3002" s="20" t="s">
        <v>8348</v>
      </c>
      <c r="B3002" s="150"/>
      <c r="C3002" s="21" t="s">
        <v>16139</v>
      </c>
      <c r="D3002" s="109" t="s">
        <v>15862</v>
      </c>
      <c r="E3002" s="109"/>
      <c r="F3002" s="391" t="s">
        <v>16140</v>
      </c>
      <c r="G3002" s="23" t="s">
        <v>16141</v>
      </c>
      <c r="H3002" s="23" t="s">
        <v>16142</v>
      </c>
      <c r="I3002" s="23"/>
      <c r="J3002" s="23"/>
      <c r="K3002" s="23"/>
      <c r="L3002" s="375" t="s">
        <v>7787</v>
      </c>
      <c r="M3002" s="351" t="s">
        <v>7787</v>
      </c>
      <c r="N3002" s="267">
        <f t="shared" si="709"/>
        <v>0</v>
      </c>
      <c r="O3002" s="268">
        <f t="shared" si="710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5"/>
        <v>0</v>
      </c>
      <c r="AD3002" s="196">
        <f t="shared" si="716"/>
        <v>0</v>
      </c>
      <c r="AE3002" s="196">
        <f t="shared" si="717"/>
        <v>0</v>
      </c>
      <c r="AF3002" s="2">
        <f t="shared" si="718"/>
        <v>0</v>
      </c>
      <c r="AG3002" s="2">
        <f t="shared" si="719"/>
        <v>0</v>
      </c>
    </row>
    <row r="3003" spans="1:33">
      <c r="A3003" s="20" t="s">
        <v>2666</v>
      </c>
      <c r="B3003" s="150"/>
      <c r="C3003" s="21" t="s">
        <v>620</v>
      </c>
      <c r="D3003" s="109" t="s">
        <v>15960</v>
      </c>
      <c r="E3003" s="109"/>
      <c r="F3003" s="391" t="s">
        <v>16143</v>
      </c>
      <c r="G3003" s="23" t="s">
        <v>15962</v>
      </c>
      <c r="H3003" s="23"/>
      <c r="I3003" s="23"/>
      <c r="J3003" s="23"/>
      <c r="K3003" s="23"/>
      <c r="L3003" s="350"/>
      <c r="M3003" s="351"/>
      <c r="N3003" s="267">
        <f t="shared" si="709"/>
        <v>0</v>
      </c>
      <c r="O3003" s="268">
        <f t="shared" si="710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/>
      <c r="Y3003" s="237"/>
      <c r="Z3003" s="237"/>
      <c r="AA3003" s="279"/>
      <c r="AB3003" s="238"/>
      <c r="AC3003" s="196">
        <f t="shared" si="715"/>
        <v>0</v>
      </c>
      <c r="AD3003" s="196">
        <f t="shared" si="716"/>
        <v>0</v>
      </c>
      <c r="AE3003" s="196">
        <f t="shared" si="717"/>
        <v>0</v>
      </c>
      <c r="AF3003" s="2">
        <f t="shared" si="718"/>
        <v>0</v>
      </c>
      <c r="AG3003" s="2">
        <f t="shared" si="719"/>
        <v>0</v>
      </c>
    </row>
    <row r="3004" spans="1:33">
      <c r="A3004" s="20" t="s">
        <v>2667</v>
      </c>
      <c r="B3004" s="152" t="s">
        <v>5958</v>
      </c>
      <c r="C3004" s="21" t="s">
        <v>621</v>
      </c>
      <c r="D3004" s="109" t="s">
        <v>16073</v>
      </c>
      <c r="E3004" s="109"/>
      <c r="F3004" s="391" t="s">
        <v>16144</v>
      </c>
      <c r="G3004" s="23" t="s">
        <v>16141</v>
      </c>
      <c r="H3004" s="23"/>
      <c r="I3004" s="23"/>
      <c r="J3004" s="23"/>
      <c r="K3004" s="23"/>
      <c r="L3004" s="350"/>
      <c r="M3004" s="351"/>
      <c r="N3004" s="267">
        <f t="shared" si="709"/>
        <v>0</v>
      </c>
      <c r="O3004" s="268">
        <f t="shared" si="710"/>
        <v>0</v>
      </c>
      <c r="P3004" s="239"/>
      <c r="Q3004" s="239"/>
      <c r="R3004" s="239"/>
      <c r="S3004" s="239"/>
      <c r="T3004" s="239"/>
      <c r="U3004" s="240"/>
      <c r="V3004" s="240"/>
      <c r="W3004" s="240"/>
      <c r="X3004" s="278"/>
      <c r="Y3004" s="237"/>
      <c r="Z3004" s="237"/>
      <c r="AA3004" s="279"/>
      <c r="AB3004" s="238"/>
      <c r="AC3004" s="196">
        <f t="shared" si="715"/>
        <v>0</v>
      </c>
      <c r="AD3004" s="196">
        <f t="shared" si="716"/>
        <v>0</v>
      </c>
      <c r="AE3004" s="196">
        <f t="shared" si="717"/>
        <v>0</v>
      </c>
      <c r="AF3004" s="2">
        <f t="shared" si="718"/>
        <v>0</v>
      </c>
      <c r="AG3004" s="2">
        <f t="shared" si="719"/>
        <v>0</v>
      </c>
    </row>
    <row r="3005" spans="1:33">
      <c r="A3005" s="20" t="s">
        <v>2668</v>
      </c>
      <c r="B3005" s="152" t="s">
        <v>16145</v>
      </c>
      <c r="C3005" s="21" t="s">
        <v>16146</v>
      </c>
      <c r="D3005" s="109" t="s">
        <v>15167</v>
      </c>
      <c r="E3005" s="109" t="s">
        <v>15965</v>
      </c>
      <c r="F3005" s="391" t="s">
        <v>16147</v>
      </c>
      <c r="G3005" s="23" t="s">
        <v>13421</v>
      </c>
      <c r="H3005" s="23"/>
      <c r="I3005" s="23"/>
      <c r="J3005" s="23"/>
      <c r="K3005" s="23"/>
      <c r="L3005" s="350"/>
      <c r="M3005" s="350"/>
      <c r="N3005" s="267">
        <f t="shared" si="709"/>
        <v>0</v>
      </c>
      <c r="O3005" s="268">
        <f t="shared" si="710"/>
        <v>0</v>
      </c>
      <c r="P3005" s="239"/>
      <c r="Q3005" s="239"/>
      <c r="R3005" s="239"/>
      <c r="S3005" s="239"/>
      <c r="T3005" s="239"/>
      <c r="U3005" s="240"/>
      <c r="V3005" s="240"/>
      <c r="W3005" s="240"/>
      <c r="X3005" s="278">
        <v>0</v>
      </c>
      <c r="Y3005" s="237"/>
      <c r="Z3005" s="237"/>
      <c r="AA3005" s="279"/>
      <c r="AB3005" s="238"/>
      <c r="AC3005" s="196">
        <f t="shared" si="715"/>
        <v>0</v>
      </c>
      <c r="AD3005" s="196">
        <f t="shared" si="716"/>
        <v>0</v>
      </c>
      <c r="AE3005" s="196">
        <f t="shared" si="717"/>
        <v>0</v>
      </c>
      <c r="AF3005" s="2">
        <f t="shared" si="718"/>
        <v>0</v>
      </c>
      <c r="AG3005" s="2">
        <f t="shared" si="719"/>
        <v>0</v>
      </c>
    </row>
    <row r="3006" spans="1:33">
      <c r="A3006" s="20" t="s">
        <v>2668</v>
      </c>
      <c r="B3006" s="152"/>
      <c r="C3006" s="21" t="s">
        <v>16148</v>
      </c>
      <c r="D3006" s="109" t="s">
        <v>13441</v>
      </c>
      <c r="E3006" s="109"/>
      <c r="F3006" s="391" t="s">
        <v>16149</v>
      </c>
      <c r="G3006" s="23" t="s">
        <v>13421</v>
      </c>
      <c r="H3006" s="23"/>
      <c r="I3006" s="23"/>
      <c r="J3006" s="23"/>
      <c r="K3006" s="23"/>
      <c r="L3006" s="375" t="s">
        <v>7787</v>
      </c>
      <c r="M3006" s="350"/>
      <c r="N3006" s="267">
        <f t="shared" si="709"/>
        <v>0</v>
      </c>
      <c r="O3006" s="268">
        <f t="shared" si="710"/>
        <v>0</v>
      </c>
      <c r="P3006" s="239"/>
      <c r="Q3006" s="239"/>
      <c r="R3006" s="239"/>
      <c r="S3006" s="239"/>
      <c r="T3006" s="239"/>
      <c r="U3006" s="278"/>
      <c r="V3006" s="278"/>
      <c r="W3006" s="240"/>
      <c r="X3006" s="278"/>
      <c r="Y3006" s="278"/>
      <c r="Z3006" s="237"/>
      <c r="AA3006" s="279"/>
      <c r="AB3006" s="238"/>
      <c r="AC3006" s="196">
        <f t="shared" si="715"/>
        <v>0</v>
      </c>
      <c r="AD3006" s="196">
        <f t="shared" si="716"/>
        <v>0</v>
      </c>
      <c r="AE3006" s="196">
        <f t="shared" si="717"/>
        <v>0</v>
      </c>
      <c r="AF3006" s="2">
        <f t="shared" si="718"/>
        <v>0</v>
      </c>
      <c r="AG3006" s="2">
        <f t="shared" si="719"/>
        <v>0</v>
      </c>
    </row>
    <row r="3007" spans="1:33">
      <c r="A3007" s="20" t="s">
        <v>2669</v>
      </c>
      <c r="B3007" s="152"/>
      <c r="C3007" s="21" t="s">
        <v>16150</v>
      </c>
      <c r="D3007" s="109" t="s">
        <v>16151</v>
      </c>
      <c r="E3007" s="109" t="s">
        <v>13423</v>
      </c>
      <c r="F3007" s="391" t="s">
        <v>16149</v>
      </c>
      <c r="G3007" s="23" t="s">
        <v>13421</v>
      </c>
      <c r="H3007" s="23"/>
      <c r="I3007" s="23"/>
      <c r="J3007" s="23"/>
      <c r="K3007" s="23"/>
      <c r="L3007" s="350" t="s">
        <v>7787</v>
      </c>
      <c r="M3007" s="364"/>
      <c r="N3007" s="267">
        <f t="shared" si="709"/>
        <v>0</v>
      </c>
      <c r="O3007" s="268">
        <f t="shared" si="710"/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5"/>
        <v>0</v>
      </c>
      <c r="AD3007" s="196">
        <f t="shared" si="716"/>
        <v>0</v>
      </c>
      <c r="AE3007" s="196">
        <f t="shared" si="717"/>
        <v>0</v>
      </c>
      <c r="AF3007" s="2">
        <f t="shared" si="718"/>
        <v>0</v>
      </c>
      <c r="AG3007" s="2">
        <f t="shared" si="719"/>
        <v>0</v>
      </c>
    </row>
    <row r="3008" spans="1:33">
      <c r="A3008" s="20" t="s">
        <v>2669</v>
      </c>
      <c r="B3008" s="152"/>
      <c r="C3008" s="21" t="s">
        <v>16150</v>
      </c>
      <c r="D3008" s="109" t="s">
        <v>13441</v>
      </c>
      <c r="E3008" s="109"/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51" t="s">
        <v>7787</v>
      </c>
      <c r="N3008" s="267">
        <f t="shared" si="709"/>
        <v>0</v>
      </c>
      <c r="O3008" s="268">
        <f t="shared" si="710"/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5"/>
        <v>0</v>
      </c>
      <c r="AD3008" s="196">
        <f t="shared" si="716"/>
        <v>0</v>
      </c>
      <c r="AE3008" s="196">
        <f t="shared" si="717"/>
        <v>0</v>
      </c>
      <c r="AF3008" s="2">
        <f t="shared" si="718"/>
        <v>0</v>
      </c>
      <c r="AG3008" s="2">
        <f t="shared" si="719"/>
        <v>0</v>
      </c>
    </row>
    <row r="3009" spans="1:33">
      <c r="A3009" s="20" t="s">
        <v>2669</v>
      </c>
      <c r="B3009" s="152"/>
      <c r="C3009" s="21" t="s">
        <v>16152</v>
      </c>
      <c r="D3009" s="109" t="s">
        <v>13441</v>
      </c>
      <c r="E3009" s="109"/>
      <c r="F3009" s="391" t="s">
        <v>16149</v>
      </c>
      <c r="G3009" s="23" t="s">
        <v>13421</v>
      </c>
      <c r="H3009" s="23"/>
      <c r="I3009" s="23"/>
      <c r="J3009" s="23"/>
      <c r="K3009" s="23"/>
      <c r="L3009" s="375" t="s">
        <v>7787</v>
      </c>
      <c r="M3009" s="351" t="s">
        <v>7787</v>
      </c>
      <c r="N3009" s="267">
        <f t="shared" ref="N3009:N3075" si="720">SUM(L3009:M3009)</f>
        <v>0</v>
      </c>
      <c r="O3009" s="268">
        <f t="shared" ref="O3009:O3075" si="721">SUM(P3009:Z3009)</f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5"/>
        <v>0</v>
      </c>
      <c r="AD3009" s="196">
        <f t="shared" si="716"/>
        <v>0</v>
      </c>
      <c r="AE3009" s="196">
        <f t="shared" si="717"/>
        <v>0</v>
      </c>
      <c r="AF3009" s="2">
        <f t="shared" si="718"/>
        <v>0</v>
      </c>
      <c r="AG3009" s="2">
        <f t="shared" si="719"/>
        <v>0</v>
      </c>
    </row>
    <row r="3010" spans="1:33">
      <c r="A3010" s="20" t="s">
        <v>2669</v>
      </c>
      <c r="B3010" s="152"/>
      <c r="C3010" s="21" t="s">
        <v>16152</v>
      </c>
      <c r="D3010" s="109" t="s">
        <v>16151</v>
      </c>
      <c r="E3010" s="109" t="s">
        <v>13423</v>
      </c>
      <c r="F3010" s="391" t="s">
        <v>16149</v>
      </c>
      <c r="G3010" s="23" t="s">
        <v>13421</v>
      </c>
      <c r="H3010" s="23"/>
      <c r="I3010" s="23"/>
      <c r="J3010" s="23"/>
      <c r="K3010" s="23"/>
      <c r="L3010" s="375" t="s">
        <v>7787</v>
      </c>
      <c r="M3010" s="364"/>
      <c r="N3010" s="267">
        <f t="shared" si="720"/>
        <v>0</v>
      </c>
      <c r="O3010" s="268">
        <f t="shared" si="721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5"/>
        <v>0</v>
      </c>
      <c r="AD3010" s="196">
        <f t="shared" si="716"/>
        <v>0</v>
      </c>
      <c r="AE3010" s="196">
        <f t="shared" si="717"/>
        <v>0</v>
      </c>
      <c r="AF3010" s="2">
        <f t="shared" si="718"/>
        <v>0</v>
      </c>
      <c r="AG3010" s="2">
        <f t="shared" si="719"/>
        <v>0</v>
      </c>
    </row>
    <row r="3011" spans="1:33">
      <c r="A3011" s="20" t="s">
        <v>21452</v>
      </c>
      <c r="B3011" s="162"/>
      <c r="C3011" s="21" t="s">
        <v>12073</v>
      </c>
      <c r="D3011" s="109" t="s">
        <v>5787</v>
      </c>
      <c r="E3011" s="109" t="s">
        <v>21145</v>
      </c>
      <c r="F3011" s="391" t="s">
        <v>5137</v>
      </c>
      <c r="G3011" s="23" t="s">
        <v>13249</v>
      </c>
      <c r="H3011" s="23"/>
      <c r="I3011" s="23"/>
      <c r="J3011" s="23"/>
      <c r="K3011" s="23"/>
      <c r="L3011" s="375" t="s">
        <v>7787</v>
      </c>
      <c r="M3011" s="364"/>
      <c r="N3011" s="267">
        <f t="shared" si="720"/>
        <v>0</v>
      </c>
      <c r="O3011" s="268">
        <f t="shared" si="721"/>
        <v>0</v>
      </c>
      <c r="P3011" s="239"/>
      <c r="Q3011" s="239"/>
      <c r="R3011" s="239"/>
      <c r="S3011" s="239"/>
      <c r="T3011" s="239"/>
      <c r="U3011" s="240"/>
      <c r="V3011" s="240"/>
      <c r="W3011" s="240"/>
      <c r="X3011" s="278"/>
      <c r="Y3011" s="237"/>
      <c r="Z3011" s="237"/>
      <c r="AA3011" s="279"/>
      <c r="AB3011" s="238"/>
      <c r="AC3011" s="196">
        <f t="shared" si="715"/>
        <v>0</v>
      </c>
      <c r="AD3011" s="196">
        <f t="shared" si="716"/>
        <v>0</v>
      </c>
      <c r="AE3011" s="196">
        <f t="shared" si="717"/>
        <v>0</v>
      </c>
      <c r="AF3011" s="2">
        <f t="shared" si="718"/>
        <v>0</v>
      </c>
      <c r="AG3011" s="2">
        <f t="shared" si="719"/>
        <v>0</v>
      </c>
    </row>
    <row r="3012" spans="1:33">
      <c r="A3012" s="20" t="s">
        <v>12004</v>
      </c>
      <c r="B3012" s="162"/>
      <c r="C3012" s="21" t="s">
        <v>16153</v>
      </c>
      <c r="D3012" s="109" t="s">
        <v>16154</v>
      </c>
      <c r="E3012" s="109" t="s">
        <v>13423</v>
      </c>
      <c r="F3012" s="391" t="s">
        <v>16155</v>
      </c>
      <c r="G3012" s="23"/>
      <c r="H3012" s="23"/>
      <c r="I3012" s="23"/>
      <c r="J3012" s="23"/>
      <c r="K3012" s="23"/>
      <c r="L3012" s="375" t="s">
        <v>7787</v>
      </c>
      <c r="M3012" s="364"/>
      <c r="N3012" s="267">
        <f t="shared" si="720"/>
        <v>0</v>
      </c>
      <c r="O3012" s="268">
        <f t="shared" si="721"/>
        <v>0</v>
      </c>
      <c r="P3012" s="239"/>
      <c r="Q3012" s="239"/>
      <c r="R3012" s="239"/>
      <c r="S3012" s="239"/>
      <c r="T3012" s="239"/>
      <c r="U3012" s="240"/>
      <c r="V3012" s="240"/>
      <c r="W3012" s="240"/>
      <c r="X3012" s="278"/>
      <c r="Y3012" s="237"/>
      <c r="Z3012" s="237"/>
      <c r="AA3012" s="279"/>
      <c r="AB3012" s="238"/>
      <c r="AC3012" s="196">
        <f t="shared" si="715"/>
        <v>0</v>
      </c>
      <c r="AD3012" s="196">
        <f t="shared" si="716"/>
        <v>0</v>
      </c>
      <c r="AE3012" s="196">
        <f t="shared" si="717"/>
        <v>0</v>
      </c>
      <c r="AF3012" s="2">
        <f t="shared" si="718"/>
        <v>0</v>
      </c>
      <c r="AG3012" s="2">
        <f t="shared" si="719"/>
        <v>0</v>
      </c>
    </row>
    <row r="3013" spans="1:33">
      <c r="A3013" s="20" t="s">
        <v>2670</v>
      </c>
      <c r="B3013" s="150"/>
      <c r="C3013" s="21" t="s">
        <v>623</v>
      </c>
      <c r="D3013" s="109" t="s">
        <v>14815</v>
      </c>
      <c r="E3013" s="109"/>
      <c r="F3013" s="391" t="s">
        <v>16155</v>
      </c>
      <c r="G3013" s="23" t="s">
        <v>13428</v>
      </c>
      <c r="H3013" s="23" t="s">
        <v>18806</v>
      </c>
      <c r="I3013" s="23" t="s">
        <v>22238</v>
      </c>
      <c r="J3013" s="23"/>
      <c r="K3013" s="23"/>
      <c r="L3013" s="375" t="s">
        <v>27925</v>
      </c>
      <c r="M3013" s="351" t="s">
        <v>7787</v>
      </c>
      <c r="N3013" s="267">
        <f t="shared" si="720"/>
        <v>0</v>
      </c>
      <c r="O3013" s="268">
        <f t="shared" si="721"/>
        <v>450</v>
      </c>
      <c r="P3013" s="239"/>
      <c r="Q3013" s="239"/>
      <c r="R3013" s="239"/>
      <c r="S3013" s="239"/>
      <c r="T3013" s="239"/>
      <c r="U3013" s="239">
        <f>2100-1650</f>
        <v>450</v>
      </c>
      <c r="V3013" s="239"/>
      <c r="W3013" s="240"/>
      <c r="X3013" s="278"/>
      <c r="Y3013" s="237"/>
      <c r="Z3013" s="237"/>
      <c r="AA3013" s="237"/>
      <c r="AB3013" s="238" t="s">
        <v>27917</v>
      </c>
      <c r="AC3013" s="196">
        <f t="shared" si="715"/>
        <v>450</v>
      </c>
      <c r="AD3013" s="196">
        <f t="shared" si="716"/>
        <v>450</v>
      </c>
      <c r="AE3013" s="196">
        <f t="shared" si="717"/>
        <v>0</v>
      </c>
      <c r="AF3013" s="2">
        <f t="shared" si="718"/>
        <v>450</v>
      </c>
      <c r="AG3013" s="2">
        <f t="shared" si="719"/>
        <v>0</v>
      </c>
    </row>
    <row r="3014" spans="1:33">
      <c r="A3014" s="20" t="s">
        <v>10042</v>
      </c>
      <c r="B3014" s="150"/>
      <c r="C3014" s="21" t="s">
        <v>623</v>
      </c>
      <c r="D3014" s="109" t="s">
        <v>14815</v>
      </c>
      <c r="E3014" s="109" t="s">
        <v>16156</v>
      </c>
      <c r="F3014" s="391" t="s">
        <v>16155</v>
      </c>
      <c r="G3014" s="23" t="s">
        <v>13428</v>
      </c>
      <c r="H3014" s="23"/>
      <c r="I3014" s="23"/>
      <c r="J3014" s="23"/>
      <c r="K3014" s="23"/>
      <c r="L3014" s="375" t="s">
        <v>7787</v>
      </c>
      <c r="M3014" s="351" t="s">
        <v>45</v>
      </c>
      <c r="N3014" s="267">
        <f t="shared" si="720"/>
        <v>0</v>
      </c>
      <c r="O3014" s="268">
        <f t="shared" si="721"/>
        <v>50</v>
      </c>
      <c r="P3014" s="239"/>
      <c r="Q3014" s="239"/>
      <c r="R3014" s="239">
        <f>700-350-100-200</f>
        <v>50</v>
      </c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 t="s">
        <v>25491</v>
      </c>
      <c r="AC3014" s="196">
        <f t="shared" si="715"/>
        <v>50</v>
      </c>
      <c r="AD3014" s="196">
        <f t="shared" si="716"/>
        <v>50</v>
      </c>
      <c r="AE3014" s="196">
        <f t="shared" si="717"/>
        <v>0</v>
      </c>
      <c r="AF3014" s="2">
        <f t="shared" si="718"/>
        <v>50</v>
      </c>
      <c r="AG3014" s="2">
        <f t="shared" si="719"/>
        <v>0</v>
      </c>
    </row>
    <row r="3015" spans="1:33">
      <c r="A3015" s="20" t="s">
        <v>10592</v>
      </c>
      <c r="B3015" s="150"/>
      <c r="C3015" s="21" t="s">
        <v>623</v>
      </c>
      <c r="D3015" s="109" t="s">
        <v>14815</v>
      </c>
      <c r="E3015" s="109" t="s">
        <v>16157</v>
      </c>
      <c r="F3015" s="391" t="s">
        <v>16155</v>
      </c>
      <c r="G3015" s="23" t="s">
        <v>13428</v>
      </c>
      <c r="H3015" s="23"/>
      <c r="I3015" s="23"/>
      <c r="J3015" s="23"/>
      <c r="K3015" s="23"/>
      <c r="L3015" s="375" t="s">
        <v>45</v>
      </c>
      <c r="M3015" s="351" t="s">
        <v>45</v>
      </c>
      <c r="N3015" s="267">
        <f t="shared" si="720"/>
        <v>0</v>
      </c>
      <c r="O3015" s="268">
        <f t="shared" si="721"/>
        <v>100</v>
      </c>
      <c r="P3015" s="239"/>
      <c r="Q3015" s="239"/>
      <c r="R3015" s="239">
        <f>300-200</f>
        <v>100</v>
      </c>
      <c r="S3015" s="239"/>
      <c r="T3015" s="239"/>
      <c r="U3015" s="240"/>
      <c r="V3015" s="240"/>
      <c r="W3015" s="240"/>
      <c r="X3015" s="278"/>
      <c r="Y3015" s="237"/>
      <c r="Z3015" s="237"/>
      <c r="AA3015" s="279"/>
      <c r="AB3015" s="238" t="s">
        <v>25492</v>
      </c>
      <c r="AC3015" s="196">
        <f t="shared" si="715"/>
        <v>100</v>
      </c>
      <c r="AD3015" s="196">
        <f t="shared" si="716"/>
        <v>100</v>
      </c>
      <c r="AE3015" s="196">
        <f t="shared" si="717"/>
        <v>0</v>
      </c>
      <c r="AF3015" s="2">
        <f t="shared" si="718"/>
        <v>100</v>
      </c>
      <c r="AG3015" s="2">
        <f t="shared" si="719"/>
        <v>0</v>
      </c>
    </row>
    <row r="3016" spans="1:33">
      <c r="A3016" s="20" t="s">
        <v>2671</v>
      </c>
      <c r="B3016" s="150"/>
      <c r="C3016" s="21" t="s">
        <v>624</v>
      </c>
      <c r="D3016" s="109" t="s">
        <v>14815</v>
      </c>
      <c r="E3016" s="219"/>
      <c r="F3016" s="391" t="s">
        <v>16158</v>
      </c>
      <c r="G3016" s="23" t="s">
        <v>16159</v>
      </c>
      <c r="H3016" s="23" t="s">
        <v>13420</v>
      </c>
      <c r="I3016" s="23" t="s">
        <v>15776</v>
      </c>
      <c r="J3016" s="23"/>
      <c r="K3016" s="23"/>
      <c r="L3016" s="375" t="s">
        <v>7787</v>
      </c>
      <c r="M3016" s="351"/>
      <c r="N3016" s="267">
        <f t="shared" si="720"/>
        <v>0</v>
      </c>
      <c r="O3016" s="268">
        <f t="shared" si="721"/>
        <v>0</v>
      </c>
      <c r="P3016" s="239"/>
      <c r="Q3016" s="248"/>
      <c r="R3016" s="239"/>
      <c r="S3016" s="239"/>
      <c r="T3016" s="239"/>
      <c r="U3016" s="240"/>
      <c r="V3016" s="240"/>
      <c r="W3016" s="240"/>
      <c r="X3016" s="278"/>
      <c r="Y3016" s="237"/>
      <c r="Z3016" s="237"/>
      <c r="AA3016" s="279"/>
      <c r="AB3016" s="238"/>
      <c r="AC3016" s="196">
        <f t="shared" si="715"/>
        <v>0</v>
      </c>
      <c r="AD3016" s="196">
        <f t="shared" si="716"/>
        <v>0</v>
      </c>
      <c r="AE3016" s="196">
        <f t="shared" si="717"/>
        <v>0</v>
      </c>
      <c r="AF3016" s="2">
        <f t="shared" si="718"/>
        <v>0</v>
      </c>
      <c r="AG3016" s="2">
        <f t="shared" si="719"/>
        <v>0</v>
      </c>
    </row>
    <row r="3017" spans="1:33">
      <c r="A3017" s="20" t="s">
        <v>10450</v>
      </c>
      <c r="B3017" s="150"/>
      <c r="C3017" s="21" t="s">
        <v>624</v>
      </c>
      <c r="D3017" s="109" t="s">
        <v>4070</v>
      </c>
      <c r="E3017" s="109" t="s">
        <v>16160</v>
      </c>
      <c r="F3017" s="391" t="s">
        <v>5138</v>
      </c>
      <c r="G3017" s="23" t="s">
        <v>13456</v>
      </c>
      <c r="H3017" s="23" t="s">
        <v>15829</v>
      </c>
      <c r="I3017" s="23" t="s">
        <v>16161</v>
      </c>
      <c r="J3017" s="23" t="s">
        <v>16162</v>
      </c>
      <c r="K3017" s="23" t="s">
        <v>13409</v>
      </c>
      <c r="L3017" s="375" t="s">
        <v>27553</v>
      </c>
      <c r="M3017" s="351" t="s">
        <v>45</v>
      </c>
      <c r="N3017" s="267">
        <f t="shared" si="720"/>
        <v>0</v>
      </c>
      <c r="O3017" s="268">
        <f t="shared" si="721"/>
        <v>150</v>
      </c>
      <c r="P3017" s="239"/>
      <c r="Q3017" s="239"/>
      <c r="R3017" s="239"/>
      <c r="S3017" s="239"/>
      <c r="T3017" s="239"/>
      <c r="U3017" s="240">
        <f>500-100-50-100+700-300-150-350</f>
        <v>150</v>
      </c>
      <c r="V3017" s="240"/>
      <c r="W3017" s="240"/>
      <c r="X3017" s="278"/>
      <c r="Y3017" s="237"/>
      <c r="Z3017" s="237"/>
      <c r="AA3017" s="279"/>
      <c r="AB3017" s="238" t="s">
        <v>27542</v>
      </c>
      <c r="AC3017" s="196">
        <f t="shared" si="715"/>
        <v>150</v>
      </c>
      <c r="AD3017" s="196">
        <f t="shared" si="716"/>
        <v>150</v>
      </c>
      <c r="AE3017" s="196">
        <f t="shared" si="717"/>
        <v>0</v>
      </c>
      <c r="AF3017" s="2">
        <f t="shared" si="718"/>
        <v>150</v>
      </c>
      <c r="AG3017" s="2">
        <f t="shared" si="719"/>
        <v>0</v>
      </c>
    </row>
    <row r="3018" spans="1:33">
      <c r="A3018" s="20" t="s">
        <v>12247</v>
      </c>
      <c r="B3018" s="150"/>
      <c r="C3018" s="21" t="s">
        <v>624</v>
      </c>
      <c r="D3018" s="109" t="s">
        <v>13441</v>
      </c>
      <c r="E3018" s="109" t="s">
        <v>16163</v>
      </c>
      <c r="F3018" s="391" t="s">
        <v>5138</v>
      </c>
      <c r="G3018" s="23" t="s">
        <v>16164</v>
      </c>
      <c r="H3018" s="23"/>
      <c r="I3018" s="23"/>
      <c r="J3018" s="23"/>
      <c r="K3018" s="23"/>
      <c r="L3018" s="375"/>
      <c r="M3018" s="351" t="s">
        <v>7787</v>
      </c>
      <c r="N3018" s="267">
        <f t="shared" si="720"/>
        <v>0</v>
      </c>
      <c r="O3018" s="268">
        <f t="shared" si="721"/>
        <v>0</v>
      </c>
      <c r="P3018" s="239"/>
      <c r="Q3018" s="248"/>
      <c r="R3018" s="239"/>
      <c r="S3018" s="239"/>
      <c r="T3018" s="239"/>
      <c r="U3018" s="240"/>
      <c r="V3018" s="240"/>
      <c r="W3018" s="240"/>
      <c r="X3018" s="278"/>
      <c r="Y3018" s="237"/>
      <c r="Z3018" s="237"/>
      <c r="AA3018" s="279"/>
      <c r="AB3018" s="238"/>
      <c r="AC3018" s="196">
        <f t="shared" si="715"/>
        <v>0</v>
      </c>
      <c r="AD3018" s="196">
        <f t="shared" si="716"/>
        <v>0</v>
      </c>
      <c r="AE3018" s="196">
        <f t="shared" si="717"/>
        <v>0</v>
      </c>
      <c r="AF3018" s="2">
        <f t="shared" si="718"/>
        <v>0</v>
      </c>
      <c r="AG3018" s="2">
        <f t="shared" si="719"/>
        <v>0</v>
      </c>
    </row>
    <row r="3019" spans="1:33">
      <c r="A3019" s="20" t="s">
        <v>2672</v>
      </c>
      <c r="B3019" s="156" t="s">
        <v>16165</v>
      </c>
      <c r="C3019" s="21" t="s">
        <v>624</v>
      </c>
      <c r="D3019" s="109" t="s">
        <v>13441</v>
      </c>
      <c r="E3019" s="109" t="s">
        <v>16160</v>
      </c>
      <c r="F3019" s="391" t="s">
        <v>5138</v>
      </c>
      <c r="G3019" s="23" t="s">
        <v>14844</v>
      </c>
      <c r="H3019" s="23"/>
      <c r="I3019" s="23"/>
      <c r="J3019" s="23"/>
      <c r="K3019" s="23"/>
      <c r="L3019" s="375" t="s">
        <v>7787</v>
      </c>
      <c r="M3019" s="351" t="s">
        <v>7787</v>
      </c>
      <c r="N3019" s="267">
        <f t="shared" si="720"/>
        <v>0</v>
      </c>
      <c r="O3019" s="268">
        <f t="shared" si="721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/>
      <c r="Y3019" s="237"/>
      <c r="Z3019" s="237"/>
      <c r="AA3019" s="279"/>
      <c r="AB3019" s="238"/>
      <c r="AC3019" s="196">
        <f t="shared" si="715"/>
        <v>0</v>
      </c>
      <c r="AD3019" s="196">
        <f t="shared" si="716"/>
        <v>0</v>
      </c>
      <c r="AE3019" s="196">
        <f t="shared" si="717"/>
        <v>0</v>
      </c>
      <c r="AF3019" s="2">
        <f t="shared" si="718"/>
        <v>0</v>
      </c>
      <c r="AG3019" s="2">
        <f t="shared" si="719"/>
        <v>0</v>
      </c>
    </row>
    <row r="3020" spans="1:33">
      <c r="A3020" s="20" t="s">
        <v>20233</v>
      </c>
      <c r="B3020" s="156"/>
      <c r="C3020" s="21" t="s">
        <v>624</v>
      </c>
      <c r="D3020" s="109" t="s">
        <v>20299</v>
      </c>
      <c r="E3020" s="109" t="s">
        <v>20300</v>
      </c>
      <c r="F3020" s="391" t="s">
        <v>5138</v>
      </c>
      <c r="G3020" s="23" t="s">
        <v>13271</v>
      </c>
      <c r="H3020" s="23"/>
      <c r="I3020" s="23"/>
      <c r="J3020" s="23"/>
      <c r="K3020" s="23"/>
      <c r="L3020" s="375" t="s">
        <v>7787</v>
      </c>
      <c r="M3020" s="351" t="s">
        <v>7787</v>
      </c>
      <c r="N3020" s="267">
        <f t="shared" si="720"/>
        <v>0</v>
      </c>
      <c r="O3020" s="268">
        <f t="shared" si="721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/>
      <c r="Y3020" s="239"/>
      <c r="Z3020" s="237"/>
      <c r="AA3020" s="279"/>
      <c r="AB3020" s="238"/>
      <c r="AC3020" s="196">
        <f t="shared" si="715"/>
        <v>0</v>
      </c>
      <c r="AD3020" s="196">
        <f t="shared" si="716"/>
        <v>0</v>
      </c>
      <c r="AE3020" s="196">
        <f t="shared" si="717"/>
        <v>0</v>
      </c>
      <c r="AF3020" s="2">
        <f t="shared" si="718"/>
        <v>0</v>
      </c>
      <c r="AG3020" s="2">
        <f t="shared" si="719"/>
        <v>0</v>
      </c>
    </row>
    <row r="3021" spans="1:33">
      <c r="A3021" s="20" t="s">
        <v>2673</v>
      </c>
      <c r="B3021" s="150"/>
      <c r="C3021" s="21" t="s">
        <v>625</v>
      </c>
      <c r="D3021" s="109" t="s">
        <v>15744</v>
      </c>
      <c r="E3021" s="109"/>
      <c r="F3021" s="391" t="s">
        <v>16166</v>
      </c>
      <c r="G3021" s="23" t="s">
        <v>13421</v>
      </c>
      <c r="H3021" s="23" t="s">
        <v>14843</v>
      </c>
      <c r="I3021" s="23"/>
      <c r="J3021" s="23"/>
      <c r="K3021" s="23"/>
      <c r="L3021" s="350"/>
      <c r="M3021" s="351"/>
      <c r="N3021" s="267">
        <f t="shared" si="720"/>
        <v>0</v>
      </c>
      <c r="O3021" s="268">
        <f t="shared" si="721"/>
        <v>0</v>
      </c>
      <c r="P3021" s="239"/>
      <c r="Q3021" s="239"/>
      <c r="R3021" s="239"/>
      <c r="S3021" s="239"/>
      <c r="T3021" s="239"/>
      <c r="U3021" s="240"/>
      <c r="V3021" s="240"/>
      <c r="W3021" s="240"/>
      <c r="X3021" s="278">
        <v>0</v>
      </c>
      <c r="Y3021" s="237"/>
      <c r="Z3021" s="237"/>
      <c r="AA3021" s="279"/>
      <c r="AB3021" s="238"/>
      <c r="AC3021" s="196">
        <f t="shared" si="715"/>
        <v>0</v>
      </c>
      <c r="AD3021" s="196">
        <f t="shared" si="716"/>
        <v>0</v>
      </c>
      <c r="AE3021" s="196">
        <f t="shared" si="717"/>
        <v>0</v>
      </c>
      <c r="AF3021" s="2">
        <f t="shared" si="718"/>
        <v>0</v>
      </c>
      <c r="AG3021" s="2">
        <f t="shared" si="719"/>
        <v>0</v>
      </c>
    </row>
    <row r="3022" spans="1:33">
      <c r="A3022" s="20" t="s">
        <v>2674</v>
      </c>
      <c r="B3022" s="150"/>
      <c r="C3022" s="21" t="s">
        <v>626</v>
      </c>
      <c r="D3022" s="109" t="s">
        <v>14815</v>
      </c>
      <c r="E3022" s="109"/>
      <c r="F3022" s="391" t="s">
        <v>16167</v>
      </c>
      <c r="G3022" s="23"/>
      <c r="H3022" s="23"/>
      <c r="I3022" s="23"/>
      <c r="J3022" s="23"/>
      <c r="K3022" s="23"/>
      <c r="L3022" s="350"/>
      <c r="M3022" s="351"/>
      <c r="N3022" s="267">
        <f t="shared" si="720"/>
        <v>0</v>
      </c>
      <c r="O3022" s="268">
        <f t="shared" si="721"/>
        <v>0</v>
      </c>
      <c r="P3022" s="239"/>
      <c r="Q3022" s="239"/>
      <c r="R3022" s="239"/>
      <c r="S3022" s="239"/>
      <c r="T3022" s="239"/>
      <c r="U3022" s="240"/>
      <c r="V3022" s="240"/>
      <c r="W3022" s="240"/>
      <c r="X3022" s="278"/>
      <c r="Y3022" s="237"/>
      <c r="Z3022" s="237"/>
      <c r="AA3022" s="279"/>
      <c r="AB3022" s="238"/>
      <c r="AC3022" s="196">
        <f t="shared" si="715"/>
        <v>0</v>
      </c>
      <c r="AD3022" s="196">
        <f t="shared" si="716"/>
        <v>0</v>
      </c>
      <c r="AE3022" s="196">
        <f t="shared" si="717"/>
        <v>0</v>
      </c>
      <c r="AF3022" s="2">
        <f t="shared" si="718"/>
        <v>0</v>
      </c>
      <c r="AG3022" s="2">
        <f t="shared" si="719"/>
        <v>0</v>
      </c>
    </row>
    <row r="3023" spans="1:33">
      <c r="A3023" s="20" t="s">
        <v>2675</v>
      </c>
      <c r="B3023" s="151"/>
      <c r="C3023" s="21" t="s">
        <v>627</v>
      </c>
      <c r="D3023" s="109" t="s">
        <v>13455</v>
      </c>
      <c r="E3023" s="109"/>
      <c r="F3023" s="391" t="s">
        <v>16168</v>
      </c>
      <c r="G3023" s="23" t="s">
        <v>15829</v>
      </c>
      <c r="H3023" s="23" t="s">
        <v>26079</v>
      </c>
      <c r="I3023" s="23" t="s">
        <v>26227</v>
      </c>
      <c r="J3023" s="23"/>
      <c r="K3023" s="23"/>
      <c r="L3023" s="375" t="s">
        <v>45</v>
      </c>
      <c r="M3023" s="351" t="s">
        <v>7787</v>
      </c>
      <c r="N3023" s="267">
        <f t="shared" si="720"/>
        <v>0</v>
      </c>
      <c r="O3023" s="268">
        <f t="shared" si="721"/>
        <v>100</v>
      </c>
      <c r="P3023" s="239"/>
      <c r="Q3023" s="239"/>
      <c r="R3023" s="239"/>
      <c r="S3023" s="239"/>
      <c r="T3023" s="239"/>
      <c r="U3023" s="240">
        <f>200-100</f>
        <v>100</v>
      </c>
      <c r="V3023" s="240"/>
      <c r="W3023" s="240"/>
      <c r="X3023" s="278"/>
      <c r="Y3023" s="278"/>
      <c r="Z3023" s="237"/>
      <c r="AA3023" s="279"/>
      <c r="AB3023" s="238" t="s">
        <v>26203</v>
      </c>
      <c r="AC3023" s="196">
        <f t="shared" si="715"/>
        <v>100</v>
      </c>
      <c r="AD3023" s="196">
        <f t="shared" si="716"/>
        <v>100</v>
      </c>
      <c r="AE3023" s="196">
        <f t="shared" si="717"/>
        <v>0</v>
      </c>
      <c r="AF3023" s="2">
        <f t="shared" si="718"/>
        <v>100</v>
      </c>
      <c r="AG3023" s="2">
        <f t="shared" si="719"/>
        <v>0</v>
      </c>
    </row>
    <row r="3024" spans="1:33">
      <c r="A3024" s="20" t="s">
        <v>2676</v>
      </c>
      <c r="B3024" s="156"/>
      <c r="C3024" s="21" t="s">
        <v>628</v>
      </c>
      <c r="D3024" s="109" t="s">
        <v>16169</v>
      </c>
      <c r="E3024" s="109"/>
      <c r="F3024" s="391" t="s">
        <v>16170</v>
      </c>
      <c r="G3024" s="23" t="s">
        <v>15662</v>
      </c>
      <c r="H3024" s="23"/>
      <c r="I3024" s="23"/>
      <c r="J3024" s="23"/>
      <c r="K3024" s="23"/>
      <c r="L3024" s="375"/>
      <c r="M3024" s="351"/>
      <c r="N3024" s="267">
        <f t="shared" si="720"/>
        <v>0</v>
      </c>
      <c r="O3024" s="268">
        <f t="shared" si="721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5"/>
        <v>0</v>
      </c>
      <c r="AD3024" s="196">
        <f t="shared" si="716"/>
        <v>0</v>
      </c>
      <c r="AE3024" s="196">
        <f t="shared" si="717"/>
        <v>0</v>
      </c>
      <c r="AF3024" s="2">
        <f t="shared" si="718"/>
        <v>0</v>
      </c>
      <c r="AG3024" s="2">
        <f t="shared" si="719"/>
        <v>0</v>
      </c>
    </row>
    <row r="3025" spans="1:33">
      <c r="A3025" s="20" t="s">
        <v>6906</v>
      </c>
      <c r="B3025" s="156"/>
      <c r="C3025" s="21" t="s">
        <v>628</v>
      </c>
      <c r="D3025" s="109" t="s">
        <v>16171</v>
      </c>
      <c r="E3025" s="109" t="s">
        <v>16172</v>
      </c>
      <c r="F3025" s="391" t="s">
        <v>16173</v>
      </c>
      <c r="G3025" s="23" t="s">
        <v>15662</v>
      </c>
      <c r="H3025" s="23"/>
      <c r="I3025" s="23"/>
      <c r="J3025" s="23"/>
      <c r="K3025" s="23"/>
      <c r="L3025" s="375" t="s">
        <v>7787</v>
      </c>
      <c r="M3025" s="351" t="s">
        <v>7787</v>
      </c>
      <c r="N3025" s="267">
        <f t="shared" si="720"/>
        <v>0</v>
      </c>
      <c r="O3025" s="268">
        <f t="shared" si="721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5"/>
        <v>0</v>
      </c>
      <c r="AD3025" s="196">
        <f t="shared" si="716"/>
        <v>0</v>
      </c>
      <c r="AE3025" s="196">
        <f t="shared" si="717"/>
        <v>0</v>
      </c>
      <c r="AF3025" s="2">
        <f t="shared" si="718"/>
        <v>0</v>
      </c>
      <c r="AG3025" s="2">
        <f t="shared" si="719"/>
        <v>0</v>
      </c>
    </row>
    <row r="3026" spans="1:33">
      <c r="A3026" s="20" t="s">
        <v>2677</v>
      </c>
      <c r="B3026" s="156" t="s">
        <v>5877</v>
      </c>
      <c r="C3026" s="21" t="s">
        <v>629</v>
      </c>
      <c r="D3026" s="109" t="s">
        <v>13881</v>
      </c>
      <c r="E3026" s="109"/>
      <c r="F3026" s="391" t="s">
        <v>16174</v>
      </c>
      <c r="G3026" s="23" t="s">
        <v>15929</v>
      </c>
      <c r="H3026" s="23"/>
      <c r="I3026" s="23"/>
      <c r="J3026" s="23"/>
      <c r="K3026" s="23"/>
      <c r="L3026" s="375" t="s">
        <v>7787</v>
      </c>
      <c r="M3026" s="351" t="s">
        <v>7787</v>
      </c>
      <c r="N3026" s="267">
        <f t="shared" si="720"/>
        <v>0</v>
      </c>
      <c r="O3026" s="268">
        <f t="shared" si="721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5"/>
        <v>0</v>
      </c>
      <c r="AD3026" s="196">
        <f t="shared" si="716"/>
        <v>0</v>
      </c>
      <c r="AE3026" s="196">
        <f t="shared" si="717"/>
        <v>0</v>
      </c>
      <c r="AF3026" s="2">
        <f t="shared" si="718"/>
        <v>0</v>
      </c>
      <c r="AG3026" s="2">
        <f t="shared" si="719"/>
        <v>0</v>
      </c>
    </row>
    <row r="3027" spans="1:33">
      <c r="A3027" s="20" t="s">
        <v>6866</v>
      </c>
      <c r="B3027" s="156"/>
      <c r="C3027" s="21" t="s">
        <v>16175</v>
      </c>
      <c r="D3027" s="109" t="s">
        <v>13881</v>
      </c>
      <c r="E3027" s="109" t="s">
        <v>16176</v>
      </c>
      <c r="F3027" s="391" t="s">
        <v>16174</v>
      </c>
      <c r="G3027" s="23" t="s">
        <v>15929</v>
      </c>
      <c r="H3027" s="23"/>
      <c r="I3027" s="23"/>
      <c r="J3027" s="23"/>
      <c r="K3027" s="23"/>
      <c r="L3027" s="375" t="s">
        <v>7787</v>
      </c>
      <c r="M3027" s="351"/>
      <c r="N3027" s="267">
        <f t="shared" si="720"/>
        <v>0</v>
      </c>
      <c r="O3027" s="268">
        <f t="shared" si="721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7"/>
      <c r="Z3027" s="237"/>
      <c r="AA3027" s="279"/>
      <c r="AB3027" s="238"/>
      <c r="AC3027" s="196">
        <f t="shared" si="715"/>
        <v>0</v>
      </c>
      <c r="AD3027" s="196">
        <f t="shared" si="716"/>
        <v>0</v>
      </c>
      <c r="AE3027" s="196">
        <f t="shared" si="717"/>
        <v>0</v>
      </c>
      <c r="AF3027" s="2">
        <f t="shared" si="718"/>
        <v>0</v>
      </c>
      <c r="AG3027" s="2">
        <f t="shared" si="719"/>
        <v>0</v>
      </c>
    </row>
    <row r="3028" spans="1:33">
      <c r="A3028" s="20" t="s">
        <v>2766</v>
      </c>
      <c r="B3028" s="150"/>
      <c r="C3028" s="21" t="s">
        <v>709</v>
      </c>
      <c r="D3028" s="109" t="s">
        <v>13319</v>
      </c>
      <c r="E3028" s="109"/>
      <c r="F3028" s="391" t="s">
        <v>16177</v>
      </c>
      <c r="G3028" s="23"/>
      <c r="H3028" s="23"/>
      <c r="I3028" s="23"/>
      <c r="J3028" s="23"/>
      <c r="K3028" s="23"/>
      <c r="L3028" s="350"/>
      <c r="M3028" s="351"/>
      <c r="N3028" s="267">
        <f t="shared" si="720"/>
        <v>0</v>
      </c>
      <c r="O3028" s="268">
        <f t="shared" si="721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7"/>
      <c r="Z3028" s="237"/>
      <c r="AA3028" s="279"/>
      <c r="AB3028" s="238"/>
      <c r="AC3028" s="196">
        <f t="shared" si="715"/>
        <v>0</v>
      </c>
      <c r="AD3028" s="196">
        <f t="shared" si="716"/>
        <v>0</v>
      </c>
      <c r="AE3028" s="196">
        <f t="shared" si="717"/>
        <v>0</v>
      </c>
      <c r="AF3028" s="2">
        <f t="shared" si="718"/>
        <v>0</v>
      </c>
      <c r="AG3028" s="2">
        <f t="shared" si="719"/>
        <v>0</v>
      </c>
    </row>
    <row r="3029" spans="1:33">
      <c r="A3029" s="20" t="s">
        <v>2767</v>
      </c>
      <c r="B3029" s="150"/>
      <c r="C3029" s="21" t="s">
        <v>709</v>
      </c>
      <c r="D3029" s="109" t="s">
        <v>13878</v>
      </c>
      <c r="E3029" s="109"/>
      <c r="F3029" s="391" t="s">
        <v>16177</v>
      </c>
      <c r="G3029" s="23"/>
      <c r="H3029" s="23"/>
      <c r="I3029" s="23"/>
      <c r="J3029" s="23"/>
      <c r="K3029" s="23"/>
      <c r="L3029" s="350"/>
      <c r="M3029" s="351"/>
      <c r="N3029" s="267">
        <f t="shared" si="720"/>
        <v>0</v>
      </c>
      <c r="O3029" s="268">
        <f t="shared" si="721"/>
        <v>0</v>
      </c>
      <c r="P3029" s="239"/>
      <c r="Q3029" s="239"/>
      <c r="R3029" s="239"/>
      <c r="S3029" s="239"/>
      <c r="T3029" s="239"/>
      <c r="U3029" s="240"/>
      <c r="V3029" s="240"/>
      <c r="W3029" s="240"/>
      <c r="X3029" s="278"/>
      <c r="Y3029" s="239"/>
      <c r="Z3029" s="237"/>
      <c r="AA3029" s="279"/>
      <c r="AB3029" s="238"/>
      <c r="AC3029" s="196">
        <f t="shared" si="715"/>
        <v>0</v>
      </c>
      <c r="AD3029" s="196">
        <f t="shared" si="716"/>
        <v>0</v>
      </c>
      <c r="AE3029" s="196">
        <f t="shared" si="717"/>
        <v>0</v>
      </c>
      <c r="AF3029" s="2">
        <f t="shared" si="718"/>
        <v>0</v>
      </c>
      <c r="AG3029" s="2">
        <f t="shared" si="719"/>
        <v>0</v>
      </c>
    </row>
    <row r="3030" spans="1:33">
      <c r="A3030" s="20" t="s">
        <v>2678</v>
      </c>
      <c r="B3030" s="152" t="s">
        <v>5878</v>
      </c>
      <c r="C3030" s="21" t="s">
        <v>630</v>
      </c>
      <c r="D3030" s="109" t="s">
        <v>13878</v>
      </c>
      <c r="E3030" s="109" t="s">
        <v>13793</v>
      </c>
      <c r="F3030" s="391" t="s">
        <v>16178</v>
      </c>
      <c r="G3030" s="23" t="s">
        <v>6133</v>
      </c>
      <c r="H3030" s="23" t="s">
        <v>16179</v>
      </c>
      <c r="I3030" s="23" t="s">
        <v>17522</v>
      </c>
      <c r="J3030" s="23"/>
      <c r="K3030" s="23"/>
      <c r="L3030" s="375" t="s">
        <v>7787</v>
      </c>
      <c r="M3030" s="351"/>
      <c r="N3030" s="267">
        <f t="shared" si="720"/>
        <v>0</v>
      </c>
      <c r="O3030" s="268">
        <f t="shared" si="721"/>
        <v>0</v>
      </c>
      <c r="P3030" s="239"/>
      <c r="Q3030" s="239"/>
      <c r="R3030" s="239"/>
      <c r="S3030" s="239"/>
      <c r="T3030" s="239"/>
      <c r="U3030" s="240"/>
      <c r="V3030" s="240"/>
      <c r="W3030" s="240"/>
      <c r="X3030" s="278"/>
      <c r="Y3030" s="237"/>
      <c r="Z3030" s="237"/>
      <c r="AA3030" s="279"/>
      <c r="AB3030" s="238"/>
      <c r="AC3030" s="196">
        <f t="shared" si="715"/>
        <v>0</v>
      </c>
      <c r="AD3030" s="196">
        <f t="shared" si="716"/>
        <v>0</v>
      </c>
      <c r="AE3030" s="196">
        <f t="shared" si="717"/>
        <v>0</v>
      </c>
      <c r="AF3030" s="2">
        <f t="shared" si="718"/>
        <v>0</v>
      </c>
      <c r="AG3030" s="2">
        <f t="shared" si="719"/>
        <v>0</v>
      </c>
    </row>
    <row r="3031" spans="1:33">
      <c r="A3031" s="20" t="s">
        <v>2679</v>
      </c>
      <c r="B3031" s="152"/>
      <c r="C3031" s="21" t="s">
        <v>631</v>
      </c>
      <c r="D3031" s="109" t="s">
        <v>4062</v>
      </c>
      <c r="E3031" s="109"/>
      <c r="F3031" s="391" t="s">
        <v>16180</v>
      </c>
      <c r="G3031" s="23" t="s">
        <v>5512</v>
      </c>
      <c r="H3031" s="23"/>
      <c r="I3031" s="23"/>
      <c r="J3031" s="23"/>
      <c r="K3031" s="23"/>
      <c r="L3031" s="375" t="s">
        <v>45</v>
      </c>
      <c r="M3031" s="351" t="s">
        <v>7787</v>
      </c>
      <c r="N3031" s="267">
        <f t="shared" si="720"/>
        <v>0</v>
      </c>
      <c r="O3031" s="268">
        <f t="shared" si="721"/>
        <v>100</v>
      </c>
      <c r="P3031" s="239"/>
      <c r="Q3031" s="239"/>
      <c r="R3031" s="239"/>
      <c r="S3031" s="239"/>
      <c r="T3031" s="239"/>
      <c r="U3031" s="240"/>
      <c r="V3031" s="240">
        <f>400-300</f>
        <v>100</v>
      </c>
      <c r="W3031" s="240"/>
      <c r="X3031" s="278"/>
      <c r="Y3031" s="237"/>
      <c r="Z3031" s="237"/>
      <c r="AA3031" s="279"/>
      <c r="AB3031" s="238" t="s">
        <v>25257</v>
      </c>
      <c r="AC3031" s="196">
        <f t="shared" si="715"/>
        <v>100</v>
      </c>
      <c r="AD3031" s="196">
        <f t="shared" si="716"/>
        <v>100</v>
      </c>
      <c r="AE3031" s="196">
        <f t="shared" si="717"/>
        <v>0</v>
      </c>
      <c r="AF3031" s="2">
        <f t="shared" si="718"/>
        <v>100</v>
      </c>
      <c r="AG3031" s="2">
        <f t="shared" si="719"/>
        <v>0</v>
      </c>
    </row>
    <row r="3032" spans="1:33">
      <c r="A3032" s="20" t="s">
        <v>2680</v>
      </c>
      <c r="B3032" s="162"/>
      <c r="C3032" s="21" t="s">
        <v>631</v>
      </c>
      <c r="D3032" s="109" t="s">
        <v>15960</v>
      </c>
      <c r="E3032" s="109"/>
      <c r="F3032" s="391" t="s">
        <v>16181</v>
      </c>
      <c r="G3032" s="23" t="s">
        <v>15163</v>
      </c>
      <c r="H3032" s="23"/>
      <c r="I3032" s="23"/>
      <c r="J3032" s="23"/>
      <c r="K3032" s="23"/>
      <c r="L3032" s="375" t="s">
        <v>45</v>
      </c>
      <c r="M3032" s="351" t="s">
        <v>7787</v>
      </c>
      <c r="N3032" s="267">
        <f t="shared" si="720"/>
        <v>0</v>
      </c>
      <c r="O3032" s="268">
        <f t="shared" si="721"/>
        <v>0</v>
      </c>
      <c r="P3032" s="239"/>
      <c r="Q3032" s="239"/>
      <c r="R3032" s="239"/>
      <c r="S3032" s="239"/>
      <c r="T3032" s="239"/>
      <c r="U3032" s="240"/>
      <c r="V3032" s="239"/>
      <c r="W3032" s="240"/>
      <c r="X3032" s="278"/>
      <c r="Y3032" s="239"/>
      <c r="Z3032" s="237"/>
      <c r="AA3032" s="279"/>
      <c r="AB3032" s="238"/>
      <c r="AC3032" s="196">
        <f t="shared" si="715"/>
        <v>0</v>
      </c>
      <c r="AD3032" s="196">
        <f t="shared" si="716"/>
        <v>0</v>
      </c>
      <c r="AE3032" s="196">
        <f t="shared" si="717"/>
        <v>0</v>
      </c>
      <c r="AF3032" s="2">
        <f t="shared" si="718"/>
        <v>0</v>
      </c>
      <c r="AG3032" s="2">
        <f t="shared" si="719"/>
        <v>0</v>
      </c>
    </row>
    <row r="3033" spans="1:33">
      <c r="A3033" s="20" t="s">
        <v>2681</v>
      </c>
      <c r="B3033" s="150"/>
      <c r="C3033" s="21" t="s">
        <v>632</v>
      </c>
      <c r="D3033" s="109" t="s">
        <v>16073</v>
      </c>
      <c r="E3033" s="109"/>
      <c r="F3033" s="391" t="s">
        <v>16182</v>
      </c>
      <c r="G3033" s="23" t="s">
        <v>16183</v>
      </c>
      <c r="H3033" s="23" t="s">
        <v>14100</v>
      </c>
      <c r="I3033" s="23" t="s">
        <v>22265</v>
      </c>
      <c r="J3033" s="23" t="s">
        <v>25024</v>
      </c>
      <c r="K3033" s="23"/>
      <c r="L3033" s="375" t="s">
        <v>45</v>
      </c>
      <c r="M3033" s="351" t="s">
        <v>45</v>
      </c>
      <c r="N3033" s="267">
        <f t="shared" si="720"/>
        <v>0</v>
      </c>
      <c r="O3033" s="268">
        <f t="shared" si="721"/>
        <v>250</v>
      </c>
      <c r="P3033" s="239"/>
      <c r="Q3033" s="239">
        <f>1000-100-100-50-250-100-50-50-50</f>
        <v>250</v>
      </c>
      <c r="R3033" s="239"/>
      <c r="S3033" s="239"/>
      <c r="T3033" s="239"/>
      <c r="U3033" s="240"/>
      <c r="V3033" s="240"/>
      <c r="W3033" s="240"/>
      <c r="X3033" s="278"/>
      <c r="Y3033" s="237"/>
      <c r="Z3033" s="237"/>
      <c r="AA3033" s="279"/>
      <c r="AB3033" s="238" t="s">
        <v>27158</v>
      </c>
      <c r="AC3033" s="196">
        <f t="shared" si="715"/>
        <v>250</v>
      </c>
      <c r="AD3033" s="196">
        <f t="shared" si="716"/>
        <v>250</v>
      </c>
      <c r="AE3033" s="196">
        <f t="shared" si="717"/>
        <v>0</v>
      </c>
      <c r="AF3033" s="2">
        <f t="shared" si="718"/>
        <v>250</v>
      </c>
      <c r="AG3033" s="2">
        <f t="shared" si="719"/>
        <v>0</v>
      </c>
    </row>
    <row r="3034" spans="1:33">
      <c r="A3034" s="20" t="s">
        <v>2682</v>
      </c>
      <c r="B3034" s="151" t="s">
        <v>5879</v>
      </c>
      <c r="C3034" s="21" t="s">
        <v>633</v>
      </c>
      <c r="D3034" s="109" t="s">
        <v>15167</v>
      </c>
      <c r="E3034" s="109"/>
      <c r="F3034" s="391" t="s">
        <v>16184</v>
      </c>
      <c r="G3034" s="23" t="s">
        <v>15962</v>
      </c>
      <c r="H3034" s="23"/>
      <c r="I3034" s="23"/>
      <c r="J3034" s="23"/>
      <c r="K3034" s="23"/>
      <c r="L3034" s="350"/>
      <c r="M3034" s="351" t="s">
        <v>7787</v>
      </c>
      <c r="N3034" s="267">
        <f t="shared" si="720"/>
        <v>0</v>
      </c>
      <c r="O3034" s="268">
        <f t="shared" si="721"/>
        <v>0</v>
      </c>
      <c r="P3034" s="239"/>
      <c r="Q3034" s="239"/>
      <c r="R3034" s="239"/>
      <c r="S3034" s="239"/>
      <c r="T3034" s="239"/>
      <c r="U3034" s="244"/>
      <c r="V3034" s="244"/>
      <c r="W3034" s="240"/>
      <c r="X3034" s="278"/>
      <c r="Y3034" s="237"/>
      <c r="Z3034" s="237"/>
      <c r="AA3034" s="279"/>
      <c r="AB3034" s="238"/>
      <c r="AC3034" s="196">
        <f t="shared" si="715"/>
        <v>0</v>
      </c>
      <c r="AD3034" s="196">
        <f t="shared" si="716"/>
        <v>0</v>
      </c>
      <c r="AE3034" s="196">
        <f t="shared" si="717"/>
        <v>0</v>
      </c>
      <c r="AF3034" s="2">
        <f t="shared" si="718"/>
        <v>0</v>
      </c>
      <c r="AG3034" s="2">
        <f t="shared" si="719"/>
        <v>0</v>
      </c>
    </row>
    <row r="3035" spans="1:33">
      <c r="A3035" s="20" t="s">
        <v>2683</v>
      </c>
      <c r="B3035" s="162" t="s">
        <v>16185</v>
      </c>
      <c r="C3035" s="21" t="s">
        <v>634</v>
      </c>
      <c r="D3035" s="109" t="s">
        <v>16186</v>
      </c>
      <c r="E3035" s="109"/>
      <c r="F3035" s="391" t="s">
        <v>16187</v>
      </c>
      <c r="G3035" s="23" t="s">
        <v>15962</v>
      </c>
      <c r="H3035" s="23" t="s">
        <v>16188</v>
      </c>
      <c r="I3035" s="23" t="s">
        <v>15163</v>
      </c>
      <c r="J3035" s="23"/>
      <c r="K3035" s="23"/>
      <c r="L3035" s="375" t="s">
        <v>7787</v>
      </c>
      <c r="M3035" s="351" t="s">
        <v>7787</v>
      </c>
      <c r="N3035" s="267">
        <f t="shared" si="720"/>
        <v>0</v>
      </c>
      <c r="O3035" s="268">
        <f t="shared" si="721"/>
        <v>0</v>
      </c>
      <c r="P3035" s="239"/>
      <c r="Q3035" s="239"/>
      <c r="R3035" s="239"/>
      <c r="S3035" s="239"/>
      <c r="T3035" s="239"/>
      <c r="U3035" s="239"/>
      <c r="V3035" s="239"/>
      <c r="W3035" s="240"/>
      <c r="X3035" s="278"/>
      <c r="Y3035" s="237"/>
      <c r="Z3035" s="237"/>
      <c r="AA3035" s="279"/>
      <c r="AB3035" s="238"/>
      <c r="AC3035" s="196">
        <f t="shared" si="715"/>
        <v>0</v>
      </c>
      <c r="AD3035" s="196">
        <f t="shared" si="716"/>
        <v>0</v>
      </c>
      <c r="AE3035" s="196">
        <f t="shared" si="717"/>
        <v>0</v>
      </c>
      <c r="AF3035" s="2">
        <f t="shared" si="718"/>
        <v>0</v>
      </c>
      <c r="AG3035" s="2">
        <f t="shared" si="719"/>
        <v>0</v>
      </c>
    </row>
    <row r="3036" spans="1:33">
      <c r="A3036" s="20" t="s">
        <v>2684</v>
      </c>
      <c r="B3036" s="150"/>
      <c r="C3036" s="21" t="s">
        <v>635</v>
      </c>
      <c r="D3036" s="109" t="s">
        <v>16189</v>
      </c>
      <c r="E3036" s="109"/>
      <c r="F3036" s="391" t="s">
        <v>16190</v>
      </c>
      <c r="G3036" s="23" t="s">
        <v>15827</v>
      </c>
      <c r="H3036" s="23"/>
      <c r="I3036" s="23"/>
      <c r="J3036" s="23"/>
      <c r="K3036" s="23"/>
      <c r="L3036" s="375" t="s">
        <v>7787</v>
      </c>
      <c r="M3036" s="351" t="s">
        <v>7787</v>
      </c>
      <c r="N3036" s="267">
        <f t="shared" si="720"/>
        <v>0</v>
      </c>
      <c r="O3036" s="268">
        <f t="shared" si="721"/>
        <v>0</v>
      </c>
      <c r="P3036" s="239"/>
      <c r="Q3036" s="239"/>
      <c r="R3036" s="239"/>
      <c r="S3036" s="239"/>
      <c r="T3036" s="239"/>
      <c r="U3036" s="240"/>
      <c r="V3036" s="240"/>
      <c r="W3036" s="240"/>
      <c r="X3036" s="278"/>
      <c r="Y3036" s="239"/>
      <c r="Z3036" s="237"/>
      <c r="AA3036" s="279"/>
      <c r="AB3036" s="238"/>
      <c r="AC3036" s="196">
        <f t="shared" si="715"/>
        <v>0</v>
      </c>
      <c r="AD3036" s="196">
        <f t="shared" si="716"/>
        <v>0</v>
      </c>
      <c r="AE3036" s="196">
        <f t="shared" si="717"/>
        <v>0</v>
      </c>
      <c r="AF3036" s="2">
        <f t="shared" si="718"/>
        <v>0</v>
      </c>
      <c r="AG3036" s="2">
        <f t="shared" si="719"/>
        <v>0</v>
      </c>
    </row>
    <row r="3037" spans="1:33">
      <c r="A3037" s="20" t="s">
        <v>2685</v>
      </c>
      <c r="B3037" s="161"/>
      <c r="C3037" s="21" t="s">
        <v>636</v>
      </c>
      <c r="D3037" s="109" t="s">
        <v>13441</v>
      </c>
      <c r="E3037" s="109"/>
      <c r="F3037" s="391" t="s">
        <v>16191</v>
      </c>
      <c r="G3037" s="23" t="s">
        <v>16192</v>
      </c>
      <c r="H3037" s="23"/>
      <c r="I3037" s="23"/>
      <c r="J3037" s="23"/>
      <c r="K3037" s="23"/>
      <c r="L3037" s="375" t="s">
        <v>7787</v>
      </c>
      <c r="M3037" s="351"/>
      <c r="N3037" s="267">
        <f t="shared" si="720"/>
        <v>0</v>
      </c>
      <c r="O3037" s="268">
        <f t="shared" si="721"/>
        <v>200</v>
      </c>
      <c r="P3037" s="239"/>
      <c r="Q3037" s="239"/>
      <c r="R3037" s="239">
        <f>750+450-200-300-500</f>
        <v>200</v>
      </c>
      <c r="S3037" s="239"/>
      <c r="T3037" s="239"/>
      <c r="U3037" s="240"/>
      <c r="V3037" s="240"/>
      <c r="W3037" s="240"/>
      <c r="X3037" s="278"/>
      <c r="Y3037" s="237"/>
      <c r="Z3037" s="237"/>
      <c r="AA3037" s="279"/>
      <c r="AB3037" s="238" t="s">
        <v>21728</v>
      </c>
      <c r="AC3037" s="196">
        <f t="shared" si="715"/>
        <v>200</v>
      </c>
      <c r="AD3037" s="196">
        <f t="shared" si="716"/>
        <v>200</v>
      </c>
      <c r="AE3037" s="196">
        <f t="shared" si="717"/>
        <v>0</v>
      </c>
      <c r="AF3037" s="2">
        <f t="shared" si="718"/>
        <v>200</v>
      </c>
      <c r="AG3037" s="2">
        <f t="shared" si="719"/>
        <v>0</v>
      </c>
    </row>
    <row r="3038" spans="1:33">
      <c r="A3038" s="20" t="s">
        <v>2686</v>
      </c>
      <c r="B3038" s="161"/>
      <c r="C3038" s="21" t="s">
        <v>637</v>
      </c>
      <c r="D3038" s="109" t="s">
        <v>16073</v>
      </c>
      <c r="E3038" s="109"/>
      <c r="F3038" s="391" t="s">
        <v>16193</v>
      </c>
      <c r="G3038" s="23" t="s">
        <v>13711</v>
      </c>
      <c r="H3038" s="23" t="s">
        <v>16194</v>
      </c>
      <c r="I3038" s="23"/>
      <c r="J3038" s="23"/>
      <c r="K3038" s="23"/>
      <c r="L3038" s="375" t="s">
        <v>7787</v>
      </c>
      <c r="M3038" s="351" t="s">
        <v>7787</v>
      </c>
      <c r="N3038" s="267">
        <f t="shared" si="720"/>
        <v>0</v>
      </c>
      <c r="O3038" s="268">
        <f t="shared" si="721"/>
        <v>0</v>
      </c>
      <c r="P3038" s="239"/>
      <c r="Q3038" s="239"/>
      <c r="R3038" s="239"/>
      <c r="S3038" s="239"/>
      <c r="T3038" s="239"/>
      <c r="U3038" s="240"/>
      <c r="V3038" s="240"/>
      <c r="W3038" s="240"/>
      <c r="X3038" s="278"/>
      <c r="Y3038" s="237"/>
      <c r="Z3038" s="237"/>
      <c r="AA3038" s="279"/>
      <c r="AB3038" s="238"/>
      <c r="AC3038" s="196">
        <f t="shared" si="715"/>
        <v>0</v>
      </c>
      <c r="AD3038" s="196">
        <f t="shared" si="716"/>
        <v>0</v>
      </c>
      <c r="AE3038" s="196">
        <f t="shared" si="717"/>
        <v>0</v>
      </c>
      <c r="AF3038" s="2">
        <f t="shared" si="718"/>
        <v>0</v>
      </c>
      <c r="AG3038" s="2">
        <f t="shared" si="719"/>
        <v>0</v>
      </c>
    </row>
    <row r="3039" spans="1:33">
      <c r="A3039" s="20" t="s">
        <v>19205</v>
      </c>
      <c r="B3039" s="150"/>
      <c r="C3039" s="21" t="s">
        <v>19157</v>
      </c>
      <c r="D3039" s="109" t="s">
        <v>3137</v>
      </c>
      <c r="E3039" s="109"/>
      <c r="F3039" s="391" t="s">
        <v>19158</v>
      </c>
      <c r="G3039" s="23" t="s">
        <v>19182</v>
      </c>
      <c r="H3039" s="23"/>
      <c r="I3039" s="23"/>
      <c r="J3039" s="23"/>
      <c r="K3039" s="23"/>
      <c r="L3039" s="375"/>
      <c r="M3039" s="351"/>
      <c r="N3039" s="267">
        <f t="shared" si="720"/>
        <v>0</v>
      </c>
      <c r="O3039" s="268">
        <f t="shared" si="721"/>
        <v>0</v>
      </c>
      <c r="P3039" s="239"/>
      <c r="Q3039" s="239"/>
      <c r="R3039" s="239"/>
      <c r="S3039" s="239"/>
      <c r="T3039" s="239"/>
      <c r="U3039" s="240"/>
      <c r="V3039" s="240"/>
      <c r="W3039" s="240"/>
      <c r="X3039" s="278"/>
      <c r="Y3039" s="243"/>
      <c r="Z3039" s="237"/>
      <c r="AA3039" s="279"/>
      <c r="AB3039" s="238"/>
      <c r="AC3039" s="196">
        <f t="shared" si="715"/>
        <v>0</v>
      </c>
      <c r="AD3039" s="196">
        <f t="shared" si="716"/>
        <v>0</v>
      </c>
      <c r="AE3039" s="196">
        <f t="shared" si="717"/>
        <v>0</v>
      </c>
      <c r="AF3039" s="2">
        <f t="shared" si="718"/>
        <v>0</v>
      </c>
      <c r="AG3039" s="2">
        <f t="shared" si="719"/>
        <v>0</v>
      </c>
    </row>
    <row r="3040" spans="1:33">
      <c r="A3040" s="20" t="s">
        <v>2687</v>
      </c>
      <c r="B3040" s="150"/>
      <c r="C3040" s="21" t="s">
        <v>638</v>
      </c>
      <c r="D3040" s="109" t="s">
        <v>13631</v>
      </c>
      <c r="E3040" s="109"/>
      <c r="F3040" s="391" t="s">
        <v>16195</v>
      </c>
      <c r="G3040" s="23" t="s">
        <v>16196</v>
      </c>
      <c r="H3040" s="23" t="s">
        <v>16197</v>
      </c>
      <c r="I3040" s="23" t="s">
        <v>15625</v>
      </c>
      <c r="J3040" s="23" t="s">
        <v>13975</v>
      </c>
      <c r="K3040" s="23"/>
      <c r="L3040" s="375"/>
      <c r="M3040" s="362" t="s">
        <v>7787</v>
      </c>
      <c r="N3040" s="267">
        <f t="shared" si="720"/>
        <v>0</v>
      </c>
      <c r="O3040" s="268">
        <f t="shared" si="721"/>
        <v>0</v>
      </c>
      <c r="P3040" s="239"/>
      <c r="Q3040" s="240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/>
      <c r="AC3040" s="196">
        <f t="shared" si="715"/>
        <v>0</v>
      </c>
      <c r="AD3040" s="196">
        <f t="shared" si="716"/>
        <v>0</v>
      </c>
      <c r="AE3040" s="196">
        <f t="shared" si="717"/>
        <v>0</v>
      </c>
      <c r="AF3040" s="2">
        <f t="shared" si="718"/>
        <v>0</v>
      </c>
      <c r="AG3040" s="2">
        <f t="shared" si="719"/>
        <v>0</v>
      </c>
    </row>
    <row r="3041" spans="1:33">
      <c r="A3041" s="20" t="s">
        <v>27074</v>
      </c>
      <c r="B3041" s="150"/>
      <c r="C3041" s="21" t="s">
        <v>638</v>
      </c>
      <c r="D3041" s="109" t="s">
        <v>4070</v>
      </c>
      <c r="E3041" s="109" t="s">
        <v>24904</v>
      </c>
      <c r="F3041" s="391" t="s">
        <v>24901</v>
      </c>
      <c r="G3041" s="23" t="s">
        <v>24902</v>
      </c>
      <c r="H3041" s="23" t="s">
        <v>24903</v>
      </c>
      <c r="I3041" s="23" t="s">
        <v>10645</v>
      </c>
      <c r="J3041" s="23" t="s">
        <v>6613</v>
      </c>
      <c r="K3041" s="23"/>
      <c r="L3041" s="375"/>
      <c r="M3041" s="351" t="s">
        <v>7787</v>
      </c>
      <c r="N3041" s="267">
        <f t="shared" ref="N3041" si="722">SUM(L3041:M3041)</f>
        <v>0</v>
      </c>
      <c r="O3041" s="268">
        <f t="shared" ref="O3041" si="723">SUM(P3041:Z3041)</f>
        <v>0</v>
      </c>
      <c r="P3041" s="239"/>
      <c r="Q3041" s="244"/>
      <c r="R3041" s="239"/>
      <c r="S3041" s="239"/>
      <c r="T3041" s="239"/>
      <c r="U3041" s="240"/>
      <c r="V3041" s="240"/>
      <c r="W3041" s="240"/>
      <c r="X3041" s="278"/>
      <c r="Y3041" s="239"/>
      <c r="Z3041" s="237"/>
      <c r="AA3041" s="279"/>
      <c r="AB3041" s="238"/>
      <c r="AC3041" s="196">
        <f t="shared" si="715"/>
        <v>0</v>
      </c>
      <c r="AD3041" s="196">
        <f t="shared" si="716"/>
        <v>0</v>
      </c>
      <c r="AE3041" s="196">
        <f t="shared" si="717"/>
        <v>0</v>
      </c>
      <c r="AF3041" s="2">
        <f t="shared" si="718"/>
        <v>0</v>
      </c>
      <c r="AG3041" s="2">
        <f t="shared" si="719"/>
        <v>0</v>
      </c>
    </row>
    <row r="3042" spans="1:33">
      <c r="A3042" s="20" t="s">
        <v>27129</v>
      </c>
      <c r="B3042" s="150"/>
      <c r="C3042" s="21" t="s">
        <v>638</v>
      </c>
      <c r="D3042" s="109" t="s">
        <v>4070</v>
      </c>
      <c r="E3042" s="109" t="s">
        <v>25975</v>
      </c>
      <c r="F3042" s="391" t="s">
        <v>24901</v>
      </c>
      <c r="G3042" s="23" t="s">
        <v>24903</v>
      </c>
      <c r="H3042" s="23"/>
      <c r="I3042" s="23"/>
      <c r="J3042" s="23"/>
      <c r="K3042" s="23"/>
      <c r="L3042" s="375"/>
      <c r="M3042" s="351"/>
      <c r="N3042" s="267">
        <f t="shared" ref="N3042:N3045" si="724">SUM(L3042:M3042)</f>
        <v>0</v>
      </c>
      <c r="O3042" s="268">
        <f t="shared" ref="O3042:O3045" si="725">SUM(P3042:Z3042)</f>
        <v>1550</v>
      </c>
      <c r="P3042" s="239">
        <f>2000-50-100-100-200</f>
        <v>1550</v>
      </c>
      <c r="Q3042" s="244"/>
      <c r="R3042" s="239"/>
      <c r="S3042" s="239"/>
      <c r="T3042" s="239"/>
      <c r="U3042" s="240"/>
      <c r="V3042" s="240"/>
      <c r="W3042" s="240"/>
      <c r="X3042" s="278"/>
      <c r="Y3042" s="239"/>
      <c r="Z3042" s="237"/>
      <c r="AA3042" s="279"/>
      <c r="AB3042" s="238" t="s">
        <v>27181</v>
      </c>
      <c r="AC3042" s="196"/>
      <c r="AD3042" s="196"/>
      <c r="AE3042" s="196"/>
    </row>
    <row r="3043" spans="1:33">
      <c r="A3043" s="20" t="s">
        <v>2688</v>
      </c>
      <c r="B3043" s="150"/>
      <c r="C3043" s="21" t="s">
        <v>638</v>
      </c>
      <c r="D3043" s="109" t="s">
        <v>13643</v>
      </c>
      <c r="E3043" s="109" t="s">
        <v>13781</v>
      </c>
      <c r="F3043" s="391" t="s">
        <v>16198</v>
      </c>
      <c r="G3043" s="23" t="s">
        <v>16196</v>
      </c>
      <c r="H3043" s="23"/>
      <c r="I3043" s="23"/>
      <c r="J3043" s="23"/>
      <c r="K3043" s="23"/>
      <c r="L3043" s="375" t="s">
        <v>7787</v>
      </c>
      <c r="M3043" s="351" t="s">
        <v>7787</v>
      </c>
      <c r="N3043" s="267">
        <f t="shared" si="724"/>
        <v>0</v>
      </c>
      <c r="O3043" s="268">
        <f t="shared" si="725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5"/>
        <v>0</v>
      </c>
      <c r="AD3043" s="196">
        <f t="shared" si="716"/>
        <v>0</v>
      </c>
      <c r="AE3043" s="196">
        <f t="shared" si="717"/>
        <v>0</v>
      </c>
      <c r="AF3043" s="2">
        <f t="shared" si="718"/>
        <v>0</v>
      </c>
      <c r="AG3043" s="2">
        <f t="shared" si="719"/>
        <v>0</v>
      </c>
    </row>
    <row r="3044" spans="1:33">
      <c r="A3044" s="20" t="s">
        <v>6867</v>
      </c>
      <c r="B3044" s="151" t="s">
        <v>16199</v>
      </c>
      <c r="C3044" s="21" t="s">
        <v>16200</v>
      </c>
      <c r="D3044" s="109" t="s">
        <v>13626</v>
      </c>
      <c r="E3044" s="109" t="s">
        <v>16201</v>
      </c>
      <c r="F3044" s="391" t="s">
        <v>16202</v>
      </c>
      <c r="G3044" s="23" t="s">
        <v>13709</v>
      </c>
      <c r="H3044" s="23"/>
      <c r="I3044" s="23"/>
      <c r="J3044" s="23"/>
      <c r="K3044" s="23"/>
      <c r="L3044" s="375" t="s">
        <v>7787</v>
      </c>
      <c r="M3044" s="357" t="s">
        <v>7787</v>
      </c>
      <c r="N3044" s="267">
        <f t="shared" si="724"/>
        <v>0</v>
      </c>
      <c r="O3044" s="268">
        <f t="shared" si="725"/>
        <v>0</v>
      </c>
      <c r="P3044" s="239"/>
      <c r="Q3044" s="239"/>
      <c r="R3044" s="239"/>
      <c r="S3044" s="239"/>
      <c r="T3044" s="239"/>
      <c r="U3044" s="240"/>
      <c r="V3044" s="240"/>
      <c r="W3044" s="240"/>
      <c r="X3044" s="278"/>
      <c r="Y3044" s="237"/>
      <c r="Z3044" s="237"/>
      <c r="AA3044" s="279"/>
      <c r="AB3044" s="238"/>
      <c r="AC3044" s="196">
        <f t="shared" si="715"/>
        <v>0</v>
      </c>
      <c r="AD3044" s="196">
        <f t="shared" si="716"/>
        <v>0</v>
      </c>
      <c r="AE3044" s="196">
        <f t="shared" si="717"/>
        <v>0</v>
      </c>
      <c r="AF3044" s="2">
        <f t="shared" si="718"/>
        <v>0</v>
      </c>
      <c r="AG3044" s="2">
        <f t="shared" si="719"/>
        <v>0</v>
      </c>
    </row>
    <row r="3045" spans="1:33">
      <c r="A3045" s="377" t="s">
        <v>2689</v>
      </c>
      <c r="B3045" s="379"/>
      <c r="C3045" s="213" t="s">
        <v>639</v>
      </c>
      <c r="D3045" s="109" t="s">
        <v>4070</v>
      </c>
      <c r="E3045" s="109" t="s">
        <v>8320</v>
      </c>
      <c r="F3045" s="393" t="s">
        <v>8321</v>
      </c>
      <c r="G3045" s="380" t="s">
        <v>6774</v>
      </c>
      <c r="H3045" s="380" t="s">
        <v>13905</v>
      </c>
      <c r="I3045" s="380"/>
      <c r="J3045" s="380"/>
      <c r="K3045" s="380"/>
      <c r="L3045" s="375" t="s">
        <v>7787</v>
      </c>
      <c r="M3045" s="357" t="s">
        <v>7787</v>
      </c>
      <c r="N3045" s="267">
        <f t="shared" si="724"/>
        <v>0</v>
      </c>
      <c r="O3045" s="268">
        <f t="shared" si="725"/>
        <v>0</v>
      </c>
      <c r="P3045" s="239"/>
      <c r="Q3045" s="239"/>
      <c r="R3045" s="239"/>
      <c r="S3045" s="239"/>
      <c r="T3045" s="239"/>
      <c r="U3045" s="240"/>
      <c r="V3045" s="240"/>
      <c r="W3045" s="240"/>
      <c r="X3045" s="278"/>
      <c r="Y3045" s="237"/>
      <c r="Z3045" s="237"/>
      <c r="AA3045" s="279"/>
      <c r="AB3045" s="238"/>
      <c r="AC3045" s="196">
        <f t="shared" si="715"/>
        <v>0</v>
      </c>
      <c r="AD3045" s="196">
        <f t="shared" si="716"/>
        <v>0</v>
      </c>
      <c r="AE3045" s="196">
        <f t="shared" si="717"/>
        <v>0</v>
      </c>
      <c r="AF3045" s="2">
        <f t="shared" si="718"/>
        <v>0</v>
      </c>
      <c r="AG3045" s="2">
        <f t="shared" si="719"/>
        <v>0</v>
      </c>
    </row>
    <row r="3046" spans="1:33">
      <c r="A3046" s="20" t="s">
        <v>2689</v>
      </c>
      <c r="B3046" s="150"/>
      <c r="C3046" s="21" t="s">
        <v>639</v>
      </c>
      <c r="D3046" s="109" t="s">
        <v>13631</v>
      </c>
      <c r="E3046" s="109" t="s">
        <v>16203</v>
      </c>
      <c r="F3046" s="391" t="s">
        <v>16204</v>
      </c>
      <c r="G3046" s="23" t="s">
        <v>13709</v>
      </c>
      <c r="H3046" s="23" t="s">
        <v>13673</v>
      </c>
      <c r="I3046" s="23" t="s">
        <v>13543</v>
      </c>
      <c r="J3046" s="23" t="s">
        <v>13888</v>
      </c>
      <c r="K3046" s="23" t="s">
        <v>21342</v>
      </c>
      <c r="L3046" s="375" t="s">
        <v>7787</v>
      </c>
      <c r="M3046" s="362" t="s">
        <v>7787</v>
      </c>
      <c r="N3046" s="267">
        <f t="shared" si="720"/>
        <v>0</v>
      </c>
      <c r="O3046" s="268">
        <f t="shared" si="721"/>
        <v>0</v>
      </c>
      <c r="P3046" s="239"/>
      <c r="Q3046" s="239"/>
      <c r="R3046" s="240"/>
      <c r="S3046" s="239"/>
      <c r="T3046" s="239"/>
      <c r="U3046" s="240"/>
      <c r="V3046" s="239"/>
      <c r="W3046" s="240"/>
      <c r="X3046" s="278"/>
      <c r="Y3046" s="237"/>
      <c r="Z3046" s="237"/>
      <c r="AA3046" s="279"/>
      <c r="AB3046" s="238"/>
      <c r="AC3046" s="196">
        <f t="shared" si="715"/>
        <v>0</v>
      </c>
      <c r="AD3046" s="196">
        <f t="shared" si="716"/>
        <v>0</v>
      </c>
      <c r="AE3046" s="196">
        <f t="shared" si="717"/>
        <v>0</v>
      </c>
      <c r="AF3046" s="2">
        <f t="shared" si="718"/>
        <v>0</v>
      </c>
      <c r="AG3046" s="2">
        <f t="shared" si="719"/>
        <v>0</v>
      </c>
    </row>
    <row r="3047" spans="1:33">
      <c r="A3047" s="20" t="s">
        <v>8343</v>
      </c>
      <c r="B3047" s="150"/>
      <c r="C3047" s="21" t="s">
        <v>639</v>
      </c>
      <c r="D3047" s="109" t="s">
        <v>16205</v>
      </c>
      <c r="E3047" s="109" t="s">
        <v>16206</v>
      </c>
      <c r="F3047" s="391" t="s">
        <v>16204</v>
      </c>
      <c r="G3047" s="23" t="s">
        <v>13709</v>
      </c>
      <c r="H3047" s="23"/>
      <c r="I3047" s="23"/>
      <c r="J3047" s="23"/>
      <c r="K3047" s="23"/>
      <c r="L3047" s="375" t="s">
        <v>7787</v>
      </c>
      <c r="M3047" s="351"/>
      <c r="N3047" s="267">
        <f t="shared" si="720"/>
        <v>0</v>
      </c>
      <c r="O3047" s="268">
        <f t="shared" si="721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si="715"/>
        <v>0</v>
      </c>
      <c r="AD3047" s="196">
        <f t="shared" si="716"/>
        <v>0</v>
      </c>
      <c r="AE3047" s="196">
        <f t="shared" si="717"/>
        <v>0</v>
      </c>
      <c r="AF3047" s="2">
        <f t="shared" si="718"/>
        <v>0</v>
      </c>
      <c r="AG3047" s="2">
        <f t="shared" si="719"/>
        <v>0</v>
      </c>
    </row>
    <row r="3048" spans="1:33">
      <c r="A3048" s="20" t="s">
        <v>6868</v>
      </c>
      <c r="B3048" s="150"/>
      <c r="C3048" s="21" t="s">
        <v>16207</v>
      </c>
      <c r="D3048" s="109" t="s">
        <v>13640</v>
      </c>
      <c r="E3048" s="109" t="s">
        <v>16208</v>
      </c>
      <c r="F3048" s="391" t="s">
        <v>16202</v>
      </c>
      <c r="G3048" s="23" t="s">
        <v>13709</v>
      </c>
      <c r="H3048" s="23"/>
      <c r="I3048" s="23"/>
      <c r="J3048" s="23"/>
      <c r="K3048" s="23"/>
      <c r="L3048" s="375" t="s">
        <v>7787</v>
      </c>
      <c r="M3048" s="351" t="s">
        <v>7787</v>
      </c>
      <c r="N3048" s="267">
        <f t="shared" si="720"/>
        <v>0</v>
      </c>
      <c r="O3048" s="268">
        <f t="shared" si="721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ref="AC3048:AC3111" si="726">SUM(P3048:AA3048)</f>
        <v>0</v>
      </c>
      <c r="AD3048" s="196">
        <f t="shared" ref="AD3048:AD3111" si="727">SUM(P3048:AB3048)</f>
        <v>0</v>
      </c>
      <c r="AE3048" s="196">
        <f t="shared" ref="AE3048:AE3111" si="728">SUM(AC3048-AD3048)</f>
        <v>0</v>
      </c>
      <c r="AF3048" s="2">
        <f t="shared" ref="AF3048:AF3111" si="729">+AC3048</f>
        <v>0</v>
      </c>
      <c r="AG3048" s="2">
        <f t="shared" ref="AG3048:AG3111" si="730">+AC3048-AF3048</f>
        <v>0</v>
      </c>
    </row>
    <row r="3049" spans="1:33">
      <c r="A3049" s="20" t="s">
        <v>2690</v>
      </c>
      <c r="B3049" s="150"/>
      <c r="C3049" s="21" t="s">
        <v>640</v>
      </c>
      <c r="D3049" s="109" t="s">
        <v>13631</v>
      </c>
      <c r="E3049" s="109"/>
      <c r="F3049" s="391" t="s">
        <v>16209</v>
      </c>
      <c r="G3049" s="23" t="s">
        <v>13711</v>
      </c>
      <c r="H3049" s="23"/>
      <c r="I3049" s="23"/>
      <c r="J3049" s="23"/>
      <c r="K3049" s="23"/>
      <c r="L3049" s="375" t="s">
        <v>7787</v>
      </c>
      <c r="M3049" s="351"/>
      <c r="N3049" s="267">
        <f t="shared" si="720"/>
        <v>0</v>
      </c>
      <c r="O3049" s="268">
        <f t="shared" si="721"/>
        <v>0</v>
      </c>
      <c r="P3049" s="239"/>
      <c r="Q3049" s="239"/>
      <c r="R3049" s="239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6"/>
        <v>0</v>
      </c>
      <c r="AD3049" s="196">
        <f t="shared" si="727"/>
        <v>0</v>
      </c>
      <c r="AE3049" s="196">
        <f t="shared" si="728"/>
        <v>0</v>
      </c>
      <c r="AF3049" s="2">
        <f t="shared" si="729"/>
        <v>0</v>
      </c>
      <c r="AG3049" s="2">
        <f t="shared" si="730"/>
        <v>0</v>
      </c>
    </row>
    <row r="3050" spans="1:33">
      <c r="A3050" s="20" t="s">
        <v>2691</v>
      </c>
      <c r="B3050" s="150"/>
      <c r="C3050" s="21" t="s">
        <v>641</v>
      </c>
      <c r="D3050" s="109" t="s">
        <v>13626</v>
      </c>
      <c r="E3050" s="109" t="s">
        <v>13627</v>
      </c>
      <c r="F3050" s="391" t="s">
        <v>16210</v>
      </c>
      <c r="G3050" s="23" t="s">
        <v>13709</v>
      </c>
      <c r="H3050" s="23"/>
      <c r="I3050" s="23"/>
      <c r="J3050" s="23"/>
      <c r="K3050" s="23"/>
      <c r="L3050" s="375"/>
      <c r="M3050" s="360"/>
      <c r="N3050" s="267">
        <f t="shared" si="720"/>
        <v>0</v>
      </c>
      <c r="O3050" s="268">
        <f t="shared" si="721"/>
        <v>0</v>
      </c>
      <c r="P3050" s="239"/>
      <c r="Q3050" s="239"/>
      <c r="R3050" s="239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6"/>
        <v>0</v>
      </c>
      <c r="AD3050" s="196">
        <f t="shared" si="727"/>
        <v>0</v>
      </c>
      <c r="AE3050" s="196">
        <f t="shared" si="728"/>
        <v>0</v>
      </c>
      <c r="AF3050" s="2">
        <f t="shared" si="729"/>
        <v>0</v>
      </c>
      <c r="AG3050" s="2">
        <f t="shared" si="730"/>
        <v>0</v>
      </c>
    </row>
    <row r="3051" spans="1:33">
      <c r="A3051" s="20" t="s">
        <v>2692</v>
      </c>
      <c r="B3051" s="150"/>
      <c r="C3051" s="21" t="s">
        <v>641</v>
      </c>
      <c r="D3051" s="109" t="s">
        <v>13631</v>
      </c>
      <c r="E3051" s="109" t="s">
        <v>13658</v>
      </c>
      <c r="F3051" s="391" t="s">
        <v>16210</v>
      </c>
      <c r="G3051" s="23" t="s">
        <v>13709</v>
      </c>
      <c r="H3051" s="23" t="s">
        <v>13673</v>
      </c>
      <c r="I3051" s="23" t="s">
        <v>16211</v>
      </c>
      <c r="J3051" s="23" t="s">
        <v>18621</v>
      </c>
      <c r="K3051" s="23" t="s">
        <v>13349</v>
      </c>
      <c r="L3051" s="375"/>
      <c r="M3051" s="351" t="s">
        <v>7787</v>
      </c>
      <c r="N3051" s="267">
        <f t="shared" si="720"/>
        <v>0</v>
      </c>
      <c r="O3051" s="268">
        <f t="shared" si="721"/>
        <v>0</v>
      </c>
      <c r="P3051" s="239"/>
      <c r="Q3051" s="239"/>
      <c r="R3051" s="237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6"/>
        <v>0</v>
      </c>
      <c r="AD3051" s="196">
        <f t="shared" si="727"/>
        <v>0</v>
      </c>
      <c r="AE3051" s="196">
        <f t="shared" si="728"/>
        <v>0</v>
      </c>
      <c r="AF3051" s="2">
        <f t="shared" si="729"/>
        <v>0</v>
      </c>
      <c r="AG3051" s="2">
        <f t="shared" si="730"/>
        <v>0</v>
      </c>
    </row>
    <row r="3052" spans="1:33">
      <c r="A3052" s="20" t="s">
        <v>2693</v>
      </c>
      <c r="B3052" s="162"/>
      <c r="C3052" s="21" t="s">
        <v>642</v>
      </c>
      <c r="D3052" s="109" t="s">
        <v>13553</v>
      </c>
      <c r="E3052" s="109" t="s">
        <v>22402</v>
      </c>
      <c r="F3052" s="391" t="s">
        <v>16212</v>
      </c>
      <c r="G3052" s="23" t="s">
        <v>15625</v>
      </c>
      <c r="H3052" s="23"/>
      <c r="I3052" s="23"/>
      <c r="J3052" s="23"/>
      <c r="K3052" s="23"/>
      <c r="L3052" s="375" t="s">
        <v>7787</v>
      </c>
      <c r="M3052" s="351" t="s">
        <v>7787</v>
      </c>
      <c r="N3052" s="267">
        <f t="shared" si="720"/>
        <v>0</v>
      </c>
      <c r="O3052" s="268">
        <f t="shared" si="721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/>
      <c r="AC3052" s="196">
        <f t="shared" si="726"/>
        <v>0</v>
      </c>
      <c r="AD3052" s="196">
        <f t="shared" si="727"/>
        <v>0</v>
      </c>
      <c r="AE3052" s="196">
        <f t="shared" si="728"/>
        <v>0</v>
      </c>
      <c r="AF3052" s="2">
        <f t="shared" si="729"/>
        <v>0</v>
      </c>
      <c r="AG3052" s="2">
        <f t="shared" si="730"/>
        <v>0</v>
      </c>
    </row>
    <row r="3053" spans="1:33">
      <c r="A3053" s="20" t="s">
        <v>2694</v>
      </c>
      <c r="B3053" s="162"/>
      <c r="C3053" s="21" t="s">
        <v>642</v>
      </c>
      <c r="D3053" s="109" t="s">
        <v>4059</v>
      </c>
      <c r="E3053" s="109"/>
      <c r="F3053" s="391" t="s">
        <v>16213</v>
      </c>
      <c r="G3053" s="23" t="s">
        <v>16183</v>
      </c>
      <c r="H3053" s="23" t="s">
        <v>16214</v>
      </c>
      <c r="I3053" s="23" t="s">
        <v>14100</v>
      </c>
      <c r="J3053" s="23"/>
      <c r="K3053" s="23"/>
      <c r="L3053" s="375" t="s">
        <v>7787</v>
      </c>
      <c r="M3053" s="351"/>
      <c r="N3053" s="267">
        <f t="shared" si="720"/>
        <v>0</v>
      </c>
      <c r="O3053" s="268">
        <f t="shared" si="721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37"/>
      <c r="Z3053" s="237"/>
      <c r="AA3053" s="279"/>
      <c r="AB3053" s="238"/>
      <c r="AC3053" s="196">
        <f t="shared" si="726"/>
        <v>0</v>
      </c>
      <c r="AD3053" s="196">
        <f t="shared" si="727"/>
        <v>0</v>
      </c>
      <c r="AE3053" s="196">
        <f t="shared" si="728"/>
        <v>0</v>
      </c>
      <c r="AF3053" s="2">
        <f t="shared" si="729"/>
        <v>0</v>
      </c>
      <c r="AG3053" s="2">
        <f t="shared" si="730"/>
        <v>0</v>
      </c>
    </row>
    <row r="3054" spans="1:33">
      <c r="A3054" s="20" t="s">
        <v>2695</v>
      </c>
      <c r="B3054" s="150"/>
      <c r="C3054" s="21" t="s">
        <v>16215</v>
      </c>
      <c r="D3054" s="109" t="s">
        <v>16216</v>
      </c>
      <c r="E3054" s="109" t="s">
        <v>15965</v>
      </c>
      <c r="F3054" s="391" t="s">
        <v>16217</v>
      </c>
      <c r="G3054" s="23" t="s">
        <v>16218</v>
      </c>
      <c r="H3054" s="23"/>
      <c r="I3054" s="23"/>
      <c r="J3054" s="23"/>
      <c r="K3054" s="23"/>
      <c r="L3054" s="375" t="s">
        <v>7787</v>
      </c>
      <c r="M3054" s="351"/>
      <c r="N3054" s="267">
        <f t="shared" si="720"/>
        <v>0</v>
      </c>
      <c r="O3054" s="268">
        <f t="shared" si="721"/>
        <v>0</v>
      </c>
      <c r="P3054" s="239"/>
      <c r="Q3054" s="239"/>
      <c r="R3054" s="239"/>
      <c r="S3054" s="239"/>
      <c r="T3054" s="239"/>
      <c r="U3054" s="240"/>
      <c r="V3054" s="240"/>
      <c r="W3054" s="240"/>
      <c r="X3054" s="278"/>
      <c r="Y3054" s="237"/>
      <c r="Z3054" s="237"/>
      <c r="AA3054" s="279"/>
      <c r="AB3054" s="238" t="s">
        <v>18069</v>
      </c>
      <c r="AC3054" s="196">
        <f t="shared" si="726"/>
        <v>0</v>
      </c>
      <c r="AD3054" s="196">
        <f t="shared" si="727"/>
        <v>0</v>
      </c>
      <c r="AE3054" s="196">
        <f t="shared" si="728"/>
        <v>0</v>
      </c>
      <c r="AF3054" s="2">
        <f t="shared" si="729"/>
        <v>0</v>
      </c>
      <c r="AG3054" s="2">
        <f t="shared" si="730"/>
        <v>0</v>
      </c>
    </row>
    <row r="3055" spans="1:33">
      <c r="A3055" s="20" t="s">
        <v>11018</v>
      </c>
      <c r="B3055" s="150"/>
      <c r="C3055" s="21" t="s">
        <v>16215</v>
      </c>
      <c r="D3055" s="109" t="s">
        <v>16216</v>
      </c>
      <c r="E3055" s="109" t="s">
        <v>16219</v>
      </c>
      <c r="F3055" s="391" t="s">
        <v>16217</v>
      </c>
      <c r="G3055" s="23" t="s">
        <v>16218</v>
      </c>
      <c r="H3055" s="23"/>
      <c r="I3055" s="23"/>
      <c r="J3055" s="23"/>
      <c r="K3055" s="23"/>
      <c r="L3055" s="350"/>
      <c r="M3055" s="351" t="s">
        <v>7787</v>
      </c>
      <c r="N3055" s="267">
        <f t="shared" si="720"/>
        <v>0</v>
      </c>
      <c r="O3055" s="268">
        <f t="shared" si="721"/>
        <v>0</v>
      </c>
      <c r="P3055" s="239"/>
      <c r="Q3055" s="239"/>
      <c r="R3055" s="239"/>
      <c r="S3055" s="239"/>
      <c r="T3055" s="239"/>
      <c r="U3055" s="240"/>
      <c r="V3055" s="240"/>
      <c r="W3055" s="240"/>
      <c r="X3055" s="278"/>
      <c r="Y3055" s="278"/>
      <c r="Z3055" s="237"/>
      <c r="AA3055" s="279"/>
      <c r="AB3055" s="238"/>
      <c r="AC3055" s="196">
        <f t="shared" si="726"/>
        <v>0</v>
      </c>
      <c r="AD3055" s="196">
        <f t="shared" si="727"/>
        <v>0</v>
      </c>
      <c r="AE3055" s="196">
        <f t="shared" si="728"/>
        <v>0</v>
      </c>
      <c r="AF3055" s="2">
        <f t="shared" si="729"/>
        <v>0</v>
      </c>
      <c r="AG3055" s="2">
        <f t="shared" si="730"/>
        <v>0</v>
      </c>
    </row>
    <row r="3056" spans="1:33">
      <c r="A3056" s="20" t="s">
        <v>2696</v>
      </c>
      <c r="B3056" s="161"/>
      <c r="C3056" s="21" t="s">
        <v>5481</v>
      </c>
      <c r="D3056" s="109" t="s">
        <v>4067</v>
      </c>
      <c r="E3056" s="109" t="s">
        <v>26528</v>
      </c>
      <c r="F3056" s="391" t="s">
        <v>5482</v>
      </c>
      <c r="G3056" s="23" t="s">
        <v>16218</v>
      </c>
      <c r="H3056" s="23" t="s">
        <v>16221</v>
      </c>
      <c r="I3056" s="23" t="s">
        <v>18810</v>
      </c>
      <c r="J3056" s="23" t="s">
        <v>20243</v>
      </c>
      <c r="K3056" s="23" t="s">
        <v>23020</v>
      </c>
      <c r="L3056" s="375" t="s">
        <v>7787</v>
      </c>
      <c r="M3056" s="351" t="s">
        <v>7787</v>
      </c>
      <c r="N3056" s="267">
        <f t="shared" si="720"/>
        <v>0</v>
      </c>
      <c r="O3056" s="268">
        <f t="shared" si="721"/>
        <v>0</v>
      </c>
      <c r="P3056" s="239"/>
      <c r="Q3056" s="239"/>
      <c r="R3056" s="249"/>
      <c r="S3056" s="249"/>
      <c r="T3056" s="239"/>
      <c r="U3056" s="239"/>
      <c r="V3056" s="240"/>
      <c r="W3056" s="240"/>
      <c r="X3056" s="278"/>
      <c r="Y3056" s="239"/>
      <c r="Z3056" s="237"/>
      <c r="AA3056" s="279"/>
      <c r="AB3056" s="238"/>
      <c r="AC3056" s="196">
        <f t="shared" si="726"/>
        <v>0</v>
      </c>
      <c r="AD3056" s="196">
        <f t="shared" si="727"/>
        <v>0</v>
      </c>
      <c r="AE3056" s="196">
        <f t="shared" si="728"/>
        <v>0</v>
      </c>
      <c r="AF3056" s="2">
        <f t="shared" si="729"/>
        <v>0</v>
      </c>
      <c r="AG3056" s="2">
        <f t="shared" si="730"/>
        <v>0</v>
      </c>
    </row>
    <row r="3057" spans="1:33">
      <c r="A3057" s="20" t="s">
        <v>2697</v>
      </c>
      <c r="B3057" s="152" t="s">
        <v>16222</v>
      </c>
      <c r="C3057" s="21" t="s">
        <v>643</v>
      </c>
      <c r="D3057" s="109" t="s">
        <v>15167</v>
      </c>
      <c r="E3057" s="109"/>
      <c r="F3057" s="391" t="s">
        <v>16223</v>
      </c>
      <c r="G3057" s="23" t="s">
        <v>15962</v>
      </c>
      <c r="H3057" s="23" t="s">
        <v>16188</v>
      </c>
      <c r="I3057" s="23"/>
      <c r="J3057" s="23"/>
      <c r="K3057" s="23"/>
      <c r="L3057" s="350"/>
      <c r="M3057" s="351"/>
      <c r="N3057" s="267">
        <f t="shared" si="720"/>
        <v>0</v>
      </c>
      <c r="O3057" s="268">
        <f t="shared" si="721"/>
        <v>0</v>
      </c>
      <c r="P3057" s="239"/>
      <c r="Q3057" s="239"/>
      <c r="R3057" s="239"/>
      <c r="S3057" s="239"/>
      <c r="T3057" s="239"/>
      <c r="U3057" s="242"/>
      <c r="V3057" s="242"/>
      <c r="W3057" s="240"/>
      <c r="X3057" s="278"/>
      <c r="Y3057" s="278"/>
      <c r="Z3057" s="237"/>
      <c r="AA3057" s="279"/>
      <c r="AB3057" s="238"/>
      <c r="AC3057" s="196">
        <f t="shared" si="726"/>
        <v>0</v>
      </c>
      <c r="AD3057" s="196">
        <f t="shared" si="727"/>
        <v>0</v>
      </c>
      <c r="AE3057" s="196">
        <f t="shared" si="728"/>
        <v>0</v>
      </c>
      <c r="AF3057" s="2">
        <f t="shared" si="729"/>
        <v>0</v>
      </c>
      <c r="AG3057" s="2">
        <f t="shared" si="730"/>
        <v>0</v>
      </c>
    </row>
    <row r="3058" spans="1:33">
      <c r="A3058" s="20" t="s">
        <v>2698</v>
      </c>
      <c r="B3058" s="161"/>
      <c r="C3058" s="21" t="s">
        <v>644</v>
      </c>
      <c r="D3058" s="109" t="s">
        <v>16186</v>
      </c>
      <c r="E3058" s="109"/>
      <c r="F3058" s="391" t="s">
        <v>16224</v>
      </c>
      <c r="G3058" s="23" t="s">
        <v>15962</v>
      </c>
      <c r="H3058" s="23" t="s">
        <v>13571</v>
      </c>
      <c r="I3058" s="23"/>
      <c r="J3058" s="23"/>
      <c r="K3058" s="23"/>
      <c r="L3058" s="375"/>
      <c r="M3058" s="351" t="s">
        <v>7787</v>
      </c>
      <c r="N3058" s="267">
        <f t="shared" si="720"/>
        <v>0</v>
      </c>
      <c r="O3058" s="268">
        <f t="shared" si="721"/>
        <v>0</v>
      </c>
      <c r="P3058" s="239"/>
      <c r="Q3058" s="239"/>
      <c r="R3058" s="239"/>
      <c r="S3058" s="239"/>
      <c r="T3058" s="239"/>
      <c r="U3058" s="239"/>
      <c r="V3058" s="239"/>
      <c r="W3058" s="240"/>
      <c r="X3058" s="278"/>
      <c r="Y3058" s="237"/>
      <c r="Z3058" s="237"/>
      <c r="AA3058" s="279"/>
      <c r="AB3058" s="238"/>
      <c r="AC3058" s="196">
        <f t="shared" si="726"/>
        <v>0</v>
      </c>
      <c r="AD3058" s="196">
        <f t="shared" si="727"/>
        <v>0</v>
      </c>
      <c r="AE3058" s="196">
        <f t="shared" si="728"/>
        <v>0</v>
      </c>
      <c r="AF3058" s="2">
        <f t="shared" si="729"/>
        <v>0</v>
      </c>
      <c r="AG3058" s="2">
        <f t="shared" si="730"/>
        <v>0</v>
      </c>
    </row>
    <row r="3059" spans="1:33">
      <c r="A3059" s="20" t="s">
        <v>10449</v>
      </c>
      <c r="B3059" s="150"/>
      <c r="C3059" s="21" t="s">
        <v>644</v>
      </c>
      <c r="D3059" s="109" t="s">
        <v>7954</v>
      </c>
      <c r="E3059" s="109"/>
      <c r="F3059" s="391" t="s">
        <v>16225</v>
      </c>
      <c r="G3059" s="23" t="s">
        <v>5334</v>
      </c>
      <c r="H3059" s="23"/>
      <c r="I3059" s="23"/>
      <c r="J3059" s="23"/>
      <c r="K3059" s="23"/>
      <c r="L3059" s="375" t="s">
        <v>7787</v>
      </c>
      <c r="M3059" s="351" t="s">
        <v>7787</v>
      </c>
      <c r="N3059" s="267">
        <f t="shared" si="720"/>
        <v>0</v>
      </c>
      <c r="O3059" s="268">
        <f t="shared" si="721"/>
        <v>0</v>
      </c>
      <c r="P3059" s="278"/>
      <c r="Q3059" s="239"/>
      <c r="R3059" s="239"/>
      <c r="S3059" s="239"/>
      <c r="T3059" s="239"/>
      <c r="U3059" s="239"/>
      <c r="V3059" s="278"/>
      <c r="W3059" s="240"/>
      <c r="X3059" s="278"/>
      <c r="Y3059" s="237"/>
      <c r="Z3059" s="237"/>
      <c r="AA3059" s="279"/>
      <c r="AB3059" s="238"/>
      <c r="AC3059" s="196">
        <f t="shared" si="726"/>
        <v>0</v>
      </c>
      <c r="AD3059" s="196">
        <f t="shared" si="727"/>
        <v>0</v>
      </c>
      <c r="AE3059" s="196">
        <f t="shared" si="728"/>
        <v>0</v>
      </c>
      <c r="AF3059" s="2">
        <f t="shared" si="729"/>
        <v>0</v>
      </c>
      <c r="AG3059" s="2">
        <f t="shared" si="730"/>
        <v>0</v>
      </c>
    </row>
    <row r="3060" spans="1:33">
      <c r="A3060" s="20" t="s">
        <v>10836</v>
      </c>
      <c r="B3060" s="150"/>
      <c r="C3060" s="21" t="s">
        <v>16226</v>
      </c>
      <c r="D3060" s="109" t="s">
        <v>16186</v>
      </c>
      <c r="E3060" s="109" t="s">
        <v>16227</v>
      </c>
      <c r="F3060" s="391" t="s">
        <v>16225</v>
      </c>
      <c r="G3060" s="23" t="s">
        <v>15962</v>
      </c>
      <c r="H3060" s="23"/>
      <c r="I3060" s="23"/>
      <c r="J3060" s="23"/>
      <c r="K3060" s="23"/>
      <c r="L3060" s="375" t="s">
        <v>7787</v>
      </c>
      <c r="M3060" s="351"/>
      <c r="N3060" s="267">
        <f t="shared" si="720"/>
        <v>0</v>
      </c>
      <c r="O3060" s="268">
        <f t="shared" si="721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79"/>
      <c r="AB3060" s="238"/>
      <c r="AC3060" s="196">
        <f t="shared" si="726"/>
        <v>0</v>
      </c>
      <c r="AD3060" s="196">
        <f t="shared" si="727"/>
        <v>0</v>
      </c>
      <c r="AE3060" s="196">
        <f t="shared" si="728"/>
        <v>0</v>
      </c>
      <c r="AF3060" s="2">
        <f t="shared" si="729"/>
        <v>0</v>
      </c>
      <c r="AG3060" s="2">
        <f t="shared" si="730"/>
        <v>0</v>
      </c>
    </row>
    <row r="3061" spans="1:33" collapsed="1">
      <c r="A3061" s="20" t="s">
        <v>12838</v>
      </c>
      <c r="B3061" s="150"/>
      <c r="C3061" s="21" t="s">
        <v>644</v>
      </c>
      <c r="D3061" s="109" t="s">
        <v>7954</v>
      </c>
      <c r="E3061" s="202" t="s">
        <v>16228</v>
      </c>
      <c r="F3061" s="391" t="s">
        <v>16224</v>
      </c>
      <c r="G3061" s="23" t="s">
        <v>15962</v>
      </c>
      <c r="H3061" s="23"/>
      <c r="I3061" s="23"/>
      <c r="J3061" s="23"/>
      <c r="K3061" s="23"/>
      <c r="L3061" s="375"/>
      <c r="M3061" s="351" t="s">
        <v>7787</v>
      </c>
      <c r="N3061" s="267">
        <f t="shared" si="720"/>
        <v>0</v>
      </c>
      <c r="O3061" s="268">
        <f t="shared" si="721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39"/>
      <c r="AB3061" s="238"/>
      <c r="AC3061" s="196">
        <f t="shared" si="726"/>
        <v>0</v>
      </c>
      <c r="AD3061" s="196">
        <f t="shared" si="727"/>
        <v>0</v>
      </c>
      <c r="AE3061" s="196">
        <f t="shared" si="728"/>
        <v>0</v>
      </c>
      <c r="AF3061" s="2">
        <f t="shared" si="729"/>
        <v>0</v>
      </c>
      <c r="AG3061" s="2">
        <f t="shared" si="730"/>
        <v>0</v>
      </c>
    </row>
    <row r="3062" spans="1:33">
      <c r="A3062" s="20" t="s">
        <v>12839</v>
      </c>
      <c r="B3062" s="150"/>
      <c r="C3062" s="21" t="s">
        <v>644</v>
      </c>
      <c r="D3062" s="109" t="s">
        <v>7954</v>
      </c>
      <c r="E3062" s="202" t="s">
        <v>16228</v>
      </c>
      <c r="F3062" s="391" t="s">
        <v>16225</v>
      </c>
      <c r="G3062" s="23" t="s">
        <v>5334</v>
      </c>
      <c r="H3062" s="23"/>
      <c r="I3062" s="23"/>
      <c r="J3062" s="23"/>
      <c r="K3062" s="23"/>
      <c r="L3062" s="375" t="s">
        <v>7787</v>
      </c>
      <c r="M3062" s="351" t="s">
        <v>7787</v>
      </c>
      <c r="N3062" s="267">
        <f t="shared" si="720"/>
        <v>0</v>
      </c>
      <c r="O3062" s="268">
        <f t="shared" si="721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7"/>
      <c r="Z3062" s="237"/>
      <c r="AA3062" s="239"/>
      <c r="AB3062" s="238"/>
      <c r="AC3062" s="196">
        <f t="shared" si="726"/>
        <v>0</v>
      </c>
      <c r="AD3062" s="196">
        <f t="shared" si="727"/>
        <v>0</v>
      </c>
      <c r="AE3062" s="196">
        <f t="shared" si="728"/>
        <v>0</v>
      </c>
      <c r="AF3062" s="2">
        <f t="shared" si="729"/>
        <v>0</v>
      </c>
      <c r="AG3062" s="2">
        <f t="shared" si="730"/>
        <v>0</v>
      </c>
    </row>
    <row r="3063" spans="1:33">
      <c r="A3063" s="20" t="s">
        <v>17966</v>
      </c>
      <c r="B3063" s="150"/>
      <c r="C3063" s="21" t="s">
        <v>18068</v>
      </c>
      <c r="D3063" s="109" t="s">
        <v>7954</v>
      </c>
      <c r="E3063" s="202" t="s">
        <v>18064</v>
      </c>
      <c r="F3063" s="391" t="s">
        <v>5159</v>
      </c>
      <c r="G3063" s="23" t="s">
        <v>18065</v>
      </c>
      <c r="H3063" s="23" t="s">
        <v>13571</v>
      </c>
      <c r="I3063" s="23"/>
      <c r="J3063" s="23"/>
      <c r="K3063" s="23"/>
      <c r="L3063" s="375" t="s">
        <v>7787</v>
      </c>
      <c r="M3063" s="351" t="s">
        <v>7787</v>
      </c>
      <c r="N3063" s="267">
        <f t="shared" si="720"/>
        <v>0</v>
      </c>
      <c r="O3063" s="268">
        <f t="shared" si="721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7"/>
      <c r="Z3063" s="237"/>
      <c r="AA3063" s="279"/>
      <c r="AB3063" s="238"/>
      <c r="AC3063" s="196">
        <f t="shared" si="726"/>
        <v>0</v>
      </c>
      <c r="AD3063" s="196">
        <f t="shared" si="727"/>
        <v>0</v>
      </c>
      <c r="AE3063" s="196">
        <f t="shared" si="728"/>
        <v>0</v>
      </c>
      <c r="AF3063" s="2">
        <f t="shared" si="729"/>
        <v>0</v>
      </c>
      <c r="AG3063" s="2">
        <f t="shared" si="730"/>
        <v>0</v>
      </c>
    </row>
    <row r="3064" spans="1:33">
      <c r="A3064" s="20" t="s">
        <v>17967</v>
      </c>
      <c r="B3064" s="150"/>
      <c r="C3064" s="21" t="s">
        <v>18068</v>
      </c>
      <c r="D3064" s="109" t="s">
        <v>7954</v>
      </c>
      <c r="E3064" s="202" t="s">
        <v>9519</v>
      </c>
      <c r="F3064" s="391" t="s">
        <v>7147</v>
      </c>
      <c r="G3064" s="23" t="s">
        <v>5334</v>
      </c>
      <c r="H3064" s="23" t="s">
        <v>13571</v>
      </c>
      <c r="I3064" s="23"/>
      <c r="J3064" s="23"/>
      <c r="K3064" s="23"/>
      <c r="L3064" s="375"/>
      <c r="M3064" s="351" t="s">
        <v>7787</v>
      </c>
      <c r="N3064" s="267">
        <f t="shared" si="720"/>
        <v>0</v>
      </c>
      <c r="O3064" s="268">
        <f t="shared" si="721"/>
        <v>0</v>
      </c>
      <c r="P3064" s="320"/>
      <c r="Q3064" s="239"/>
      <c r="R3064" s="239"/>
      <c r="S3064" s="239"/>
      <c r="T3064" s="239"/>
      <c r="U3064" s="239"/>
      <c r="V3064" s="239"/>
      <c r="W3064" s="240"/>
      <c r="X3064" s="278"/>
      <c r="Y3064" s="239"/>
      <c r="Z3064" s="237"/>
      <c r="AA3064" s="279"/>
      <c r="AB3064" s="238"/>
      <c r="AC3064" s="196">
        <f t="shared" si="726"/>
        <v>0</v>
      </c>
      <c r="AD3064" s="196">
        <f t="shared" si="727"/>
        <v>0</v>
      </c>
      <c r="AE3064" s="196">
        <f t="shared" si="728"/>
        <v>0</v>
      </c>
      <c r="AF3064" s="2">
        <f t="shared" si="729"/>
        <v>0</v>
      </c>
      <c r="AG3064" s="2">
        <f t="shared" si="730"/>
        <v>0</v>
      </c>
    </row>
    <row r="3065" spans="1:33">
      <c r="A3065" s="20" t="s">
        <v>21453</v>
      </c>
      <c r="B3065" s="150"/>
      <c r="C3065" s="21" t="s">
        <v>20745</v>
      </c>
      <c r="D3065" s="109" t="s">
        <v>7954</v>
      </c>
      <c r="E3065" s="202" t="s">
        <v>9519</v>
      </c>
      <c r="F3065" s="391" t="s">
        <v>7147</v>
      </c>
      <c r="G3065" s="23"/>
      <c r="H3065" s="23"/>
      <c r="I3065" s="23"/>
      <c r="J3065" s="23"/>
      <c r="K3065" s="23"/>
      <c r="L3065" s="375" t="s">
        <v>7787</v>
      </c>
      <c r="M3065" s="351"/>
      <c r="N3065" s="267">
        <f t="shared" si="720"/>
        <v>0</v>
      </c>
      <c r="O3065" s="268">
        <f t="shared" si="721"/>
        <v>0</v>
      </c>
      <c r="P3065" s="320"/>
      <c r="Q3065" s="239"/>
      <c r="R3065" s="239"/>
      <c r="S3065" s="239"/>
      <c r="T3065" s="239"/>
      <c r="U3065" s="239"/>
      <c r="V3065" s="239"/>
      <c r="W3065" s="240"/>
      <c r="X3065" s="278"/>
      <c r="Y3065" s="239"/>
      <c r="Z3065" s="237"/>
      <c r="AA3065" s="279"/>
      <c r="AB3065" s="238"/>
      <c r="AC3065" s="196">
        <f t="shared" si="726"/>
        <v>0</v>
      </c>
      <c r="AD3065" s="196">
        <f t="shared" si="727"/>
        <v>0</v>
      </c>
      <c r="AE3065" s="196">
        <f t="shared" si="728"/>
        <v>0</v>
      </c>
      <c r="AF3065" s="2">
        <f t="shared" si="729"/>
        <v>0</v>
      </c>
      <c r="AG3065" s="2">
        <f t="shared" si="730"/>
        <v>0</v>
      </c>
    </row>
    <row r="3066" spans="1:33">
      <c r="A3066" s="20" t="s">
        <v>2699</v>
      </c>
      <c r="B3066" s="150"/>
      <c r="C3066" s="21" t="s">
        <v>645</v>
      </c>
      <c r="D3066" s="109" t="s">
        <v>15167</v>
      </c>
      <c r="E3066" s="109"/>
      <c r="F3066" s="391" t="s">
        <v>16229</v>
      </c>
      <c r="G3066" s="23" t="s">
        <v>15962</v>
      </c>
      <c r="H3066" s="23"/>
      <c r="I3066" s="23"/>
      <c r="J3066" s="23"/>
      <c r="K3066" s="23"/>
      <c r="L3066" s="350"/>
      <c r="M3066" s="351"/>
      <c r="N3066" s="267">
        <f t="shared" si="720"/>
        <v>0</v>
      </c>
      <c r="O3066" s="268">
        <f t="shared" si="721"/>
        <v>0</v>
      </c>
      <c r="P3066" s="239"/>
      <c r="Q3066" s="239"/>
      <c r="R3066" s="239"/>
      <c r="S3066" s="239"/>
      <c r="T3066" s="239"/>
      <c r="U3066" s="240">
        <v>0</v>
      </c>
      <c r="V3066" s="240"/>
      <c r="W3066" s="240"/>
      <c r="X3066" s="278"/>
      <c r="Y3066" s="240"/>
      <c r="Z3066" s="237"/>
      <c r="AA3066" s="279"/>
      <c r="AB3066" s="238"/>
      <c r="AC3066" s="196">
        <f t="shared" si="726"/>
        <v>0</v>
      </c>
      <c r="AD3066" s="196">
        <f t="shared" si="727"/>
        <v>0</v>
      </c>
      <c r="AE3066" s="196">
        <f t="shared" si="728"/>
        <v>0</v>
      </c>
      <c r="AF3066" s="2">
        <f t="shared" si="729"/>
        <v>0</v>
      </c>
      <c r="AG3066" s="2">
        <f t="shared" si="730"/>
        <v>0</v>
      </c>
    </row>
    <row r="3067" spans="1:33">
      <c r="A3067" s="20" t="s">
        <v>2700</v>
      </c>
      <c r="B3067" s="156"/>
      <c r="C3067" s="21" t="s">
        <v>16230</v>
      </c>
      <c r="D3067" s="109" t="s">
        <v>16231</v>
      </c>
      <c r="E3067" s="202" t="s">
        <v>9519</v>
      </c>
      <c r="F3067" s="391" t="s">
        <v>19202</v>
      </c>
      <c r="G3067" s="23" t="s">
        <v>16232</v>
      </c>
      <c r="H3067" s="23"/>
      <c r="I3067" s="23"/>
      <c r="J3067" s="23"/>
      <c r="K3067" s="23"/>
      <c r="L3067" s="375"/>
      <c r="M3067" s="351" t="s">
        <v>7787</v>
      </c>
      <c r="N3067" s="267">
        <f t="shared" si="720"/>
        <v>0</v>
      </c>
      <c r="O3067" s="268">
        <f t="shared" si="721"/>
        <v>0</v>
      </c>
      <c r="P3067" s="239"/>
      <c r="Q3067" s="239"/>
      <c r="R3067" s="239"/>
      <c r="S3067" s="239"/>
      <c r="T3067" s="239"/>
      <c r="U3067" s="240"/>
      <c r="V3067" s="240"/>
      <c r="W3067" s="240"/>
      <c r="X3067" s="278"/>
      <c r="Y3067" s="240"/>
      <c r="Z3067" s="237"/>
      <c r="AA3067" s="240"/>
      <c r="AB3067" s="238"/>
      <c r="AC3067" s="196">
        <f t="shared" si="726"/>
        <v>0</v>
      </c>
      <c r="AD3067" s="196">
        <f t="shared" si="727"/>
        <v>0</v>
      </c>
      <c r="AE3067" s="196">
        <f t="shared" si="728"/>
        <v>0</v>
      </c>
      <c r="AF3067" s="2">
        <f t="shared" si="729"/>
        <v>0</v>
      </c>
      <c r="AG3067" s="2">
        <f t="shared" si="730"/>
        <v>0</v>
      </c>
    </row>
    <row r="3068" spans="1:33">
      <c r="A3068" s="20" t="s">
        <v>2701</v>
      </c>
      <c r="B3068" s="156"/>
      <c r="C3068" s="21" t="s">
        <v>5752</v>
      </c>
      <c r="D3068" s="109" t="s">
        <v>4071</v>
      </c>
      <c r="E3068" s="202" t="s">
        <v>9519</v>
      </c>
      <c r="F3068" s="391" t="s">
        <v>19203</v>
      </c>
      <c r="G3068" s="23" t="s">
        <v>16141</v>
      </c>
      <c r="H3068" s="23"/>
      <c r="I3068" s="23"/>
      <c r="J3068" s="23"/>
      <c r="K3068" s="23"/>
      <c r="L3068" s="350"/>
      <c r="M3068" s="351"/>
      <c r="N3068" s="267">
        <f t="shared" si="720"/>
        <v>0</v>
      </c>
      <c r="O3068" s="268">
        <f t="shared" si="721"/>
        <v>0</v>
      </c>
      <c r="P3068" s="239"/>
      <c r="Q3068" s="239"/>
      <c r="R3068" s="239"/>
      <c r="S3068" s="239"/>
      <c r="T3068" s="239"/>
      <c r="U3068" s="240"/>
      <c r="V3068" s="240"/>
      <c r="W3068" s="240"/>
      <c r="X3068" s="278"/>
      <c r="Y3068" s="240"/>
      <c r="Z3068" s="237"/>
      <c r="AA3068" s="279"/>
      <c r="AB3068" s="238"/>
      <c r="AC3068" s="196">
        <f t="shared" si="726"/>
        <v>0</v>
      </c>
      <c r="AD3068" s="196">
        <f t="shared" si="727"/>
        <v>0</v>
      </c>
      <c r="AE3068" s="196">
        <f t="shared" si="728"/>
        <v>0</v>
      </c>
      <c r="AF3068" s="2">
        <f t="shared" si="729"/>
        <v>0</v>
      </c>
      <c r="AG3068" s="2">
        <f t="shared" si="730"/>
        <v>0</v>
      </c>
    </row>
    <row r="3069" spans="1:33">
      <c r="A3069" s="20" t="s">
        <v>2702</v>
      </c>
      <c r="B3069" s="150"/>
      <c r="C3069" s="21" t="s">
        <v>21796</v>
      </c>
      <c r="D3069" s="109" t="s">
        <v>15960</v>
      </c>
      <c r="E3069" s="109"/>
      <c r="F3069" s="391" t="s">
        <v>16233</v>
      </c>
      <c r="G3069" s="23" t="s">
        <v>15962</v>
      </c>
      <c r="H3069" s="23" t="s">
        <v>16234</v>
      </c>
      <c r="I3069" s="23"/>
      <c r="J3069" s="23"/>
      <c r="K3069" s="23"/>
      <c r="L3069" s="375" t="s">
        <v>7787</v>
      </c>
      <c r="M3069" s="367" t="s">
        <v>7787</v>
      </c>
      <c r="N3069" s="267">
        <f t="shared" si="720"/>
        <v>0</v>
      </c>
      <c r="O3069" s="268">
        <f t="shared" si="721"/>
        <v>0</v>
      </c>
      <c r="P3069" s="239"/>
      <c r="Q3069" s="239"/>
      <c r="R3069" s="239"/>
      <c r="S3069" s="240"/>
      <c r="T3069" s="240"/>
      <c r="U3069" s="240"/>
      <c r="V3069" s="240"/>
      <c r="W3069" s="240"/>
      <c r="X3069" s="240"/>
      <c r="Y3069" s="237"/>
      <c r="Z3069" s="237"/>
      <c r="AA3069" s="237"/>
      <c r="AB3069" s="238"/>
      <c r="AC3069" s="196">
        <f t="shared" si="726"/>
        <v>0</v>
      </c>
      <c r="AD3069" s="196">
        <f t="shared" si="727"/>
        <v>0</v>
      </c>
      <c r="AE3069" s="196">
        <f t="shared" si="728"/>
        <v>0</v>
      </c>
      <c r="AF3069" s="2">
        <f t="shared" si="729"/>
        <v>0</v>
      </c>
      <c r="AG3069" s="2">
        <f t="shared" si="730"/>
        <v>0</v>
      </c>
    </row>
    <row r="3070" spans="1:33">
      <c r="A3070" s="20" t="s">
        <v>21780</v>
      </c>
      <c r="B3070" s="150"/>
      <c r="C3070" s="21" t="s">
        <v>21795</v>
      </c>
      <c r="D3070" s="109" t="s">
        <v>3097</v>
      </c>
      <c r="E3070" s="109"/>
      <c r="F3070" s="391" t="s">
        <v>5161</v>
      </c>
      <c r="G3070" s="23" t="s">
        <v>13341</v>
      </c>
      <c r="H3070" s="23" t="s">
        <v>16234</v>
      </c>
      <c r="I3070" s="23"/>
      <c r="J3070" s="23"/>
      <c r="K3070" s="23"/>
      <c r="L3070" s="375"/>
      <c r="M3070" s="367" t="s">
        <v>7787</v>
      </c>
      <c r="N3070" s="267">
        <f t="shared" si="720"/>
        <v>0</v>
      </c>
      <c r="O3070" s="268">
        <f t="shared" si="721"/>
        <v>0</v>
      </c>
      <c r="P3070" s="239"/>
      <c r="Q3070" s="239"/>
      <c r="R3070" s="239"/>
      <c r="S3070" s="240"/>
      <c r="T3070" s="240"/>
      <c r="U3070" s="240"/>
      <c r="V3070" s="240"/>
      <c r="W3070" s="240"/>
      <c r="X3070" s="240"/>
      <c r="Y3070" s="237"/>
      <c r="Z3070" s="237"/>
      <c r="AA3070" s="279"/>
      <c r="AB3070" s="238"/>
      <c r="AC3070" s="196">
        <f t="shared" si="726"/>
        <v>0</v>
      </c>
      <c r="AD3070" s="196">
        <f t="shared" si="727"/>
        <v>0</v>
      </c>
      <c r="AE3070" s="196">
        <f t="shared" si="728"/>
        <v>0</v>
      </c>
      <c r="AF3070" s="2">
        <f t="shared" si="729"/>
        <v>0</v>
      </c>
      <c r="AG3070" s="2">
        <f t="shared" si="730"/>
        <v>0</v>
      </c>
    </row>
    <row r="3071" spans="1:33">
      <c r="A3071" s="20" t="s">
        <v>23751</v>
      </c>
      <c r="B3071" s="150"/>
      <c r="C3071" s="21" t="s">
        <v>23797</v>
      </c>
      <c r="D3071" s="109" t="s">
        <v>3097</v>
      </c>
      <c r="E3071" s="109"/>
      <c r="F3071" s="391" t="s">
        <v>5161</v>
      </c>
      <c r="G3071" s="23" t="s">
        <v>13341</v>
      </c>
      <c r="H3071" s="23"/>
      <c r="I3071" s="23"/>
      <c r="J3071" s="23"/>
      <c r="K3071" s="23"/>
      <c r="L3071" s="375" t="s">
        <v>7787</v>
      </c>
      <c r="M3071" s="367" t="s">
        <v>7787</v>
      </c>
      <c r="N3071" s="267">
        <f t="shared" si="720"/>
        <v>0</v>
      </c>
      <c r="O3071" s="268">
        <f t="shared" si="721"/>
        <v>0</v>
      </c>
      <c r="P3071" s="239"/>
      <c r="Q3071" s="239"/>
      <c r="R3071" s="239"/>
      <c r="S3071" s="244"/>
      <c r="T3071" s="244"/>
      <c r="U3071" s="240"/>
      <c r="W3071" s="240"/>
      <c r="X3071" s="240"/>
      <c r="Y3071" s="237"/>
      <c r="Z3071" s="237"/>
      <c r="AA3071" s="279"/>
      <c r="AB3071" s="238"/>
      <c r="AC3071" s="196">
        <f t="shared" si="726"/>
        <v>0</v>
      </c>
      <c r="AD3071" s="196">
        <f t="shared" si="727"/>
        <v>0</v>
      </c>
      <c r="AE3071" s="196">
        <f t="shared" si="728"/>
        <v>0</v>
      </c>
      <c r="AF3071" s="2">
        <f t="shared" si="729"/>
        <v>0</v>
      </c>
      <c r="AG3071" s="2">
        <f t="shared" si="730"/>
        <v>0</v>
      </c>
    </row>
    <row r="3072" spans="1:33">
      <c r="A3072" s="20" t="s">
        <v>19960</v>
      </c>
      <c r="B3072" s="150"/>
      <c r="C3072" s="21" t="s">
        <v>646</v>
      </c>
      <c r="D3072" s="109" t="s">
        <v>3097</v>
      </c>
      <c r="E3072" s="109" t="s">
        <v>20028</v>
      </c>
      <c r="F3072" s="391" t="s">
        <v>5161</v>
      </c>
      <c r="G3072" s="23" t="s">
        <v>13341</v>
      </c>
      <c r="H3072" s="23"/>
      <c r="I3072" s="23"/>
      <c r="J3072" s="23"/>
      <c r="K3072" s="23"/>
      <c r="L3072" s="375" t="s">
        <v>7787</v>
      </c>
      <c r="M3072" s="367" t="s">
        <v>45</v>
      </c>
      <c r="N3072" s="267">
        <f t="shared" si="720"/>
        <v>0</v>
      </c>
      <c r="O3072" s="268">
        <f t="shared" si="721"/>
        <v>0</v>
      </c>
      <c r="P3072" s="239"/>
      <c r="Q3072" s="239"/>
      <c r="R3072" s="239"/>
      <c r="S3072" s="239"/>
      <c r="T3072" s="239"/>
      <c r="U3072" s="240"/>
      <c r="V3072" s="240"/>
      <c r="W3072" s="240"/>
      <c r="X3072" s="240"/>
      <c r="Y3072" s="237"/>
      <c r="Z3072" s="237"/>
      <c r="AA3072" s="279"/>
      <c r="AB3072" s="238"/>
      <c r="AC3072" s="196">
        <f t="shared" si="726"/>
        <v>0</v>
      </c>
      <c r="AD3072" s="196">
        <f t="shared" si="727"/>
        <v>0</v>
      </c>
      <c r="AE3072" s="196">
        <f t="shared" si="728"/>
        <v>0</v>
      </c>
      <c r="AF3072" s="2">
        <f t="shared" si="729"/>
        <v>0</v>
      </c>
      <c r="AG3072" s="2">
        <f t="shared" si="730"/>
        <v>0</v>
      </c>
    </row>
    <row r="3073" spans="1:33">
      <c r="A3073" s="20" t="s">
        <v>26259</v>
      </c>
      <c r="B3073" s="150"/>
      <c r="C3073" s="21" t="s">
        <v>25098</v>
      </c>
      <c r="D3073" s="109" t="s">
        <v>3097</v>
      </c>
      <c r="E3073" s="109"/>
      <c r="F3073" s="391" t="s">
        <v>5161</v>
      </c>
      <c r="G3073" s="23" t="s">
        <v>13341</v>
      </c>
      <c r="H3073" s="23" t="s">
        <v>25788</v>
      </c>
      <c r="I3073" s="23"/>
      <c r="J3073" s="23"/>
      <c r="K3073" s="23"/>
      <c r="L3073" s="375" t="s">
        <v>27652</v>
      </c>
      <c r="M3073" s="367" t="s">
        <v>45</v>
      </c>
      <c r="N3073" s="267">
        <f t="shared" ref="N3073" si="731">SUM(L3073:M3073)</f>
        <v>0</v>
      </c>
      <c r="O3073" s="268">
        <f t="shared" ref="O3073" si="732">SUM(P3073:Z3073)</f>
        <v>900</v>
      </c>
      <c r="P3073" s="239"/>
      <c r="Q3073" s="239"/>
      <c r="R3073" s="239"/>
      <c r="S3073" s="239"/>
      <c r="T3073" s="239"/>
      <c r="U3073" s="240"/>
      <c r="V3073" s="240">
        <f>1000-300-500+500-500+700+4400-5000+600</f>
        <v>900</v>
      </c>
      <c r="W3073" s="240"/>
      <c r="X3073" s="240"/>
      <c r="Y3073" s="237"/>
      <c r="Z3073" s="237"/>
      <c r="AA3073" s="279"/>
      <c r="AB3073" s="238" t="s">
        <v>27649</v>
      </c>
      <c r="AC3073" s="196">
        <f t="shared" si="726"/>
        <v>900</v>
      </c>
      <c r="AD3073" s="196">
        <f t="shared" si="727"/>
        <v>900</v>
      </c>
      <c r="AE3073" s="196">
        <f t="shared" si="728"/>
        <v>0</v>
      </c>
      <c r="AF3073" s="2">
        <f t="shared" si="729"/>
        <v>900</v>
      </c>
      <c r="AG3073" s="2">
        <f t="shared" si="730"/>
        <v>0</v>
      </c>
    </row>
    <row r="3074" spans="1:33">
      <c r="A3074" s="20" t="s">
        <v>2703</v>
      </c>
      <c r="B3074" s="150"/>
      <c r="C3074" s="21" t="s">
        <v>16235</v>
      </c>
      <c r="D3074" s="109" t="s">
        <v>15161</v>
      </c>
      <c r="E3074" s="109" t="s">
        <v>16236</v>
      </c>
      <c r="F3074" s="391" t="s">
        <v>16237</v>
      </c>
      <c r="G3074" s="23" t="s">
        <v>16238</v>
      </c>
      <c r="H3074" s="23"/>
      <c r="I3074" s="23"/>
      <c r="J3074" s="23"/>
      <c r="K3074" s="23"/>
      <c r="L3074" s="350"/>
      <c r="M3074" s="373"/>
      <c r="N3074" s="267">
        <f t="shared" si="720"/>
        <v>0</v>
      </c>
      <c r="O3074" s="268">
        <f t="shared" si="721"/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6"/>
        <v>0</v>
      </c>
      <c r="AD3074" s="196">
        <f t="shared" si="727"/>
        <v>0</v>
      </c>
      <c r="AE3074" s="196">
        <f t="shared" si="728"/>
        <v>0</v>
      </c>
      <c r="AF3074" s="2">
        <f t="shared" si="729"/>
        <v>0</v>
      </c>
      <c r="AG3074" s="2">
        <f t="shared" si="730"/>
        <v>0</v>
      </c>
    </row>
    <row r="3075" spans="1:33">
      <c r="A3075" s="20" t="s">
        <v>10448</v>
      </c>
      <c r="B3075" s="150"/>
      <c r="C3075" s="21" t="s">
        <v>16239</v>
      </c>
      <c r="D3075" s="109" t="s">
        <v>15161</v>
      </c>
      <c r="E3075" s="109" t="s">
        <v>16236</v>
      </c>
      <c r="F3075" s="391" t="s">
        <v>16237</v>
      </c>
      <c r="G3075" s="23" t="s">
        <v>16238</v>
      </c>
      <c r="H3075" s="23"/>
      <c r="I3075" s="23"/>
      <c r="J3075" s="23"/>
      <c r="K3075" s="23"/>
      <c r="L3075" s="375" t="s">
        <v>7787</v>
      </c>
      <c r="M3075" s="371" t="s">
        <v>45</v>
      </c>
      <c r="N3075" s="267">
        <f t="shared" si="720"/>
        <v>0</v>
      </c>
      <c r="O3075" s="268">
        <f t="shared" si="721"/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37"/>
      <c r="Z3075" s="237"/>
      <c r="AA3075" s="279"/>
      <c r="AB3075" s="238"/>
      <c r="AC3075" s="196">
        <f t="shared" si="726"/>
        <v>0</v>
      </c>
      <c r="AD3075" s="196">
        <f t="shared" si="727"/>
        <v>0</v>
      </c>
      <c r="AE3075" s="196">
        <f t="shared" si="728"/>
        <v>0</v>
      </c>
      <c r="AF3075" s="2">
        <f t="shared" si="729"/>
        <v>0</v>
      </c>
      <c r="AG3075" s="2">
        <f t="shared" si="730"/>
        <v>0</v>
      </c>
    </row>
    <row r="3076" spans="1:33">
      <c r="A3076" s="20" t="s">
        <v>2704</v>
      </c>
      <c r="B3076" s="156" t="s">
        <v>16240</v>
      </c>
      <c r="C3076" s="21" t="s">
        <v>16241</v>
      </c>
      <c r="D3076" s="109" t="s">
        <v>16231</v>
      </c>
      <c r="E3076" s="109"/>
      <c r="F3076" s="391" t="s">
        <v>16242</v>
      </c>
      <c r="G3076" s="23" t="s">
        <v>16232</v>
      </c>
      <c r="H3076" s="23"/>
      <c r="I3076" s="23"/>
      <c r="J3076" s="23"/>
      <c r="K3076" s="23"/>
      <c r="L3076" s="350"/>
      <c r="M3076" s="364"/>
      <c r="N3076" s="267">
        <f t="shared" ref="N3076:N3141" si="733">SUM(L3076:M3076)</f>
        <v>0</v>
      </c>
      <c r="O3076" s="268">
        <f t="shared" ref="O3076:O3141" si="734">SUM(P3076:Z3076)</f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37"/>
      <c r="Z3076" s="237"/>
      <c r="AA3076" s="279"/>
      <c r="AB3076" s="238"/>
      <c r="AC3076" s="196">
        <f t="shared" si="726"/>
        <v>0</v>
      </c>
      <c r="AD3076" s="196">
        <f t="shared" si="727"/>
        <v>0</v>
      </c>
      <c r="AE3076" s="196">
        <f t="shared" si="728"/>
        <v>0</v>
      </c>
      <c r="AF3076" s="2">
        <f t="shared" si="729"/>
        <v>0</v>
      </c>
      <c r="AG3076" s="2">
        <f t="shared" si="730"/>
        <v>0</v>
      </c>
    </row>
    <row r="3077" spans="1:33">
      <c r="A3077" s="20" t="s">
        <v>2705</v>
      </c>
      <c r="B3077" s="150"/>
      <c r="C3077" s="21" t="s">
        <v>16243</v>
      </c>
      <c r="D3077" s="109" t="s">
        <v>16186</v>
      </c>
      <c r="E3077" s="109"/>
      <c r="F3077" s="391" t="s">
        <v>16244</v>
      </c>
      <c r="G3077" s="23" t="s">
        <v>5512</v>
      </c>
      <c r="H3077" s="23"/>
      <c r="I3077" s="23"/>
      <c r="J3077" s="23"/>
      <c r="K3077" s="23"/>
      <c r="L3077" s="350"/>
      <c r="M3077" s="364"/>
      <c r="N3077" s="267">
        <f t="shared" si="733"/>
        <v>0</v>
      </c>
      <c r="O3077" s="268">
        <f t="shared" si="734"/>
        <v>0</v>
      </c>
      <c r="P3077" s="239"/>
      <c r="Q3077" s="239"/>
      <c r="R3077" s="239"/>
      <c r="S3077" s="239"/>
      <c r="T3077" s="239"/>
      <c r="U3077" s="240"/>
      <c r="V3077" s="240"/>
      <c r="W3077" s="240"/>
      <c r="X3077" s="278"/>
      <c r="Y3077" s="278"/>
      <c r="Z3077" s="237"/>
      <c r="AA3077" s="279"/>
      <c r="AB3077" s="238"/>
      <c r="AC3077" s="196">
        <f t="shared" si="726"/>
        <v>0</v>
      </c>
      <c r="AD3077" s="196">
        <f t="shared" si="727"/>
        <v>0</v>
      </c>
      <c r="AE3077" s="196">
        <f t="shared" si="728"/>
        <v>0</v>
      </c>
      <c r="AF3077" s="2">
        <f t="shared" si="729"/>
        <v>0</v>
      </c>
      <c r="AG3077" s="2">
        <f t="shared" si="730"/>
        <v>0</v>
      </c>
    </row>
    <row r="3078" spans="1:33">
      <c r="A3078" s="20" t="s">
        <v>2706</v>
      </c>
      <c r="B3078" s="150"/>
      <c r="C3078" s="21" t="s">
        <v>16245</v>
      </c>
      <c r="D3078" s="109" t="s">
        <v>16246</v>
      </c>
      <c r="E3078" s="109"/>
      <c r="F3078" s="391" t="s">
        <v>22825</v>
      </c>
      <c r="G3078" s="23" t="s">
        <v>5512</v>
      </c>
      <c r="H3078" s="23"/>
      <c r="I3078" s="23"/>
      <c r="J3078" s="23"/>
      <c r="K3078" s="23"/>
      <c r="L3078" s="375"/>
      <c r="M3078" s="351"/>
      <c r="N3078" s="267">
        <f t="shared" si="733"/>
        <v>0</v>
      </c>
      <c r="O3078" s="268">
        <f t="shared" si="734"/>
        <v>0</v>
      </c>
      <c r="P3078" s="239"/>
      <c r="Q3078" s="239"/>
      <c r="R3078" s="239"/>
      <c r="S3078" s="239"/>
      <c r="T3078" s="239"/>
      <c r="U3078" s="240"/>
      <c r="V3078" s="240"/>
      <c r="W3078" s="240"/>
      <c r="X3078" s="278"/>
      <c r="Y3078" s="240"/>
      <c r="Z3078" s="237"/>
      <c r="AA3078" s="279"/>
      <c r="AB3078" s="238"/>
      <c r="AC3078" s="196">
        <f t="shared" si="726"/>
        <v>0</v>
      </c>
      <c r="AD3078" s="196">
        <f t="shared" si="727"/>
        <v>0</v>
      </c>
      <c r="AE3078" s="196">
        <f t="shared" si="728"/>
        <v>0</v>
      </c>
      <c r="AF3078" s="2">
        <f t="shared" si="729"/>
        <v>0</v>
      </c>
      <c r="AG3078" s="2">
        <f t="shared" si="730"/>
        <v>0</v>
      </c>
    </row>
    <row r="3079" spans="1:33">
      <c r="A3079" s="20" t="s">
        <v>24538</v>
      </c>
      <c r="B3079" s="150"/>
      <c r="C3079" s="21" t="s">
        <v>5572</v>
      </c>
      <c r="D3079" s="109" t="s">
        <v>5573</v>
      </c>
      <c r="E3079" s="109"/>
      <c r="F3079" s="391" t="s">
        <v>22825</v>
      </c>
      <c r="G3079" s="23" t="s">
        <v>6133</v>
      </c>
      <c r="H3079" s="23"/>
      <c r="I3079" s="23"/>
      <c r="J3079" s="23"/>
      <c r="K3079" s="23"/>
      <c r="L3079" s="375" t="s">
        <v>27652</v>
      </c>
      <c r="M3079" s="351" t="s">
        <v>45</v>
      </c>
      <c r="N3079" s="267">
        <f t="shared" ref="N3079" si="735">SUM(L3079:M3079)</f>
        <v>0</v>
      </c>
      <c r="O3079" s="268">
        <f t="shared" ref="O3079" si="736">SUM(P3079:Z3079)</f>
        <v>5050</v>
      </c>
      <c r="P3079" s="239"/>
      <c r="Q3079" s="239"/>
      <c r="R3079" s="239"/>
      <c r="S3079" s="239"/>
      <c r="T3079" s="239"/>
      <c r="U3079" s="240">
        <f>1800+4700-200+950-800-300-1000-100</f>
        <v>5050</v>
      </c>
      <c r="V3079" s="240"/>
      <c r="W3079" s="240"/>
      <c r="X3079" s="278"/>
      <c r="Y3079" s="240"/>
      <c r="Z3079" s="237"/>
      <c r="AA3079" s="279"/>
      <c r="AB3079" s="238" t="s">
        <v>27640</v>
      </c>
      <c r="AC3079" s="196">
        <f t="shared" si="726"/>
        <v>5050</v>
      </c>
      <c r="AD3079" s="196">
        <f t="shared" si="727"/>
        <v>5050</v>
      </c>
      <c r="AE3079" s="196">
        <f t="shared" si="728"/>
        <v>0</v>
      </c>
      <c r="AF3079" s="2">
        <f t="shared" si="729"/>
        <v>5050</v>
      </c>
      <c r="AG3079" s="2">
        <f t="shared" si="730"/>
        <v>0</v>
      </c>
    </row>
    <row r="3080" spans="1:33">
      <c r="A3080" s="20" t="s">
        <v>2707</v>
      </c>
      <c r="B3080" s="150"/>
      <c r="C3080" s="21" t="s">
        <v>16247</v>
      </c>
      <c r="D3080" s="109" t="s">
        <v>5771</v>
      </c>
      <c r="E3080" s="109"/>
      <c r="F3080" s="391" t="s">
        <v>16248</v>
      </c>
      <c r="G3080" s="23" t="s">
        <v>5512</v>
      </c>
      <c r="H3080" s="23"/>
      <c r="I3080" s="23"/>
      <c r="J3080" s="23"/>
      <c r="K3080" s="23"/>
      <c r="L3080" s="350"/>
      <c r="M3080" s="351" t="s">
        <v>7787</v>
      </c>
      <c r="N3080" s="267">
        <f t="shared" si="733"/>
        <v>0</v>
      </c>
      <c r="O3080" s="268">
        <f t="shared" si="734"/>
        <v>0</v>
      </c>
      <c r="P3080" s="239"/>
      <c r="Q3080" s="239"/>
      <c r="R3080" s="239"/>
      <c r="S3080" s="239"/>
      <c r="T3080" s="239"/>
      <c r="U3080" s="240"/>
      <c r="V3080" s="240"/>
      <c r="W3080" s="240"/>
      <c r="X3080" s="278"/>
      <c r="Y3080" s="237"/>
      <c r="Z3080" s="237"/>
      <c r="AA3080" s="279"/>
      <c r="AB3080" s="238"/>
      <c r="AC3080" s="196">
        <f t="shared" si="726"/>
        <v>0</v>
      </c>
      <c r="AD3080" s="196">
        <f t="shared" si="727"/>
        <v>0</v>
      </c>
      <c r="AE3080" s="196">
        <f t="shared" si="728"/>
        <v>0</v>
      </c>
      <c r="AF3080" s="2">
        <f t="shared" si="729"/>
        <v>0</v>
      </c>
      <c r="AG3080" s="2">
        <f t="shared" si="730"/>
        <v>0</v>
      </c>
    </row>
    <row r="3081" spans="1:33">
      <c r="A3081" s="20" t="s">
        <v>6869</v>
      </c>
      <c r="B3081" s="150"/>
      <c r="C3081" s="21" t="s">
        <v>16249</v>
      </c>
      <c r="D3081" s="109" t="s">
        <v>5771</v>
      </c>
      <c r="E3081" s="109"/>
      <c r="F3081" s="391" t="s">
        <v>16248</v>
      </c>
      <c r="G3081" s="23" t="s">
        <v>5512</v>
      </c>
      <c r="H3081" s="23"/>
      <c r="I3081" s="23"/>
      <c r="J3081" s="23"/>
      <c r="K3081" s="23"/>
      <c r="L3081" s="375" t="s">
        <v>7787</v>
      </c>
      <c r="M3081" s="351" t="s">
        <v>7787</v>
      </c>
      <c r="N3081" s="267">
        <f t="shared" si="733"/>
        <v>0</v>
      </c>
      <c r="O3081" s="268">
        <f t="shared" si="734"/>
        <v>0</v>
      </c>
      <c r="P3081" s="239"/>
      <c r="Q3081" s="239"/>
      <c r="R3081" s="239"/>
      <c r="S3081" s="239"/>
      <c r="T3081" s="239"/>
      <c r="U3081" s="240"/>
      <c r="V3081" s="239"/>
      <c r="W3081" s="240"/>
      <c r="X3081" s="278"/>
      <c r="Y3081" s="237"/>
      <c r="Z3081" s="237"/>
      <c r="AA3081" s="279"/>
      <c r="AB3081" s="238"/>
      <c r="AC3081" s="196">
        <f t="shared" si="726"/>
        <v>0</v>
      </c>
      <c r="AD3081" s="196">
        <f t="shared" si="727"/>
        <v>0</v>
      </c>
      <c r="AE3081" s="196">
        <f t="shared" si="728"/>
        <v>0</v>
      </c>
      <c r="AF3081" s="2">
        <f t="shared" si="729"/>
        <v>0</v>
      </c>
      <c r="AG3081" s="2">
        <f t="shared" si="730"/>
        <v>0</v>
      </c>
    </row>
    <row r="3082" spans="1:33">
      <c r="A3082" s="20" t="s">
        <v>7119</v>
      </c>
      <c r="B3082" s="150"/>
      <c r="C3082" s="21" t="s">
        <v>16250</v>
      </c>
      <c r="D3082" s="109" t="s">
        <v>16251</v>
      </c>
      <c r="E3082" s="109"/>
      <c r="F3082" s="391" t="s">
        <v>16252</v>
      </c>
      <c r="G3082" s="23" t="s">
        <v>16072</v>
      </c>
      <c r="H3082" s="23" t="s">
        <v>16253</v>
      </c>
      <c r="I3082" s="23" t="s">
        <v>18852</v>
      </c>
      <c r="J3082" s="23" t="s">
        <v>26616</v>
      </c>
      <c r="K3082" s="23"/>
      <c r="L3082" s="375" t="s">
        <v>45</v>
      </c>
      <c r="M3082" s="351" t="s">
        <v>45</v>
      </c>
      <c r="N3082" s="267">
        <f t="shared" si="733"/>
        <v>0</v>
      </c>
      <c r="O3082" s="268">
        <f t="shared" si="734"/>
        <v>0</v>
      </c>
      <c r="P3082" s="239"/>
      <c r="Q3082" s="239"/>
      <c r="R3082" s="248"/>
      <c r="S3082" s="239"/>
      <c r="T3082" s="239"/>
      <c r="U3082" s="240"/>
      <c r="V3082" s="240"/>
      <c r="W3082" s="240"/>
      <c r="X3082" s="278"/>
      <c r="Y3082" s="237"/>
      <c r="Z3082" s="237"/>
      <c r="AA3082" s="279"/>
      <c r="AB3082" s="238"/>
      <c r="AC3082" s="196">
        <f t="shared" si="726"/>
        <v>0</v>
      </c>
      <c r="AD3082" s="196">
        <f t="shared" si="727"/>
        <v>0</v>
      </c>
      <c r="AE3082" s="196">
        <f t="shared" si="728"/>
        <v>0</v>
      </c>
      <c r="AF3082" s="2">
        <f t="shared" si="729"/>
        <v>0</v>
      </c>
      <c r="AG3082" s="2">
        <f t="shared" si="730"/>
        <v>0</v>
      </c>
    </row>
    <row r="3083" spans="1:33">
      <c r="A3083" s="20" t="s">
        <v>11286</v>
      </c>
      <c r="B3083" s="150"/>
      <c r="C3083" s="21" t="s">
        <v>16250</v>
      </c>
      <c r="D3083" s="109" t="s">
        <v>16073</v>
      </c>
      <c r="E3083" s="109"/>
      <c r="F3083" s="391" t="s">
        <v>16252</v>
      </c>
      <c r="G3083" s="23" t="s">
        <v>15621</v>
      </c>
      <c r="H3083" s="23" t="s">
        <v>21608</v>
      </c>
      <c r="I3083" s="23" t="s">
        <v>24465</v>
      </c>
      <c r="J3083" s="23" t="s">
        <v>18468</v>
      </c>
      <c r="K3083" s="23" t="s">
        <v>13350</v>
      </c>
      <c r="L3083" s="375" t="s">
        <v>27989</v>
      </c>
      <c r="M3083" s="351" t="s">
        <v>27989</v>
      </c>
      <c r="N3083" s="267">
        <f t="shared" si="733"/>
        <v>0</v>
      </c>
      <c r="O3083" s="268">
        <f t="shared" si="734"/>
        <v>4500</v>
      </c>
      <c r="P3083" s="239"/>
      <c r="Q3083" s="241">
        <f>2900-1000+2800-100-100</f>
        <v>4500</v>
      </c>
      <c r="R3083" s="241"/>
      <c r="S3083" s="239"/>
      <c r="T3083" s="239"/>
      <c r="U3083" s="241"/>
      <c r="V3083" s="240"/>
      <c r="W3083" s="240"/>
      <c r="X3083" s="278"/>
      <c r="Y3083" s="237"/>
      <c r="Z3083" s="237"/>
      <c r="AA3083" s="279"/>
      <c r="AB3083" s="238" t="s">
        <v>28001</v>
      </c>
      <c r="AC3083" s="196">
        <f t="shared" si="726"/>
        <v>4500</v>
      </c>
      <c r="AD3083" s="196">
        <f t="shared" si="727"/>
        <v>4500</v>
      </c>
      <c r="AE3083" s="196">
        <f t="shared" si="728"/>
        <v>0</v>
      </c>
      <c r="AF3083" s="2">
        <f t="shared" si="729"/>
        <v>4500</v>
      </c>
      <c r="AG3083" s="2">
        <f t="shared" si="730"/>
        <v>0</v>
      </c>
    </row>
    <row r="3084" spans="1:33">
      <c r="A3084" s="20" t="s">
        <v>27075</v>
      </c>
      <c r="B3084" s="150"/>
      <c r="C3084" s="21" t="s">
        <v>25682</v>
      </c>
      <c r="D3084" s="109" t="s">
        <v>4070</v>
      </c>
      <c r="E3084" s="109"/>
      <c r="F3084" s="391" t="s">
        <v>25683</v>
      </c>
      <c r="G3084" s="23" t="s">
        <v>6774</v>
      </c>
      <c r="H3084" s="23" t="s">
        <v>25684</v>
      </c>
      <c r="I3084" s="23" t="s">
        <v>25685</v>
      </c>
      <c r="J3084" s="23" t="s">
        <v>25686</v>
      </c>
      <c r="K3084" s="23" t="s">
        <v>25687</v>
      </c>
      <c r="L3084" s="375" t="s">
        <v>45</v>
      </c>
      <c r="M3084" s="351" t="s">
        <v>45</v>
      </c>
      <c r="N3084" s="267">
        <f t="shared" ref="N3084" si="737">SUM(L3084:M3084)</f>
        <v>0</v>
      </c>
      <c r="O3084" s="268">
        <f t="shared" ref="O3084" si="738">SUM(P3084:Z3084)</f>
        <v>0</v>
      </c>
      <c r="P3084" s="239"/>
      <c r="Q3084" s="241"/>
      <c r="R3084" s="241"/>
      <c r="S3084" s="239"/>
      <c r="T3084" s="239"/>
      <c r="U3084" s="241"/>
      <c r="V3084" s="240"/>
      <c r="W3084" s="240"/>
      <c r="X3084" s="278"/>
      <c r="Y3084" s="237"/>
      <c r="Z3084" s="237"/>
      <c r="AA3084" s="279"/>
      <c r="AB3084" s="238"/>
      <c r="AC3084" s="196">
        <f t="shared" si="726"/>
        <v>0</v>
      </c>
      <c r="AD3084" s="196">
        <f t="shared" si="727"/>
        <v>0</v>
      </c>
      <c r="AE3084" s="196">
        <f t="shared" si="728"/>
        <v>0</v>
      </c>
      <c r="AF3084" s="2">
        <f t="shared" si="729"/>
        <v>0</v>
      </c>
      <c r="AG3084" s="2">
        <f t="shared" si="730"/>
        <v>0</v>
      </c>
    </row>
    <row r="3085" spans="1:33">
      <c r="A3085" s="20" t="s">
        <v>21454</v>
      </c>
      <c r="B3085" s="150"/>
      <c r="C3085" s="21" t="s">
        <v>7257</v>
      </c>
      <c r="D3085" s="109" t="s">
        <v>8376</v>
      </c>
      <c r="E3085" s="109"/>
      <c r="F3085" s="391" t="s">
        <v>7260</v>
      </c>
      <c r="G3085" s="23" t="s">
        <v>21030</v>
      </c>
      <c r="H3085" s="23" t="s">
        <v>21111</v>
      </c>
      <c r="I3085" s="23"/>
      <c r="J3085" s="23"/>
      <c r="K3085" s="23"/>
      <c r="L3085" s="375"/>
      <c r="M3085" s="351"/>
      <c r="N3085" s="267">
        <f t="shared" si="733"/>
        <v>0</v>
      </c>
      <c r="O3085" s="268">
        <f t="shared" si="734"/>
        <v>0</v>
      </c>
      <c r="P3085" s="239"/>
      <c r="Q3085" s="239"/>
      <c r="R3085" s="241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6"/>
        <v>0</v>
      </c>
      <c r="AD3085" s="196">
        <f t="shared" si="727"/>
        <v>0</v>
      </c>
      <c r="AE3085" s="196">
        <f t="shared" si="728"/>
        <v>0</v>
      </c>
      <c r="AF3085" s="2">
        <f t="shared" si="729"/>
        <v>0</v>
      </c>
      <c r="AG3085" s="2">
        <f t="shared" si="730"/>
        <v>0</v>
      </c>
    </row>
    <row r="3086" spans="1:33">
      <c r="A3086" s="20" t="s">
        <v>7515</v>
      </c>
      <c r="B3086" s="150"/>
      <c r="C3086" s="21" t="s">
        <v>16250</v>
      </c>
      <c r="D3086" s="109" t="s">
        <v>16254</v>
      </c>
      <c r="E3086" s="109"/>
      <c r="F3086" s="391" t="s">
        <v>16252</v>
      </c>
      <c r="G3086" s="23" t="s">
        <v>16072</v>
      </c>
      <c r="H3086" s="23"/>
      <c r="I3086" s="23"/>
      <c r="J3086" s="23"/>
      <c r="K3086" s="23"/>
      <c r="L3086" s="375" t="s">
        <v>7787</v>
      </c>
      <c r="M3086" s="351" t="s">
        <v>7787</v>
      </c>
      <c r="N3086" s="267">
        <f t="shared" si="733"/>
        <v>0</v>
      </c>
      <c r="O3086" s="268">
        <f t="shared" si="734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6"/>
        <v>0</v>
      </c>
      <c r="AD3086" s="196">
        <f t="shared" si="727"/>
        <v>0</v>
      </c>
      <c r="AE3086" s="196">
        <f t="shared" si="728"/>
        <v>0</v>
      </c>
      <c r="AF3086" s="2">
        <f t="shared" si="729"/>
        <v>0</v>
      </c>
      <c r="AG3086" s="2">
        <f t="shared" si="730"/>
        <v>0</v>
      </c>
    </row>
    <row r="3087" spans="1:33">
      <c r="A3087" s="20" t="s">
        <v>9474</v>
      </c>
      <c r="B3087" s="150"/>
      <c r="C3087" s="21" t="s">
        <v>9478</v>
      </c>
      <c r="D3087" s="109" t="s">
        <v>16251</v>
      </c>
      <c r="E3087" s="109"/>
      <c r="F3087" s="391" t="s">
        <v>16255</v>
      </c>
      <c r="G3087" s="23" t="s">
        <v>21271</v>
      </c>
      <c r="H3087" s="23" t="s">
        <v>16257</v>
      </c>
      <c r="I3087" s="23" t="s">
        <v>17561</v>
      </c>
      <c r="J3087" s="23" t="s">
        <v>17562</v>
      </c>
      <c r="K3087" s="23" t="s">
        <v>17683</v>
      </c>
      <c r="L3087" s="375"/>
      <c r="M3087" s="351" t="s">
        <v>7787</v>
      </c>
      <c r="N3087" s="267">
        <f t="shared" si="733"/>
        <v>0</v>
      </c>
      <c r="O3087" s="268">
        <f t="shared" si="734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6"/>
        <v>0</v>
      </c>
      <c r="AD3087" s="196">
        <f t="shared" si="727"/>
        <v>0</v>
      </c>
      <c r="AE3087" s="196">
        <f t="shared" si="728"/>
        <v>0</v>
      </c>
      <c r="AF3087" s="2">
        <f t="shared" si="729"/>
        <v>0</v>
      </c>
      <c r="AG3087" s="2">
        <f t="shared" si="730"/>
        <v>0</v>
      </c>
    </row>
    <row r="3088" spans="1:33">
      <c r="A3088" s="20" t="s">
        <v>17425</v>
      </c>
      <c r="B3088" s="150"/>
      <c r="C3088" s="21" t="s">
        <v>9478</v>
      </c>
      <c r="D3088" s="109" t="s">
        <v>17656</v>
      </c>
      <c r="E3088" s="109" t="s">
        <v>17657</v>
      </c>
      <c r="F3088" s="391" t="s">
        <v>9502</v>
      </c>
      <c r="G3088" s="23" t="s">
        <v>17561</v>
      </c>
      <c r="H3088" s="23"/>
      <c r="I3088" s="23"/>
      <c r="J3088" s="23"/>
      <c r="K3088" s="23"/>
      <c r="L3088" s="375"/>
      <c r="M3088" s="351"/>
      <c r="N3088" s="267">
        <f t="shared" si="733"/>
        <v>0</v>
      </c>
      <c r="O3088" s="268">
        <f t="shared" si="734"/>
        <v>0</v>
      </c>
      <c r="P3088" s="239"/>
      <c r="Q3088" s="239"/>
      <c r="R3088" s="239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6"/>
        <v>0</v>
      </c>
      <c r="AD3088" s="196">
        <f t="shared" si="727"/>
        <v>0</v>
      </c>
      <c r="AE3088" s="196">
        <f t="shared" si="728"/>
        <v>0</v>
      </c>
      <c r="AF3088" s="2">
        <f t="shared" si="729"/>
        <v>0</v>
      </c>
      <c r="AG3088" s="2">
        <f t="shared" si="730"/>
        <v>0</v>
      </c>
    </row>
    <row r="3089" spans="1:33">
      <c r="A3089" s="20" t="s">
        <v>2708</v>
      </c>
      <c r="B3089" s="150"/>
      <c r="C3089" s="21" t="s">
        <v>16258</v>
      </c>
      <c r="D3089" s="109" t="s">
        <v>16259</v>
      </c>
      <c r="E3089" s="109"/>
      <c r="F3089" s="391" t="s">
        <v>16260</v>
      </c>
      <c r="G3089" s="23" t="s">
        <v>16188</v>
      </c>
      <c r="H3089" s="23"/>
      <c r="I3089" s="23"/>
      <c r="J3089" s="23"/>
      <c r="K3089" s="23"/>
      <c r="L3089" s="350"/>
      <c r="M3089" s="351"/>
      <c r="N3089" s="267">
        <f t="shared" si="733"/>
        <v>0</v>
      </c>
      <c r="O3089" s="268">
        <f t="shared" si="734"/>
        <v>0</v>
      </c>
      <c r="P3089" s="239"/>
      <c r="Q3089" s="239"/>
      <c r="R3089" s="239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6"/>
        <v>0</v>
      </c>
      <c r="AD3089" s="196">
        <f t="shared" si="727"/>
        <v>0</v>
      </c>
      <c r="AE3089" s="196">
        <f t="shared" si="728"/>
        <v>0</v>
      </c>
      <c r="AF3089" s="2">
        <f t="shared" si="729"/>
        <v>0</v>
      </c>
      <c r="AG3089" s="2">
        <f t="shared" si="730"/>
        <v>0</v>
      </c>
    </row>
    <row r="3090" spans="1:33">
      <c r="A3090" s="20" t="s">
        <v>2709</v>
      </c>
      <c r="B3090" s="150"/>
      <c r="C3090" s="21" t="s">
        <v>16261</v>
      </c>
      <c r="D3090" s="109" t="s">
        <v>16259</v>
      </c>
      <c r="E3090" s="109"/>
      <c r="F3090" s="391" t="s">
        <v>16262</v>
      </c>
      <c r="G3090" s="23" t="s">
        <v>16188</v>
      </c>
      <c r="H3090" s="23"/>
      <c r="I3090" s="23"/>
      <c r="J3090" s="23"/>
      <c r="K3090" s="23"/>
      <c r="L3090" s="350"/>
      <c r="M3090" s="351"/>
      <c r="N3090" s="267">
        <f t="shared" si="733"/>
        <v>0</v>
      </c>
      <c r="O3090" s="268">
        <f t="shared" si="734"/>
        <v>0</v>
      </c>
      <c r="P3090" s="239"/>
      <c r="Q3090" s="239"/>
      <c r="R3090" s="240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6"/>
        <v>0</v>
      </c>
      <c r="AD3090" s="196">
        <f t="shared" si="727"/>
        <v>0</v>
      </c>
      <c r="AE3090" s="196">
        <f t="shared" si="728"/>
        <v>0</v>
      </c>
      <c r="AF3090" s="2">
        <f t="shared" si="729"/>
        <v>0</v>
      </c>
      <c r="AG3090" s="2">
        <f t="shared" si="730"/>
        <v>0</v>
      </c>
    </row>
    <row r="3091" spans="1:33">
      <c r="A3091" s="20" t="s">
        <v>6908</v>
      </c>
      <c r="B3091" s="172" t="s">
        <v>6992</v>
      </c>
      <c r="C3091" s="21" t="s">
        <v>16263</v>
      </c>
      <c r="D3091" s="109" t="s">
        <v>16073</v>
      </c>
      <c r="E3091" s="109"/>
      <c r="F3091" s="391" t="s">
        <v>16264</v>
      </c>
      <c r="G3091" s="23" t="s">
        <v>16141</v>
      </c>
      <c r="H3091" s="23" t="s">
        <v>15163</v>
      </c>
      <c r="I3091" s="23" t="s">
        <v>16265</v>
      </c>
      <c r="J3091" s="23" t="s">
        <v>13940</v>
      </c>
      <c r="K3091" s="23" t="s">
        <v>21150</v>
      </c>
      <c r="L3091" s="375" t="s">
        <v>45</v>
      </c>
      <c r="M3091" s="351" t="s">
        <v>7787</v>
      </c>
      <c r="N3091" s="267">
        <f t="shared" si="733"/>
        <v>0</v>
      </c>
      <c r="O3091" s="268">
        <f t="shared" si="734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6"/>
        <v>0</v>
      </c>
      <c r="AD3091" s="196">
        <f t="shared" si="727"/>
        <v>0</v>
      </c>
      <c r="AE3091" s="196">
        <f t="shared" si="728"/>
        <v>0</v>
      </c>
      <c r="AF3091" s="2">
        <f t="shared" si="729"/>
        <v>0</v>
      </c>
      <c r="AG3091" s="2">
        <f t="shared" si="730"/>
        <v>0</v>
      </c>
    </row>
    <row r="3092" spans="1:33">
      <c r="A3092" s="20" t="s">
        <v>6871</v>
      </c>
      <c r="B3092" s="150"/>
      <c r="C3092" s="21" t="s">
        <v>16266</v>
      </c>
      <c r="D3092" s="109" t="s">
        <v>16251</v>
      </c>
      <c r="E3092" s="109"/>
      <c r="F3092" s="391" t="s">
        <v>16267</v>
      </c>
      <c r="G3092" s="23" t="s">
        <v>16268</v>
      </c>
      <c r="H3092" s="23" t="s">
        <v>21092</v>
      </c>
      <c r="I3092" s="23" t="s">
        <v>18870</v>
      </c>
      <c r="J3092" s="23"/>
      <c r="K3092" s="23"/>
      <c r="L3092" s="375"/>
      <c r="M3092" s="351"/>
      <c r="N3092" s="267">
        <f t="shared" si="733"/>
        <v>0</v>
      </c>
      <c r="O3092" s="268">
        <f t="shared" si="734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6"/>
        <v>0</v>
      </c>
      <c r="AD3092" s="196">
        <f t="shared" si="727"/>
        <v>0</v>
      </c>
      <c r="AE3092" s="196">
        <f t="shared" si="728"/>
        <v>0</v>
      </c>
      <c r="AF3092" s="2">
        <f t="shared" si="729"/>
        <v>0</v>
      </c>
      <c r="AG3092" s="2">
        <f t="shared" si="730"/>
        <v>0</v>
      </c>
    </row>
    <row r="3093" spans="1:33">
      <c r="A3093" s="20" t="s">
        <v>8268</v>
      </c>
      <c r="B3093" s="150"/>
      <c r="C3093" s="213" t="s">
        <v>16269</v>
      </c>
      <c r="D3093" s="109" t="s">
        <v>15167</v>
      </c>
      <c r="E3093" s="109" t="s">
        <v>16220</v>
      </c>
      <c r="F3093" s="391" t="s">
        <v>16270</v>
      </c>
      <c r="G3093" s="23" t="s">
        <v>16271</v>
      </c>
      <c r="H3093" s="23" t="s">
        <v>13339</v>
      </c>
      <c r="I3093" s="23"/>
      <c r="J3093" s="23"/>
      <c r="K3093" s="23"/>
      <c r="L3093" s="375"/>
      <c r="M3093" s="375" t="s">
        <v>7787</v>
      </c>
      <c r="N3093" s="267">
        <f t="shared" si="733"/>
        <v>0</v>
      </c>
      <c r="O3093" s="268">
        <f t="shared" si="734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6"/>
        <v>0</v>
      </c>
      <c r="AD3093" s="196">
        <f t="shared" si="727"/>
        <v>0</v>
      </c>
      <c r="AE3093" s="196">
        <f t="shared" si="728"/>
        <v>0</v>
      </c>
      <c r="AF3093" s="2">
        <f t="shared" si="729"/>
        <v>0</v>
      </c>
      <c r="AG3093" s="2">
        <f t="shared" si="730"/>
        <v>0</v>
      </c>
    </row>
    <row r="3094" spans="1:33">
      <c r="A3094" s="20" t="s">
        <v>21928</v>
      </c>
      <c r="B3094" s="150"/>
      <c r="C3094" s="213" t="s">
        <v>8333</v>
      </c>
      <c r="D3094" s="109" t="s">
        <v>3096</v>
      </c>
      <c r="E3094" s="109" t="s">
        <v>22082</v>
      </c>
      <c r="F3094" s="391" t="s">
        <v>8340</v>
      </c>
      <c r="G3094" s="23" t="s">
        <v>22081</v>
      </c>
      <c r="H3094" s="23"/>
      <c r="I3094" s="23"/>
      <c r="J3094" s="23"/>
      <c r="K3094" s="23"/>
      <c r="L3094" s="375" t="s">
        <v>7787</v>
      </c>
      <c r="M3094" s="367" t="s">
        <v>7787</v>
      </c>
      <c r="N3094" s="267">
        <f t="shared" si="733"/>
        <v>0</v>
      </c>
      <c r="O3094" s="268">
        <f t="shared" si="734"/>
        <v>0</v>
      </c>
      <c r="P3094" s="239"/>
      <c r="Q3094" s="239"/>
      <c r="R3094" s="239"/>
      <c r="S3094" s="239"/>
      <c r="T3094" s="239"/>
      <c r="U3094" s="240"/>
      <c r="V3094" s="240"/>
      <c r="W3094" s="240"/>
      <c r="X3094" s="278"/>
      <c r="Y3094" s="237"/>
      <c r="Z3094" s="237"/>
      <c r="AA3094" s="279"/>
      <c r="AB3094" s="238"/>
      <c r="AC3094" s="196">
        <f t="shared" si="726"/>
        <v>0</v>
      </c>
      <c r="AD3094" s="196">
        <f t="shared" si="727"/>
        <v>0</v>
      </c>
      <c r="AE3094" s="196">
        <f t="shared" si="728"/>
        <v>0</v>
      </c>
      <c r="AF3094" s="2">
        <f t="shared" si="729"/>
        <v>0</v>
      </c>
      <c r="AG3094" s="2">
        <f t="shared" si="730"/>
        <v>0</v>
      </c>
    </row>
    <row r="3095" spans="1:33">
      <c r="A3095" s="20" t="s">
        <v>6905</v>
      </c>
      <c r="B3095" s="169" t="s">
        <v>6943</v>
      </c>
      <c r="C3095" s="21" t="s">
        <v>16272</v>
      </c>
      <c r="D3095" s="109" t="s">
        <v>15167</v>
      </c>
      <c r="E3095" s="109" t="s">
        <v>3128</v>
      </c>
      <c r="F3095" s="391" t="s">
        <v>16273</v>
      </c>
      <c r="G3095" s="23" t="s">
        <v>16271</v>
      </c>
      <c r="H3095" s="23"/>
      <c r="I3095" s="23"/>
      <c r="J3095" s="23"/>
      <c r="K3095" s="23"/>
      <c r="L3095" s="375" t="s">
        <v>7787</v>
      </c>
      <c r="M3095" s="357"/>
      <c r="N3095" s="267">
        <f t="shared" si="733"/>
        <v>0</v>
      </c>
      <c r="O3095" s="268">
        <f t="shared" si="734"/>
        <v>0</v>
      </c>
      <c r="P3095" s="239"/>
      <c r="Q3095" s="239"/>
      <c r="R3095" s="239"/>
      <c r="S3095" s="239"/>
      <c r="T3095" s="239"/>
      <c r="U3095" s="240"/>
      <c r="V3095" s="240"/>
      <c r="W3095" s="240"/>
      <c r="X3095" s="278"/>
      <c r="Y3095" s="237"/>
      <c r="Z3095" s="237"/>
      <c r="AA3095" s="279"/>
      <c r="AB3095" s="238"/>
      <c r="AC3095" s="196">
        <f t="shared" si="726"/>
        <v>0</v>
      </c>
      <c r="AD3095" s="196">
        <f t="shared" si="727"/>
        <v>0</v>
      </c>
      <c r="AE3095" s="196">
        <f t="shared" si="728"/>
        <v>0</v>
      </c>
      <c r="AF3095" s="2">
        <f t="shared" si="729"/>
        <v>0</v>
      </c>
      <c r="AG3095" s="2">
        <f t="shared" si="730"/>
        <v>0</v>
      </c>
    </row>
    <row r="3096" spans="1:33">
      <c r="A3096" s="20" t="s">
        <v>2710</v>
      </c>
      <c r="B3096" s="150"/>
      <c r="C3096" s="21" t="s">
        <v>16274</v>
      </c>
      <c r="D3096" s="109" t="s">
        <v>16275</v>
      </c>
      <c r="E3096" s="109"/>
      <c r="F3096" s="391" t="s">
        <v>16276</v>
      </c>
      <c r="G3096" s="23" t="s">
        <v>16277</v>
      </c>
      <c r="H3096" s="23"/>
      <c r="I3096" s="23"/>
      <c r="J3096" s="23"/>
      <c r="K3096" s="23"/>
      <c r="L3096" s="350"/>
      <c r="M3096" s="351"/>
      <c r="N3096" s="267">
        <f t="shared" si="733"/>
        <v>0</v>
      </c>
      <c r="O3096" s="268">
        <f t="shared" si="734"/>
        <v>0</v>
      </c>
      <c r="P3096" s="239"/>
      <c r="Q3096" s="239"/>
      <c r="R3096" s="239"/>
      <c r="S3096" s="239"/>
      <c r="T3096" s="239"/>
      <c r="U3096" s="240">
        <v>0</v>
      </c>
      <c r="V3096" s="240"/>
      <c r="W3096" s="240"/>
      <c r="X3096" s="278"/>
      <c r="Y3096" s="278"/>
      <c r="Z3096" s="237"/>
      <c r="AA3096" s="279"/>
      <c r="AB3096" s="238"/>
      <c r="AC3096" s="196">
        <f t="shared" si="726"/>
        <v>0</v>
      </c>
      <c r="AD3096" s="196">
        <f t="shared" si="727"/>
        <v>0</v>
      </c>
      <c r="AE3096" s="196">
        <f t="shared" si="728"/>
        <v>0</v>
      </c>
      <c r="AF3096" s="2">
        <f t="shared" si="729"/>
        <v>0</v>
      </c>
      <c r="AG3096" s="2">
        <f t="shared" si="730"/>
        <v>0</v>
      </c>
    </row>
    <row r="3097" spans="1:33">
      <c r="A3097" s="20" t="s">
        <v>6872</v>
      </c>
      <c r="B3097" s="150"/>
      <c r="C3097" s="21" t="s">
        <v>16278</v>
      </c>
      <c r="D3097" s="109" t="s">
        <v>16279</v>
      </c>
      <c r="E3097" s="109"/>
      <c r="F3097" s="391" t="s">
        <v>16280</v>
      </c>
      <c r="G3097" s="23" t="s">
        <v>15962</v>
      </c>
      <c r="H3097" s="23"/>
      <c r="I3097" s="23"/>
      <c r="J3097" s="23"/>
      <c r="K3097" s="23"/>
      <c r="L3097" s="375"/>
      <c r="M3097" s="351" t="s">
        <v>7787</v>
      </c>
      <c r="N3097" s="267">
        <f t="shared" si="733"/>
        <v>0</v>
      </c>
      <c r="O3097" s="268">
        <f t="shared" si="734"/>
        <v>0</v>
      </c>
      <c r="P3097" s="239"/>
      <c r="Q3097" s="239"/>
      <c r="R3097" s="239"/>
      <c r="S3097" s="239"/>
      <c r="T3097" s="239"/>
      <c r="U3097" s="239"/>
      <c r="V3097" s="239"/>
      <c r="W3097" s="240"/>
      <c r="X3097" s="278"/>
      <c r="Y3097" s="237"/>
      <c r="Z3097" s="237"/>
      <c r="AA3097" s="279"/>
      <c r="AB3097" s="238"/>
      <c r="AC3097" s="196">
        <f t="shared" si="726"/>
        <v>0</v>
      </c>
      <c r="AD3097" s="196">
        <f t="shared" si="727"/>
        <v>0</v>
      </c>
      <c r="AE3097" s="196">
        <f t="shared" si="728"/>
        <v>0</v>
      </c>
      <c r="AF3097" s="2">
        <f t="shared" si="729"/>
        <v>0</v>
      </c>
      <c r="AG3097" s="2">
        <f t="shared" si="730"/>
        <v>0</v>
      </c>
    </row>
    <row r="3098" spans="1:33">
      <c r="A3098" s="20" t="s">
        <v>6873</v>
      </c>
      <c r="B3098" s="150"/>
      <c r="C3098" s="21" t="s">
        <v>16278</v>
      </c>
      <c r="D3098" s="109" t="s">
        <v>16279</v>
      </c>
      <c r="E3098" s="109" t="s">
        <v>15965</v>
      </c>
      <c r="F3098" s="391" t="s">
        <v>16280</v>
      </c>
      <c r="G3098" s="23" t="s">
        <v>15962</v>
      </c>
      <c r="H3098" s="23"/>
      <c r="I3098" s="23"/>
      <c r="J3098" s="23"/>
      <c r="K3098" s="23"/>
      <c r="L3098" s="350"/>
      <c r="M3098" s="357"/>
      <c r="N3098" s="267">
        <f t="shared" si="733"/>
        <v>0</v>
      </c>
      <c r="O3098" s="268">
        <f t="shared" si="734"/>
        <v>0</v>
      </c>
      <c r="P3098" s="239"/>
      <c r="Q3098" s="239"/>
      <c r="R3098" s="239"/>
      <c r="S3098" s="239"/>
      <c r="T3098" s="239"/>
      <c r="U3098" s="240"/>
      <c r="V3098" s="240"/>
      <c r="W3098" s="240"/>
      <c r="X3098" s="278"/>
      <c r="Y3098" s="237"/>
      <c r="Z3098" s="237"/>
      <c r="AA3098" s="279"/>
      <c r="AB3098" s="238"/>
      <c r="AC3098" s="196">
        <f t="shared" si="726"/>
        <v>0</v>
      </c>
      <c r="AD3098" s="196">
        <f t="shared" si="727"/>
        <v>0</v>
      </c>
      <c r="AE3098" s="196">
        <f t="shared" si="728"/>
        <v>0</v>
      </c>
      <c r="AF3098" s="2">
        <f t="shared" si="729"/>
        <v>0</v>
      </c>
      <c r="AG3098" s="2">
        <f t="shared" si="730"/>
        <v>0</v>
      </c>
    </row>
    <row r="3099" spans="1:33">
      <c r="A3099" s="20" t="s">
        <v>6874</v>
      </c>
      <c r="B3099" s="150"/>
      <c r="C3099" s="21" t="s">
        <v>16281</v>
      </c>
      <c r="D3099" s="109" t="s">
        <v>16279</v>
      </c>
      <c r="E3099" s="109"/>
      <c r="F3099" s="391" t="s">
        <v>16280</v>
      </c>
      <c r="G3099" s="23" t="s">
        <v>15962</v>
      </c>
      <c r="H3099" s="23"/>
      <c r="I3099" s="23"/>
      <c r="J3099" s="23"/>
      <c r="K3099" s="23"/>
      <c r="L3099" s="356" t="s">
        <v>7787</v>
      </c>
      <c r="M3099" s="360"/>
      <c r="N3099" s="267">
        <f t="shared" si="733"/>
        <v>0</v>
      </c>
      <c r="O3099" s="268">
        <f t="shared" si="734"/>
        <v>0</v>
      </c>
      <c r="P3099" s="239"/>
      <c r="Q3099" s="239"/>
      <c r="R3099" s="239"/>
      <c r="S3099" s="239"/>
      <c r="T3099" s="239"/>
      <c r="U3099" s="240"/>
      <c r="V3099" s="240"/>
      <c r="W3099" s="240"/>
      <c r="X3099" s="278"/>
      <c r="Y3099" s="243"/>
      <c r="Z3099" s="237"/>
      <c r="AA3099" s="279"/>
      <c r="AB3099" s="238"/>
      <c r="AC3099" s="196">
        <f t="shared" si="726"/>
        <v>0</v>
      </c>
      <c r="AD3099" s="196">
        <f t="shared" si="727"/>
        <v>0</v>
      </c>
      <c r="AE3099" s="196">
        <f t="shared" si="728"/>
        <v>0</v>
      </c>
      <c r="AF3099" s="2">
        <f t="shared" si="729"/>
        <v>0</v>
      </c>
      <c r="AG3099" s="2">
        <f t="shared" si="730"/>
        <v>0</v>
      </c>
    </row>
    <row r="3100" spans="1:33">
      <c r="A3100" s="20" t="s">
        <v>2711</v>
      </c>
      <c r="B3100" s="156" t="s">
        <v>16282</v>
      </c>
      <c r="C3100" s="21" t="s">
        <v>16283</v>
      </c>
      <c r="D3100" s="109" t="s">
        <v>15167</v>
      </c>
      <c r="E3100" s="109"/>
      <c r="F3100" s="391" t="s">
        <v>16284</v>
      </c>
      <c r="G3100" s="23" t="s">
        <v>15802</v>
      </c>
      <c r="H3100" s="23" t="s">
        <v>16285</v>
      </c>
      <c r="I3100" s="23"/>
      <c r="J3100" s="23"/>
      <c r="K3100" s="23"/>
      <c r="L3100" s="356"/>
      <c r="M3100" s="351"/>
      <c r="N3100" s="267">
        <f t="shared" si="733"/>
        <v>0</v>
      </c>
      <c r="O3100" s="268">
        <f t="shared" si="734"/>
        <v>0</v>
      </c>
      <c r="P3100" s="239"/>
      <c r="Q3100" s="239"/>
      <c r="R3100" s="239"/>
      <c r="S3100" s="239"/>
      <c r="T3100" s="239"/>
      <c r="U3100" s="240"/>
      <c r="V3100" s="239"/>
      <c r="W3100" s="240"/>
      <c r="X3100" s="278"/>
      <c r="Y3100" s="243"/>
      <c r="Z3100" s="237"/>
      <c r="AA3100" s="279"/>
      <c r="AB3100" s="238"/>
      <c r="AC3100" s="196">
        <f t="shared" si="726"/>
        <v>0</v>
      </c>
      <c r="AD3100" s="196">
        <f t="shared" si="727"/>
        <v>0</v>
      </c>
      <c r="AE3100" s="196">
        <f t="shared" si="728"/>
        <v>0</v>
      </c>
      <c r="AF3100" s="2">
        <f t="shared" si="729"/>
        <v>0</v>
      </c>
      <c r="AG3100" s="2">
        <f t="shared" si="730"/>
        <v>0</v>
      </c>
    </row>
    <row r="3101" spans="1:33">
      <c r="A3101" s="20" t="s">
        <v>6875</v>
      </c>
      <c r="B3101" s="156" t="s">
        <v>16286</v>
      </c>
      <c r="C3101" s="21" t="s">
        <v>16287</v>
      </c>
      <c r="D3101" s="109" t="s">
        <v>15167</v>
      </c>
      <c r="E3101" s="109" t="s">
        <v>16288</v>
      </c>
      <c r="F3101" s="391" t="s">
        <v>16289</v>
      </c>
      <c r="G3101" s="23" t="s">
        <v>15621</v>
      </c>
      <c r="H3101" s="23"/>
      <c r="I3101" s="23"/>
      <c r="J3101" s="23"/>
      <c r="K3101" s="23"/>
      <c r="L3101" s="375"/>
      <c r="M3101" s="351"/>
      <c r="N3101" s="267">
        <f t="shared" si="733"/>
        <v>0</v>
      </c>
      <c r="O3101" s="268">
        <f t="shared" si="734"/>
        <v>0</v>
      </c>
      <c r="P3101" s="239"/>
      <c r="Q3101" s="239"/>
      <c r="R3101" s="239"/>
      <c r="S3101" s="239"/>
      <c r="T3101" s="239"/>
      <c r="U3101" s="240"/>
      <c r="V3101" s="240"/>
      <c r="W3101" s="240"/>
      <c r="X3101" s="278"/>
      <c r="Y3101" s="243"/>
      <c r="Z3101" s="237"/>
      <c r="AA3101" s="279"/>
      <c r="AB3101" s="238"/>
      <c r="AC3101" s="196">
        <f t="shared" si="726"/>
        <v>0</v>
      </c>
      <c r="AD3101" s="196">
        <f t="shared" si="727"/>
        <v>0</v>
      </c>
      <c r="AE3101" s="196">
        <f t="shared" si="728"/>
        <v>0</v>
      </c>
      <c r="AF3101" s="2">
        <f t="shared" si="729"/>
        <v>0</v>
      </c>
      <c r="AG3101" s="2">
        <f t="shared" si="730"/>
        <v>0</v>
      </c>
    </row>
    <row r="3102" spans="1:33">
      <c r="A3102" s="377" t="s">
        <v>10211</v>
      </c>
      <c r="B3102" s="156"/>
      <c r="C3102" s="213" t="s">
        <v>16287</v>
      </c>
      <c r="D3102" s="109" t="s">
        <v>4059</v>
      </c>
      <c r="E3102" s="109" t="s">
        <v>10227</v>
      </c>
      <c r="F3102" s="393" t="s">
        <v>9931</v>
      </c>
      <c r="G3102" s="380" t="s">
        <v>5333</v>
      </c>
      <c r="H3102" s="380" t="s">
        <v>5563</v>
      </c>
      <c r="I3102" s="380"/>
      <c r="J3102" s="380"/>
      <c r="K3102" s="380"/>
      <c r="L3102" s="375"/>
      <c r="M3102" s="351"/>
      <c r="N3102" s="267">
        <f t="shared" si="733"/>
        <v>0</v>
      </c>
      <c r="O3102" s="268">
        <f t="shared" si="734"/>
        <v>0</v>
      </c>
      <c r="P3102" s="239"/>
      <c r="Q3102" s="239"/>
      <c r="R3102" s="239"/>
      <c r="S3102" s="239"/>
      <c r="T3102" s="239"/>
      <c r="U3102" s="240"/>
      <c r="V3102" s="239"/>
      <c r="W3102" s="240"/>
      <c r="X3102" s="278"/>
      <c r="Y3102" s="239"/>
      <c r="Z3102" s="237"/>
      <c r="AA3102" s="279"/>
      <c r="AB3102" s="238"/>
      <c r="AC3102" s="196">
        <f t="shared" si="726"/>
        <v>0</v>
      </c>
      <c r="AD3102" s="196">
        <f t="shared" si="727"/>
        <v>0</v>
      </c>
      <c r="AE3102" s="196">
        <f t="shared" si="728"/>
        <v>0</v>
      </c>
      <c r="AF3102" s="2">
        <f t="shared" si="729"/>
        <v>0</v>
      </c>
      <c r="AG3102" s="2">
        <f t="shared" si="730"/>
        <v>0</v>
      </c>
    </row>
    <row r="3103" spans="1:33">
      <c r="A3103" s="20" t="s">
        <v>9637</v>
      </c>
      <c r="B3103" s="156"/>
      <c r="C3103" s="21" t="s">
        <v>16290</v>
      </c>
      <c r="D3103" s="109" t="s">
        <v>15167</v>
      </c>
      <c r="E3103" s="109" t="s">
        <v>16288</v>
      </c>
      <c r="F3103" s="391" t="s">
        <v>16289</v>
      </c>
      <c r="G3103" s="23" t="s">
        <v>16285</v>
      </c>
      <c r="H3103" s="23" t="s">
        <v>16291</v>
      </c>
      <c r="I3103" s="23" t="s">
        <v>16141</v>
      </c>
      <c r="J3103" s="23"/>
      <c r="K3103" s="23"/>
      <c r="L3103" s="375" t="s">
        <v>7787</v>
      </c>
      <c r="M3103" s="351" t="s">
        <v>7787</v>
      </c>
      <c r="N3103" s="267">
        <f t="shared" si="733"/>
        <v>0</v>
      </c>
      <c r="O3103" s="268">
        <f t="shared" si="734"/>
        <v>0</v>
      </c>
      <c r="P3103" s="239"/>
      <c r="Q3103" s="239"/>
      <c r="R3103" s="239"/>
      <c r="S3103" s="239"/>
      <c r="T3103" s="239"/>
      <c r="U3103" s="240"/>
      <c r="V3103" s="240"/>
      <c r="W3103" s="240"/>
      <c r="X3103" s="278"/>
      <c r="Y3103" s="239"/>
      <c r="Z3103" s="237"/>
      <c r="AA3103" s="279"/>
      <c r="AB3103" s="238"/>
      <c r="AC3103" s="196">
        <f t="shared" si="726"/>
        <v>0</v>
      </c>
      <c r="AD3103" s="196">
        <f t="shared" si="727"/>
        <v>0</v>
      </c>
      <c r="AE3103" s="196">
        <f t="shared" si="728"/>
        <v>0</v>
      </c>
      <c r="AF3103" s="2">
        <f t="shared" si="729"/>
        <v>0</v>
      </c>
      <c r="AG3103" s="2">
        <f t="shared" si="730"/>
        <v>0</v>
      </c>
    </row>
    <row r="3104" spans="1:33">
      <c r="A3104" s="20" t="s">
        <v>9971</v>
      </c>
      <c r="B3104" s="156"/>
      <c r="C3104" s="21" t="s">
        <v>16292</v>
      </c>
      <c r="D3104" s="109" t="s">
        <v>4059</v>
      </c>
      <c r="E3104" s="109" t="s">
        <v>16288</v>
      </c>
      <c r="F3104" s="391" t="s">
        <v>9931</v>
      </c>
      <c r="G3104" s="23" t="s">
        <v>16141</v>
      </c>
      <c r="H3104" s="23"/>
      <c r="I3104" s="23"/>
      <c r="J3104" s="23"/>
      <c r="K3104" s="23"/>
      <c r="L3104" s="375" t="s">
        <v>7787</v>
      </c>
      <c r="M3104" s="351"/>
      <c r="N3104" s="267">
        <f t="shared" si="733"/>
        <v>0</v>
      </c>
      <c r="O3104" s="268">
        <f t="shared" si="734"/>
        <v>0</v>
      </c>
      <c r="P3104" s="239"/>
      <c r="Q3104" s="239"/>
      <c r="R3104" s="239"/>
      <c r="S3104" s="239"/>
      <c r="T3104" s="239"/>
      <c r="U3104" s="240"/>
      <c r="V3104" s="240"/>
      <c r="W3104" s="240"/>
      <c r="X3104" s="278"/>
      <c r="Y3104" s="237"/>
      <c r="Z3104" s="237"/>
      <c r="AA3104" s="279"/>
      <c r="AB3104" s="238"/>
      <c r="AC3104" s="196">
        <f t="shared" si="726"/>
        <v>0</v>
      </c>
      <c r="AD3104" s="196">
        <f t="shared" si="727"/>
        <v>0</v>
      </c>
      <c r="AE3104" s="196">
        <f t="shared" si="728"/>
        <v>0</v>
      </c>
      <c r="AF3104" s="2">
        <f t="shared" si="729"/>
        <v>0</v>
      </c>
      <c r="AG3104" s="2">
        <f t="shared" si="730"/>
        <v>0</v>
      </c>
    </row>
    <row r="3105" spans="1:33">
      <c r="A3105" s="20" t="s">
        <v>9972</v>
      </c>
      <c r="B3105" s="156"/>
      <c r="C3105" s="21" t="s">
        <v>16292</v>
      </c>
      <c r="D3105" s="109" t="s">
        <v>4059</v>
      </c>
      <c r="E3105" s="109" t="s">
        <v>16293</v>
      </c>
      <c r="F3105" s="391" t="s">
        <v>9931</v>
      </c>
      <c r="G3105" s="23" t="s">
        <v>16141</v>
      </c>
      <c r="H3105" s="23" t="s">
        <v>16291</v>
      </c>
      <c r="I3105" s="23"/>
      <c r="J3105" s="23"/>
      <c r="K3105" s="23"/>
      <c r="L3105" s="375" t="s">
        <v>7787</v>
      </c>
      <c r="M3105" s="351" t="s">
        <v>7787</v>
      </c>
      <c r="N3105" s="267">
        <f t="shared" si="733"/>
        <v>0</v>
      </c>
      <c r="O3105" s="268">
        <f t="shared" si="734"/>
        <v>0</v>
      </c>
      <c r="P3105" s="239"/>
      <c r="Q3105" s="239"/>
      <c r="R3105" s="239"/>
      <c r="S3105" s="239"/>
      <c r="T3105" s="239"/>
      <c r="U3105" s="240"/>
      <c r="V3105" s="239"/>
      <c r="W3105" s="240"/>
      <c r="X3105" s="278"/>
      <c r="Y3105" s="237"/>
      <c r="Z3105" s="237"/>
      <c r="AA3105" s="279"/>
      <c r="AB3105" s="238"/>
      <c r="AC3105" s="196">
        <f t="shared" si="726"/>
        <v>0</v>
      </c>
      <c r="AD3105" s="196">
        <f t="shared" si="727"/>
        <v>0</v>
      </c>
      <c r="AE3105" s="196">
        <f t="shared" si="728"/>
        <v>0</v>
      </c>
      <c r="AF3105" s="2">
        <f t="shared" si="729"/>
        <v>0</v>
      </c>
      <c r="AG3105" s="2">
        <f t="shared" si="730"/>
        <v>0</v>
      </c>
    </row>
    <row r="3106" spans="1:33">
      <c r="A3106" s="20" t="s">
        <v>2712</v>
      </c>
      <c r="B3106" s="156" t="s">
        <v>16294</v>
      </c>
      <c r="C3106" s="21" t="s">
        <v>16295</v>
      </c>
      <c r="D3106" s="109" t="s">
        <v>15167</v>
      </c>
      <c r="E3106" s="109"/>
      <c r="F3106" s="391" t="s">
        <v>16296</v>
      </c>
      <c r="G3106" s="23" t="s">
        <v>16285</v>
      </c>
      <c r="H3106" s="23" t="s">
        <v>17859</v>
      </c>
      <c r="I3106" s="23" t="s">
        <v>13496</v>
      </c>
      <c r="J3106" s="23" t="s">
        <v>13888</v>
      </c>
      <c r="K3106" s="23"/>
      <c r="L3106" s="375" t="s">
        <v>27791</v>
      </c>
      <c r="M3106" s="351" t="s">
        <v>45</v>
      </c>
      <c r="N3106" s="267">
        <f t="shared" si="733"/>
        <v>0</v>
      </c>
      <c r="O3106" s="268">
        <f t="shared" si="734"/>
        <v>1750</v>
      </c>
      <c r="P3106" s="239"/>
      <c r="Q3106" s="239"/>
      <c r="R3106" s="240"/>
      <c r="S3106" s="239"/>
      <c r="T3106" s="240"/>
      <c r="U3106" s="240">
        <f>2450-200-500</f>
        <v>1750</v>
      </c>
      <c r="V3106" s="240"/>
      <c r="W3106" s="240"/>
      <c r="X3106" s="278"/>
      <c r="Y3106" s="237"/>
      <c r="Z3106" s="237"/>
      <c r="AA3106" s="279"/>
      <c r="AB3106" s="238" t="s">
        <v>27781</v>
      </c>
      <c r="AC3106" s="196">
        <f t="shared" si="726"/>
        <v>1750</v>
      </c>
      <c r="AD3106" s="196">
        <f t="shared" si="727"/>
        <v>1750</v>
      </c>
      <c r="AE3106" s="196">
        <f t="shared" si="728"/>
        <v>0</v>
      </c>
      <c r="AF3106" s="2">
        <f t="shared" si="729"/>
        <v>1750</v>
      </c>
      <c r="AG3106" s="2">
        <f t="shared" si="730"/>
        <v>0</v>
      </c>
    </row>
    <row r="3107" spans="1:33">
      <c r="A3107" s="20" t="s">
        <v>6876</v>
      </c>
      <c r="B3107" s="156"/>
      <c r="C3107" s="21" t="s">
        <v>5959</v>
      </c>
      <c r="D3107" s="109" t="s">
        <v>15161</v>
      </c>
      <c r="E3107" s="109"/>
      <c r="F3107" s="400" t="s">
        <v>16297</v>
      </c>
      <c r="G3107" s="23" t="s">
        <v>16238</v>
      </c>
      <c r="H3107" s="23"/>
      <c r="I3107" s="23"/>
      <c r="J3107" s="23"/>
      <c r="K3107" s="23"/>
      <c r="L3107" s="375" t="s">
        <v>7787</v>
      </c>
      <c r="M3107" s="351" t="s">
        <v>7787</v>
      </c>
      <c r="N3107" s="267">
        <f t="shared" si="733"/>
        <v>0</v>
      </c>
      <c r="O3107" s="268">
        <f t="shared" si="734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79"/>
      <c r="AB3107" s="238"/>
      <c r="AC3107" s="196">
        <f t="shared" si="726"/>
        <v>0</v>
      </c>
      <c r="AD3107" s="196">
        <f t="shared" si="727"/>
        <v>0</v>
      </c>
      <c r="AE3107" s="196">
        <f t="shared" si="728"/>
        <v>0</v>
      </c>
      <c r="AF3107" s="2">
        <f t="shared" si="729"/>
        <v>0</v>
      </c>
      <c r="AG3107" s="2">
        <f t="shared" si="730"/>
        <v>0</v>
      </c>
    </row>
    <row r="3108" spans="1:33">
      <c r="A3108" s="20" t="s">
        <v>12840</v>
      </c>
      <c r="B3108" s="156"/>
      <c r="C3108" s="21" t="s">
        <v>5959</v>
      </c>
      <c r="D3108" s="109" t="s">
        <v>16073</v>
      </c>
      <c r="E3108" s="109"/>
      <c r="F3108" s="400" t="s">
        <v>16297</v>
      </c>
      <c r="G3108" s="23" t="s">
        <v>16298</v>
      </c>
      <c r="H3108" s="23" t="s">
        <v>16188</v>
      </c>
      <c r="I3108" s="23"/>
      <c r="J3108" s="23"/>
      <c r="K3108" s="23"/>
      <c r="L3108" s="375" t="s">
        <v>7787</v>
      </c>
      <c r="M3108" s="351" t="s">
        <v>7787</v>
      </c>
      <c r="N3108" s="267">
        <f t="shared" si="733"/>
        <v>0</v>
      </c>
      <c r="O3108" s="268">
        <f t="shared" si="734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79"/>
      <c r="AB3108" s="238"/>
      <c r="AC3108" s="196">
        <f t="shared" si="726"/>
        <v>0</v>
      </c>
      <c r="AD3108" s="196">
        <f t="shared" si="727"/>
        <v>0</v>
      </c>
      <c r="AE3108" s="196">
        <f t="shared" si="728"/>
        <v>0</v>
      </c>
      <c r="AF3108" s="2">
        <f t="shared" si="729"/>
        <v>0</v>
      </c>
      <c r="AG3108" s="2">
        <f t="shared" si="730"/>
        <v>0</v>
      </c>
    </row>
    <row r="3109" spans="1:33">
      <c r="A3109" s="20" t="s">
        <v>11287</v>
      </c>
      <c r="B3109" s="156"/>
      <c r="C3109" s="21" t="s">
        <v>16299</v>
      </c>
      <c r="D3109" s="109" t="s">
        <v>16251</v>
      </c>
      <c r="E3109" s="109"/>
      <c r="F3109" s="400" t="s">
        <v>16300</v>
      </c>
      <c r="G3109" s="23" t="s">
        <v>15802</v>
      </c>
      <c r="H3109" s="23"/>
      <c r="I3109" s="23"/>
      <c r="J3109" s="23"/>
      <c r="K3109" s="23"/>
      <c r="L3109" s="375"/>
      <c r="M3109" s="351" t="s">
        <v>7787</v>
      </c>
      <c r="N3109" s="267">
        <f t="shared" si="733"/>
        <v>0</v>
      </c>
      <c r="O3109" s="268">
        <f t="shared" si="734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39"/>
      <c r="AB3109" s="238"/>
      <c r="AC3109" s="196">
        <f t="shared" si="726"/>
        <v>0</v>
      </c>
      <c r="AD3109" s="196">
        <f t="shared" si="727"/>
        <v>0</v>
      </c>
      <c r="AE3109" s="196">
        <f t="shared" si="728"/>
        <v>0</v>
      </c>
      <c r="AF3109" s="2">
        <f t="shared" si="729"/>
        <v>0</v>
      </c>
      <c r="AG3109" s="2">
        <f t="shared" si="730"/>
        <v>0</v>
      </c>
    </row>
    <row r="3110" spans="1:33">
      <c r="A3110" s="20" t="s">
        <v>6877</v>
      </c>
      <c r="B3110" s="156"/>
      <c r="C3110" s="21" t="s">
        <v>16299</v>
      </c>
      <c r="D3110" s="109" t="s">
        <v>16073</v>
      </c>
      <c r="E3110" s="109"/>
      <c r="F3110" s="400" t="s">
        <v>16300</v>
      </c>
      <c r="G3110" s="23" t="s">
        <v>16183</v>
      </c>
      <c r="H3110" s="23" t="s">
        <v>16301</v>
      </c>
      <c r="I3110" s="23" t="s">
        <v>14083</v>
      </c>
      <c r="J3110" s="23"/>
      <c r="K3110" s="23"/>
      <c r="L3110" s="375" t="s">
        <v>7787</v>
      </c>
      <c r="M3110" s="351" t="s">
        <v>7787</v>
      </c>
      <c r="N3110" s="267">
        <f t="shared" si="733"/>
        <v>0</v>
      </c>
      <c r="O3110" s="268">
        <f t="shared" si="734"/>
        <v>0</v>
      </c>
      <c r="P3110" s="239"/>
      <c r="Q3110" s="239"/>
      <c r="R3110" s="239"/>
      <c r="S3110" s="239"/>
      <c r="T3110" s="239"/>
      <c r="U3110" s="240"/>
      <c r="V3110" s="240"/>
      <c r="W3110" s="240"/>
      <c r="X3110" s="278"/>
      <c r="Y3110" s="237"/>
      <c r="Z3110" s="237"/>
      <c r="AA3110" s="279"/>
      <c r="AB3110" s="238"/>
      <c r="AC3110" s="196">
        <f t="shared" si="726"/>
        <v>0</v>
      </c>
      <c r="AD3110" s="196">
        <f t="shared" si="727"/>
        <v>0</v>
      </c>
      <c r="AE3110" s="196">
        <f t="shared" si="728"/>
        <v>0</v>
      </c>
      <c r="AF3110" s="2">
        <f t="shared" si="729"/>
        <v>0</v>
      </c>
      <c r="AG3110" s="2">
        <f t="shared" si="730"/>
        <v>0</v>
      </c>
    </row>
    <row r="3111" spans="1:33">
      <c r="A3111" s="20" t="s">
        <v>11294</v>
      </c>
      <c r="B3111" s="156"/>
      <c r="C3111" s="21" t="s">
        <v>10711</v>
      </c>
      <c r="D3111" s="109" t="s">
        <v>4070</v>
      </c>
      <c r="E3111" s="109"/>
      <c r="F3111" s="400" t="s">
        <v>10712</v>
      </c>
      <c r="G3111" s="23" t="s">
        <v>16291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33"/>
        <v>0</v>
      </c>
      <c r="O3111" s="268">
        <f t="shared" si="734"/>
        <v>0</v>
      </c>
      <c r="P3111" s="239"/>
      <c r="Q3111" s="239"/>
      <c r="R3111" s="239"/>
      <c r="S3111" s="239"/>
      <c r="T3111" s="239"/>
      <c r="U3111" s="240"/>
      <c r="V3111" s="240"/>
      <c r="W3111" s="240"/>
      <c r="X3111" s="278"/>
      <c r="Y3111" s="237"/>
      <c r="Z3111" s="237"/>
      <c r="AA3111" s="279"/>
      <c r="AB3111" s="238"/>
      <c r="AC3111" s="196">
        <f t="shared" si="726"/>
        <v>0</v>
      </c>
      <c r="AD3111" s="196">
        <f t="shared" si="727"/>
        <v>0</v>
      </c>
      <c r="AE3111" s="196">
        <f t="shared" si="728"/>
        <v>0</v>
      </c>
      <c r="AF3111" s="2">
        <f t="shared" si="729"/>
        <v>0</v>
      </c>
      <c r="AG3111" s="2">
        <f t="shared" si="730"/>
        <v>0</v>
      </c>
    </row>
    <row r="3112" spans="1:33">
      <c r="A3112" s="20" t="s">
        <v>6878</v>
      </c>
      <c r="B3112" s="156"/>
      <c r="C3112" s="21" t="s">
        <v>16302</v>
      </c>
      <c r="D3112" s="109" t="s">
        <v>16246</v>
      </c>
      <c r="E3112" s="109"/>
      <c r="F3112" s="400" t="s">
        <v>16303</v>
      </c>
      <c r="G3112" s="23" t="s">
        <v>16304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33"/>
        <v>0</v>
      </c>
      <c r="O3112" s="268">
        <f t="shared" si="734"/>
        <v>0</v>
      </c>
      <c r="P3112" s="239"/>
      <c r="Q3112" s="239"/>
      <c r="R3112" s="239"/>
      <c r="S3112" s="239"/>
      <c r="T3112" s="239"/>
      <c r="U3112" s="240"/>
      <c r="V3112" s="278"/>
      <c r="W3112" s="240"/>
      <c r="X3112" s="278"/>
      <c r="Y3112" s="237"/>
      <c r="Z3112" s="237"/>
      <c r="AA3112" s="279"/>
      <c r="AB3112" s="238"/>
      <c r="AC3112" s="196">
        <f t="shared" ref="AC3112:AC3176" si="739">SUM(P3112:AA3112)</f>
        <v>0</v>
      </c>
      <c r="AD3112" s="196">
        <f t="shared" ref="AD3112:AD3176" si="740">SUM(P3112:AB3112)</f>
        <v>0</v>
      </c>
      <c r="AE3112" s="196">
        <f t="shared" ref="AE3112:AE3176" si="741">SUM(AC3112-AD3112)</f>
        <v>0</v>
      </c>
      <c r="AF3112" s="2">
        <f t="shared" ref="AF3112:AF3176" si="742">+AC3112</f>
        <v>0</v>
      </c>
      <c r="AG3112" s="2">
        <f t="shared" ref="AG3112:AG3176" si="743">+AC3112-AF3112</f>
        <v>0</v>
      </c>
    </row>
    <row r="3113" spans="1:33">
      <c r="A3113" s="20" t="s">
        <v>6879</v>
      </c>
      <c r="B3113" s="156"/>
      <c r="C3113" s="21" t="s">
        <v>16305</v>
      </c>
      <c r="D3113" s="109" t="s">
        <v>15960</v>
      </c>
      <c r="E3113" s="109"/>
      <c r="F3113" s="400" t="s">
        <v>16306</v>
      </c>
      <c r="G3113" s="23" t="s">
        <v>16304</v>
      </c>
      <c r="H3113" s="23"/>
      <c r="I3113" s="23"/>
      <c r="J3113" s="23"/>
      <c r="K3113" s="23"/>
      <c r="L3113" s="375" t="s">
        <v>7787</v>
      </c>
      <c r="M3113" s="351" t="s">
        <v>7787</v>
      </c>
      <c r="N3113" s="267">
        <f t="shared" si="733"/>
        <v>0</v>
      </c>
      <c r="O3113" s="268">
        <f t="shared" si="734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7"/>
      <c r="Z3113" s="237"/>
      <c r="AA3113" s="279"/>
      <c r="AB3113" s="238"/>
      <c r="AC3113" s="196">
        <f t="shared" si="739"/>
        <v>0</v>
      </c>
      <c r="AD3113" s="196">
        <f t="shared" si="740"/>
        <v>0</v>
      </c>
      <c r="AE3113" s="196">
        <f t="shared" si="741"/>
        <v>0</v>
      </c>
      <c r="AF3113" s="2">
        <f t="shared" si="742"/>
        <v>0</v>
      </c>
      <c r="AG3113" s="2">
        <f t="shared" si="743"/>
        <v>0</v>
      </c>
    </row>
    <row r="3114" spans="1:33">
      <c r="A3114" s="20" t="s">
        <v>11847</v>
      </c>
      <c r="B3114" s="156"/>
      <c r="C3114" s="21" t="s">
        <v>16305</v>
      </c>
      <c r="D3114" s="109" t="s">
        <v>15960</v>
      </c>
      <c r="E3114" s="109"/>
      <c r="F3114" s="400" t="s">
        <v>16307</v>
      </c>
      <c r="G3114" s="23" t="s">
        <v>16291</v>
      </c>
      <c r="H3114" s="23"/>
      <c r="I3114" s="23"/>
      <c r="J3114" s="23"/>
      <c r="K3114" s="23"/>
      <c r="L3114" s="375" t="s">
        <v>7787</v>
      </c>
      <c r="M3114" s="351" t="s">
        <v>7787</v>
      </c>
      <c r="N3114" s="267">
        <f t="shared" si="733"/>
        <v>0</v>
      </c>
      <c r="O3114" s="268">
        <f t="shared" si="734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7"/>
      <c r="Z3114" s="237"/>
      <c r="AA3114" s="279"/>
      <c r="AB3114" s="238"/>
      <c r="AC3114" s="196">
        <f t="shared" si="739"/>
        <v>0</v>
      </c>
      <c r="AD3114" s="196">
        <f t="shared" si="740"/>
        <v>0</v>
      </c>
      <c r="AE3114" s="196">
        <f t="shared" si="741"/>
        <v>0</v>
      </c>
      <c r="AF3114" s="2">
        <f t="shared" si="742"/>
        <v>0</v>
      </c>
      <c r="AG3114" s="2">
        <f t="shared" si="743"/>
        <v>0</v>
      </c>
    </row>
    <row r="3115" spans="1:33">
      <c r="A3115" s="20" t="s">
        <v>7039</v>
      </c>
      <c r="B3115" s="156"/>
      <c r="C3115" s="21" t="s">
        <v>16305</v>
      </c>
      <c r="D3115" s="109" t="s">
        <v>15960</v>
      </c>
      <c r="E3115" s="109" t="s">
        <v>15965</v>
      </c>
      <c r="F3115" s="400" t="s">
        <v>16306</v>
      </c>
      <c r="G3115" s="23" t="s">
        <v>16304</v>
      </c>
      <c r="H3115" s="23"/>
      <c r="I3115" s="23"/>
      <c r="J3115" s="23"/>
      <c r="K3115" s="23"/>
      <c r="L3115" s="350"/>
      <c r="M3115" s="357"/>
      <c r="N3115" s="267">
        <f t="shared" si="733"/>
        <v>0</v>
      </c>
      <c r="O3115" s="268">
        <f t="shared" si="734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9"/>
      <c r="Z3115" s="237"/>
      <c r="AA3115" s="279"/>
      <c r="AB3115" s="238"/>
      <c r="AC3115" s="196">
        <f t="shared" si="739"/>
        <v>0</v>
      </c>
      <c r="AD3115" s="196">
        <f t="shared" si="740"/>
        <v>0</v>
      </c>
      <c r="AE3115" s="196">
        <f t="shared" si="741"/>
        <v>0</v>
      </c>
      <c r="AF3115" s="2">
        <f t="shared" si="742"/>
        <v>0</v>
      </c>
      <c r="AG3115" s="2">
        <f t="shared" si="743"/>
        <v>0</v>
      </c>
    </row>
    <row r="3116" spans="1:33">
      <c r="A3116" s="20" t="s">
        <v>18674</v>
      </c>
      <c r="B3116" s="156"/>
      <c r="C3116" s="21" t="s">
        <v>6074</v>
      </c>
      <c r="D3116" s="109" t="s">
        <v>3097</v>
      </c>
      <c r="E3116" s="202" t="s">
        <v>18395</v>
      </c>
      <c r="F3116" s="400" t="s">
        <v>6092</v>
      </c>
      <c r="G3116" s="23" t="s">
        <v>15443</v>
      </c>
      <c r="H3116" s="23"/>
      <c r="I3116" s="23"/>
      <c r="J3116" s="23"/>
      <c r="K3116" s="23"/>
      <c r="L3116" s="350"/>
      <c r="M3116" s="357"/>
      <c r="N3116" s="267">
        <f t="shared" si="733"/>
        <v>0</v>
      </c>
      <c r="O3116" s="268">
        <f t="shared" si="734"/>
        <v>0</v>
      </c>
      <c r="P3116" s="239"/>
      <c r="Q3116" s="239"/>
      <c r="R3116" s="239"/>
      <c r="S3116" s="239"/>
      <c r="T3116" s="239"/>
      <c r="U3116" s="240"/>
      <c r="V3116" s="240"/>
      <c r="W3116" s="240"/>
      <c r="X3116" s="278"/>
      <c r="Y3116" s="239"/>
      <c r="Z3116" s="237"/>
      <c r="AA3116" s="279"/>
      <c r="AB3116" s="238"/>
      <c r="AC3116" s="196">
        <f t="shared" si="739"/>
        <v>0</v>
      </c>
      <c r="AD3116" s="196">
        <f t="shared" si="740"/>
        <v>0</v>
      </c>
      <c r="AE3116" s="196">
        <f t="shared" si="741"/>
        <v>0</v>
      </c>
      <c r="AF3116" s="2">
        <f t="shared" si="742"/>
        <v>0</v>
      </c>
      <c r="AG3116" s="2">
        <f t="shared" si="743"/>
        <v>0</v>
      </c>
    </row>
    <row r="3117" spans="1:33">
      <c r="A3117" s="20" t="s">
        <v>6880</v>
      </c>
      <c r="B3117" s="156"/>
      <c r="C3117" s="21" t="s">
        <v>16308</v>
      </c>
      <c r="D3117" s="109" t="s">
        <v>15167</v>
      </c>
      <c r="E3117" s="109"/>
      <c r="F3117" s="400" t="s">
        <v>16309</v>
      </c>
      <c r="G3117" s="23" t="s">
        <v>16310</v>
      </c>
      <c r="H3117" s="23" t="s">
        <v>16311</v>
      </c>
      <c r="I3117" s="23"/>
      <c r="J3117" s="23"/>
      <c r="K3117" s="23"/>
      <c r="L3117" s="375"/>
      <c r="M3117" s="351" t="s">
        <v>7787</v>
      </c>
      <c r="N3117" s="267">
        <f t="shared" si="733"/>
        <v>0</v>
      </c>
      <c r="O3117" s="268">
        <f t="shared" si="734"/>
        <v>0</v>
      </c>
      <c r="P3117" s="239"/>
      <c r="Q3117" s="239"/>
      <c r="R3117" s="239"/>
      <c r="S3117" s="239"/>
      <c r="T3117" s="239"/>
      <c r="U3117" s="240"/>
      <c r="V3117" s="240"/>
      <c r="W3117" s="240"/>
      <c r="X3117" s="278"/>
      <c r="Y3117" s="237"/>
      <c r="Z3117" s="237"/>
      <c r="AA3117" s="279"/>
      <c r="AB3117" s="238"/>
      <c r="AC3117" s="196">
        <f t="shared" si="739"/>
        <v>0</v>
      </c>
      <c r="AD3117" s="196">
        <f t="shared" si="740"/>
        <v>0</v>
      </c>
      <c r="AE3117" s="196">
        <f t="shared" si="741"/>
        <v>0</v>
      </c>
      <c r="AF3117" s="2">
        <f t="shared" si="742"/>
        <v>0</v>
      </c>
      <c r="AG3117" s="2">
        <f t="shared" si="743"/>
        <v>0</v>
      </c>
    </row>
    <row r="3118" spans="1:33">
      <c r="A3118" s="20" t="s">
        <v>7106</v>
      </c>
      <c r="B3118" s="156"/>
      <c r="C3118" s="21" t="s">
        <v>16312</v>
      </c>
      <c r="D3118" s="109" t="s">
        <v>16313</v>
      </c>
      <c r="E3118" s="109"/>
      <c r="F3118" s="400" t="s">
        <v>16314</v>
      </c>
      <c r="G3118" s="23" t="s">
        <v>16141</v>
      </c>
      <c r="H3118" s="23" t="s">
        <v>13370</v>
      </c>
      <c r="I3118" s="23" t="s">
        <v>17522</v>
      </c>
      <c r="J3118" s="23" t="s">
        <v>24744</v>
      </c>
      <c r="K3118" s="23" t="s">
        <v>25256</v>
      </c>
      <c r="L3118" s="375" t="s">
        <v>27904</v>
      </c>
      <c r="M3118" s="351" t="s">
        <v>7787</v>
      </c>
      <c r="N3118" s="267">
        <f t="shared" si="733"/>
        <v>0</v>
      </c>
      <c r="O3118" s="268">
        <f t="shared" si="734"/>
        <v>2200</v>
      </c>
      <c r="P3118" s="239"/>
      <c r="Q3118" s="239">
        <f>2750-450-150+150-100</f>
        <v>2200</v>
      </c>
      <c r="R3118" s="239"/>
      <c r="S3118" s="239"/>
      <c r="T3118" s="239"/>
      <c r="U3118" s="240"/>
      <c r="V3118" s="240"/>
      <c r="W3118" s="240"/>
      <c r="X3118" s="278"/>
      <c r="Y3118" s="237"/>
      <c r="Z3118" s="237"/>
      <c r="AA3118" s="239"/>
      <c r="AB3118" s="238" t="s">
        <v>27901</v>
      </c>
      <c r="AC3118" s="196">
        <f t="shared" si="739"/>
        <v>2200</v>
      </c>
      <c r="AD3118" s="196">
        <f t="shared" si="740"/>
        <v>2200</v>
      </c>
      <c r="AE3118" s="196">
        <f t="shared" si="741"/>
        <v>0</v>
      </c>
      <c r="AF3118" s="2">
        <f t="shared" si="742"/>
        <v>2200</v>
      </c>
      <c r="AG3118" s="2">
        <f t="shared" si="743"/>
        <v>0</v>
      </c>
    </row>
    <row r="3119" spans="1:33">
      <c r="A3119" s="20" t="s">
        <v>6881</v>
      </c>
      <c r="B3119" s="156"/>
      <c r="C3119" s="21" t="s">
        <v>16315</v>
      </c>
      <c r="D3119" s="109" t="s">
        <v>16073</v>
      </c>
      <c r="E3119" s="109"/>
      <c r="F3119" s="400" t="s">
        <v>16316</v>
      </c>
      <c r="G3119" s="23" t="s">
        <v>26478</v>
      </c>
      <c r="H3119" s="23" t="s">
        <v>16317</v>
      </c>
      <c r="I3119" s="23" t="s">
        <v>16318</v>
      </c>
      <c r="J3119" s="23" t="s">
        <v>16319</v>
      </c>
      <c r="K3119" s="23" t="s">
        <v>21144</v>
      </c>
      <c r="L3119" s="375" t="s">
        <v>45</v>
      </c>
      <c r="M3119" s="351" t="s">
        <v>7787</v>
      </c>
      <c r="N3119" s="267">
        <f t="shared" si="733"/>
        <v>0</v>
      </c>
      <c r="O3119" s="268">
        <f t="shared" si="734"/>
        <v>50</v>
      </c>
      <c r="P3119" s="239"/>
      <c r="Q3119" s="239">
        <f>200-100+200-150-100</f>
        <v>50</v>
      </c>
      <c r="R3119" s="239"/>
      <c r="S3119" s="239"/>
      <c r="T3119" s="239"/>
      <c r="U3119" s="240"/>
      <c r="V3119" s="239"/>
      <c r="W3119" s="240"/>
      <c r="X3119" s="278"/>
      <c r="Y3119" s="237"/>
      <c r="Z3119" s="237"/>
      <c r="AA3119" s="279" t="s">
        <v>11890</v>
      </c>
      <c r="AB3119" s="238" t="s">
        <v>26998</v>
      </c>
      <c r="AC3119" s="196">
        <f t="shared" si="739"/>
        <v>50</v>
      </c>
      <c r="AD3119" s="196">
        <f t="shared" si="740"/>
        <v>50</v>
      </c>
      <c r="AE3119" s="196">
        <f t="shared" si="741"/>
        <v>0</v>
      </c>
      <c r="AF3119" s="2">
        <f t="shared" si="742"/>
        <v>50</v>
      </c>
      <c r="AG3119" s="2">
        <f t="shared" si="743"/>
        <v>0</v>
      </c>
    </row>
    <row r="3120" spans="1:33">
      <c r="A3120" s="20" t="s">
        <v>7123</v>
      </c>
      <c r="B3120" s="156" t="s">
        <v>16320</v>
      </c>
      <c r="C3120" s="21" t="s">
        <v>16321</v>
      </c>
      <c r="D3120" s="109" t="s">
        <v>16189</v>
      </c>
      <c r="E3120" s="109"/>
      <c r="F3120" s="400" t="s">
        <v>16322</v>
      </c>
      <c r="G3120" s="23" t="s">
        <v>16232</v>
      </c>
      <c r="H3120" s="23"/>
      <c r="I3120" s="23"/>
      <c r="J3120" s="23"/>
      <c r="K3120" s="23"/>
      <c r="L3120" s="375" t="s">
        <v>7787</v>
      </c>
      <c r="M3120" s="351"/>
      <c r="N3120" s="267">
        <f t="shared" si="733"/>
        <v>0</v>
      </c>
      <c r="O3120" s="268">
        <f t="shared" si="734"/>
        <v>0</v>
      </c>
      <c r="P3120" s="239"/>
      <c r="Q3120" s="239"/>
      <c r="R3120" s="239"/>
      <c r="S3120" s="239"/>
      <c r="T3120" s="239"/>
      <c r="U3120" s="244"/>
      <c r="V3120" s="244"/>
      <c r="W3120" s="240"/>
      <c r="X3120" s="278"/>
      <c r="Y3120" s="237"/>
      <c r="Z3120" s="237"/>
      <c r="AA3120" s="279"/>
      <c r="AB3120" s="238"/>
      <c r="AC3120" s="196">
        <f t="shared" si="739"/>
        <v>0</v>
      </c>
      <c r="AD3120" s="196">
        <f t="shared" si="740"/>
        <v>0</v>
      </c>
      <c r="AE3120" s="196">
        <f t="shared" si="741"/>
        <v>0</v>
      </c>
      <c r="AF3120" s="2">
        <f t="shared" si="742"/>
        <v>0</v>
      </c>
      <c r="AG3120" s="2">
        <f t="shared" si="743"/>
        <v>0</v>
      </c>
    </row>
    <row r="3121" spans="1:33">
      <c r="A3121" s="20" t="s">
        <v>6882</v>
      </c>
      <c r="B3121" s="156"/>
      <c r="C3121" s="21" t="s">
        <v>16323</v>
      </c>
      <c r="D3121" s="109" t="s">
        <v>16186</v>
      </c>
      <c r="E3121" s="109"/>
      <c r="F3121" s="391" t="s">
        <v>16324</v>
      </c>
      <c r="G3121" s="23" t="s">
        <v>16304</v>
      </c>
      <c r="H3121" s="23"/>
      <c r="I3121" s="23"/>
      <c r="J3121" s="23"/>
      <c r="K3121" s="23"/>
      <c r="L3121" s="375" t="s">
        <v>7787</v>
      </c>
      <c r="M3121" s="360" t="s">
        <v>7787</v>
      </c>
      <c r="N3121" s="267">
        <f t="shared" si="733"/>
        <v>0</v>
      </c>
      <c r="O3121" s="268">
        <f t="shared" si="734"/>
        <v>0</v>
      </c>
      <c r="P3121" s="239"/>
      <c r="Q3121" s="239"/>
      <c r="R3121" s="239"/>
      <c r="S3121" s="239"/>
      <c r="T3121" s="239"/>
      <c r="U3121" s="239"/>
      <c r="V3121" s="239"/>
      <c r="W3121" s="240"/>
      <c r="X3121" s="278"/>
      <c r="Y3121" s="237"/>
      <c r="Z3121" s="237"/>
      <c r="AA3121" s="239"/>
      <c r="AB3121" s="238"/>
      <c r="AC3121" s="196">
        <f t="shared" si="739"/>
        <v>0</v>
      </c>
      <c r="AD3121" s="196">
        <f t="shared" si="740"/>
        <v>0</v>
      </c>
      <c r="AE3121" s="196">
        <f t="shared" si="741"/>
        <v>0</v>
      </c>
      <c r="AF3121" s="2">
        <f t="shared" si="742"/>
        <v>0</v>
      </c>
      <c r="AG3121" s="2">
        <f t="shared" si="743"/>
        <v>0</v>
      </c>
    </row>
    <row r="3122" spans="1:33">
      <c r="A3122" s="20" t="s">
        <v>6883</v>
      </c>
      <c r="B3122" s="156" t="s">
        <v>16325</v>
      </c>
      <c r="C3122" s="21" t="s">
        <v>16326</v>
      </c>
      <c r="D3122" s="109" t="s">
        <v>15167</v>
      </c>
      <c r="E3122" s="109"/>
      <c r="F3122" s="391" t="s">
        <v>16327</v>
      </c>
      <c r="G3122" s="23" t="s">
        <v>16238</v>
      </c>
      <c r="H3122" s="23" t="s">
        <v>16285</v>
      </c>
      <c r="I3122" s="23"/>
      <c r="J3122" s="23"/>
      <c r="K3122" s="23"/>
      <c r="L3122" s="350"/>
      <c r="M3122" s="351"/>
      <c r="N3122" s="267">
        <f t="shared" si="733"/>
        <v>0</v>
      </c>
      <c r="O3122" s="268">
        <f t="shared" si="734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79"/>
      <c r="AB3122" s="238"/>
      <c r="AC3122" s="196">
        <f t="shared" si="739"/>
        <v>0</v>
      </c>
      <c r="AD3122" s="196">
        <f t="shared" si="740"/>
        <v>0</v>
      </c>
      <c r="AE3122" s="196">
        <f t="shared" si="741"/>
        <v>0</v>
      </c>
      <c r="AF3122" s="2">
        <f t="shared" si="742"/>
        <v>0</v>
      </c>
      <c r="AG3122" s="2">
        <f t="shared" si="743"/>
        <v>0</v>
      </c>
    </row>
    <row r="3123" spans="1:33">
      <c r="A3123" s="20" t="s">
        <v>10456</v>
      </c>
      <c r="B3123" s="156"/>
      <c r="C3123" s="21" t="s">
        <v>16328</v>
      </c>
      <c r="D3123" s="109" t="s">
        <v>16329</v>
      </c>
      <c r="E3123" s="109"/>
      <c r="F3123" s="400" t="s">
        <v>16316</v>
      </c>
      <c r="G3123" s="23" t="s">
        <v>16183</v>
      </c>
      <c r="H3123" s="23" t="s">
        <v>13353</v>
      </c>
      <c r="I3123" s="23"/>
      <c r="J3123" s="23"/>
      <c r="K3123" s="23"/>
      <c r="L3123" s="375" t="s">
        <v>7787</v>
      </c>
      <c r="M3123" s="351" t="s">
        <v>7787</v>
      </c>
      <c r="N3123" s="267">
        <f t="shared" si="733"/>
        <v>0</v>
      </c>
      <c r="O3123" s="268">
        <f t="shared" si="734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39"/>
      <c r="AB3123" s="238"/>
      <c r="AC3123" s="196">
        <f t="shared" si="739"/>
        <v>0</v>
      </c>
      <c r="AD3123" s="196">
        <f t="shared" si="740"/>
        <v>0</v>
      </c>
      <c r="AE3123" s="196">
        <f t="shared" si="741"/>
        <v>0</v>
      </c>
      <c r="AF3123" s="2">
        <f t="shared" si="742"/>
        <v>0</v>
      </c>
      <c r="AG3123" s="2">
        <f t="shared" si="743"/>
        <v>0</v>
      </c>
    </row>
    <row r="3124" spans="1:33">
      <c r="A3124" s="20" t="s">
        <v>17426</v>
      </c>
      <c r="B3124" s="156"/>
      <c r="C3124" s="21" t="s">
        <v>10524</v>
      </c>
      <c r="D3124" s="109" t="s">
        <v>3096</v>
      </c>
      <c r="E3124" s="109"/>
      <c r="F3124" s="400" t="s">
        <v>6546</v>
      </c>
      <c r="G3124" s="23" t="s">
        <v>17852</v>
      </c>
      <c r="H3124" s="23" t="s">
        <v>13271</v>
      </c>
      <c r="I3124" s="23"/>
      <c r="J3124" s="23"/>
      <c r="K3124" s="23"/>
      <c r="L3124" s="375" t="s">
        <v>7787</v>
      </c>
      <c r="M3124" s="351"/>
      <c r="N3124" s="267">
        <f t="shared" si="733"/>
        <v>0</v>
      </c>
      <c r="O3124" s="268">
        <f t="shared" si="734"/>
        <v>0</v>
      </c>
      <c r="P3124" s="239"/>
      <c r="Q3124" s="239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9"/>
        <v>0</v>
      </c>
      <c r="AD3124" s="196">
        <f t="shared" si="740"/>
        <v>0</v>
      </c>
      <c r="AE3124" s="196">
        <f t="shared" si="741"/>
        <v>0</v>
      </c>
      <c r="AF3124" s="2">
        <f t="shared" si="742"/>
        <v>0</v>
      </c>
      <c r="AG3124" s="2">
        <f t="shared" si="743"/>
        <v>0</v>
      </c>
    </row>
    <row r="3125" spans="1:33">
      <c r="A3125" s="20" t="s">
        <v>6884</v>
      </c>
      <c r="B3125" s="156" t="s">
        <v>16330</v>
      </c>
      <c r="C3125" s="21" t="s">
        <v>16331</v>
      </c>
      <c r="D3125" s="109" t="s">
        <v>16231</v>
      </c>
      <c r="E3125" s="109"/>
      <c r="F3125" s="391" t="s">
        <v>16332</v>
      </c>
      <c r="G3125" s="23" t="s">
        <v>16333</v>
      </c>
      <c r="H3125" s="23"/>
      <c r="I3125" s="23"/>
      <c r="J3125" s="23"/>
      <c r="K3125" s="23"/>
      <c r="L3125" s="375" t="s">
        <v>7787</v>
      </c>
      <c r="M3125" s="351" t="s">
        <v>7787</v>
      </c>
      <c r="N3125" s="267">
        <f t="shared" si="733"/>
        <v>0</v>
      </c>
      <c r="O3125" s="268">
        <f t="shared" si="734"/>
        <v>0</v>
      </c>
      <c r="P3125" s="239"/>
      <c r="Q3125" s="239"/>
      <c r="R3125" s="239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9"/>
        <v>0</v>
      </c>
      <c r="AD3125" s="196">
        <f t="shared" si="740"/>
        <v>0</v>
      </c>
      <c r="AE3125" s="196">
        <f t="shared" si="741"/>
        <v>0</v>
      </c>
      <c r="AF3125" s="2">
        <f t="shared" si="742"/>
        <v>0</v>
      </c>
      <c r="AG3125" s="2">
        <f t="shared" si="743"/>
        <v>0</v>
      </c>
    </row>
    <row r="3126" spans="1:33">
      <c r="A3126" s="20" t="s">
        <v>6885</v>
      </c>
      <c r="B3126" s="156" t="s">
        <v>6574</v>
      </c>
      <c r="C3126" s="21" t="s">
        <v>16334</v>
      </c>
      <c r="D3126" s="109" t="s">
        <v>15167</v>
      </c>
      <c r="E3126" s="109"/>
      <c r="F3126" s="391" t="s">
        <v>16335</v>
      </c>
      <c r="G3126" s="23" t="s">
        <v>16285</v>
      </c>
      <c r="H3126" s="23"/>
      <c r="I3126" s="23"/>
      <c r="J3126" s="23"/>
      <c r="K3126" s="23"/>
      <c r="L3126" s="350"/>
      <c r="M3126" s="351"/>
      <c r="N3126" s="267">
        <f t="shared" si="733"/>
        <v>0</v>
      </c>
      <c r="O3126" s="268">
        <f t="shared" si="734"/>
        <v>0</v>
      </c>
      <c r="P3126" s="239"/>
      <c r="Q3126" s="248"/>
      <c r="R3126" s="239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9"/>
        <v>0</v>
      </c>
      <c r="AD3126" s="196">
        <f t="shared" si="740"/>
        <v>0</v>
      </c>
      <c r="AE3126" s="196">
        <f t="shared" si="741"/>
        <v>0</v>
      </c>
      <c r="AF3126" s="2">
        <f t="shared" si="742"/>
        <v>0</v>
      </c>
      <c r="AG3126" s="2">
        <f t="shared" si="743"/>
        <v>0</v>
      </c>
    </row>
    <row r="3127" spans="1:33">
      <c r="A3127" s="20" t="s">
        <v>7122</v>
      </c>
      <c r="B3127" s="156" t="s">
        <v>7387</v>
      </c>
      <c r="C3127" s="21" t="s">
        <v>7388</v>
      </c>
      <c r="D3127" s="109" t="s">
        <v>7389</v>
      </c>
      <c r="E3127" s="109"/>
      <c r="F3127" s="391" t="s">
        <v>7390</v>
      </c>
      <c r="G3127" s="23" t="s">
        <v>7391</v>
      </c>
      <c r="H3127" s="23"/>
      <c r="I3127" s="23"/>
      <c r="J3127" s="23"/>
      <c r="K3127" s="23"/>
      <c r="L3127" s="350"/>
      <c r="M3127" s="351"/>
      <c r="N3127" s="267">
        <f t="shared" si="733"/>
        <v>0</v>
      </c>
      <c r="O3127" s="268">
        <f t="shared" si="734"/>
        <v>0</v>
      </c>
      <c r="P3127" s="239"/>
      <c r="Q3127" s="239"/>
      <c r="R3127" s="248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9"/>
        <v>0</v>
      </c>
      <c r="AD3127" s="196">
        <f t="shared" si="740"/>
        <v>0</v>
      </c>
      <c r="AE3127" s="196">
        <f t="shared" si="741"/>
        <v>0</v>
      </c>
      <c r="AF3127" s="2">
        <f t="shared" si="742"/>
        <v>0</v>
      </c>
      <c r="AG3127" s="2">
        <f t="shared" si="743"/>
        <v>0</v>
      </c>
    </row>
    <row r="3128" spans="1:33">
      <c r="A3128" s="20" t="s">
        <v>6886</v>
      </c>
      <c r="B3128" s="156"/>
      <c r="C3128" s="21" t="s">
        <v>16336</v>
      </c>
      <c r="D3128" s="109" t="s">
        <v>16216</v>
      </c>
      <c r="E3128" s="109"/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33"/>
        <v>0</v>
      </c>
      <c r="O3128" s="268">
        <f t="shared" si="734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37"/>
      <c r="Z3128" s="237"/>
      <c r="AA3128" s="279"/>
      <c r="AB3128" s="238"/>
      <c r="AC3128" s="196">
        <f t="shared" si="739"/>
        <v>0</v>
      </c>
      <c r="AD3128" s="196">
        <f t="shared" si="740"/>
        <v>0</v>
      </c>
      <c r="AE3128" s="196">
        <f t="shared" si="741"/>
        <v>0</v>
      </c>
      <c r="AF3128" s="2">
        <f t="shared" si="742"/>
        <v>0</v>
      </c>
      <c r="AG3128" s="2">
        <f t="shared" si="743"/>
        <v>0</v>
      </c>
    </row>
    <row r="3129" spans="1:33">
      <c r="A3129" s="20" t="s">
        <v>7867</v>
      </c>
      <c r="B3129" s="156"/>
      <c r="C3129" s="21" t="s">
        <v>16338</v>
      </c>
      <c r="D3129" s="109" t="s">
        <v>16186</v>
      </c>
      <c r="E3129" s="109" t="s">
        <v>16339</v>
      </c>
      <c r="F3129" s="391" t="s">
        <v>16337</v>
      </c>
      <c r="G3129" s="23" t="s">
        <v>16304</v>
      </c>
      <c r="H3129" s="23"/>
      <c r="I3129" s="23"/>
      <c r="J3129" s="23"/>
      <c r="K3129" s="23"/>
      <c r="L3129" s="375" t="s">
        <v>7787</v>
      </c>
      <c r="M3129" s="351" t="s">
        <v>7787</v>
      </c>
      <c r="N3129" s="267">
        <f t="shared" si="733"/>
        <v>0</v>
      </c>
      <c r="O3129" s="268">
        <f t="shared" si="734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37"/>
      <c r="Z3129" s="237"/>
      <c r="AA3129" s="279"/>
      <c r="AB3129" s="238"/>
      <c r="AC3129" s="196">
        <f t="shared" si="739"/>
        <v>0</v>
      </c>
      <c r="AD3129" s="196">
        <f t="shared" si="740"/>
        <v>0</v>
      </c>
      <c r="AE3129" s="196">
        <f t="shared" si="741"/>
        <v>0</v>
      </c>
      <c r="AF3129" s="2">
        <f t="shared" si="742"/>
        <v>0</v>
      </c>
      <c r="AG3129" s="2">
        <f t="shared" si="743"/>
        <v>0</v>
      </c>
    </row>
    <row r="3130" spans="1:33">
      <c r="A3130" s="20" t="s">
        <v>6887</v>
      </c>
      <c r="B3130" s="156"/>
      <c r="C3130" s="21" t="s">
        <v>16340</v>
      </c>
      <c r="D3130" s="109" t="s">
        <v>16216</v>
      </c>
      <c r="E3130" s="109"/>
      <c r="F3130" s="391" t="s">
        <v>16337</v>
      </c>
      <c r="G3130" s="23" t="s">
        <v>16304</v>
      </c>
      <c r="H3130" s="23"/>
      <c r="I3130" s="23"/>
      <c r="J3130" s="23"/>
      <c r="K3130" s="23"/>
      <c r="L3130" s="375" t="s">
        <v>7787</v>
      </c>
      <c r="M3130" s="351" t="s">
        <v>7787</v>
      </c>
      <c r="N3130" s="267">
        <f t="shared" si="733"/>
        <v>0</v>
      </c>
      <c r="O3130" s="268">
        <f t="shared" si="734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40"/>
      <c r="Z3130" s="237"/>
      <c r="AA3130" s="279"/>
      <c r="AB3130" s="238"/>
      <c r="AC3130" s="196">
        <f t="shared" si="739"/>
        <v>0</v>
      </c>
      <c r="AD3130" s="196">
        <f t="shared" si="740"/>
        <v>0</v>
      </c>
      <c r="AE3130" s="196">
        <f t="shared" si="741"/>
        <v>0</v>
      </c>
      <c r="AF3130" s="2">
        <f t="shared" si="742"/>
        <v>0</v>
      </c>
      <c r="AG3130" s="2">
        <f t="shared" si="743"/>
        <v>0</v>
      </c>
    </row>
    <row r="3131" spans="1:33">
      <c r="A3131" s="20" t="s">
        <v>6888</v>
      </c>
      <c r="B3131" s="156"/>
      <c r="C3131" s="21" t="s">
        <v>16341</v>
      </c>
      <c r="D3131" s="109" t="s">
        <v>15167</v>
      </c>
      <c r="E3131" s="109"/>
      <c r="F3131" s="391" t="s">
        <v>16342</v>
      </c>
      <c r="G3131" s="23" t="s">
        <v>16285</v>
      </c>
      <c r="H3131" s="23"/>
      <c r="I3131" s="23"/>
      <c r="J3131" s="23"/>
      <c r="K3131" s="23"/>
      <c r="L3131" s="350"/>
      <c r="M3131" s="351"/>
      <c r="N3131" s="267">
        <f t="shared" si="733"/>
        <v>0</v>
      </c>
      <c r="O3131" s="268">
        <f t="shared" si="734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79"/>
      <c r="AB3131" s="238"/>
      <c r="AC3131" s="196">
        <f t="shared" si="739"/>
        <v>0</v>
      </c>
      <c r="AD3131" s="196">
        <f t="shared" si="740"/>
        <v>0</v>
      </c>
      <c r="AE3131" s="196">
        <f t="shared" si="741"/>
        <v>0</v>
      </c>
      <c r="AF3131" s="2">
        <f t="shared" si="742"/>
        <v>0</v>
      </c>
      <c r="AG3131" s="2">
        <f t="shared" si="743"/>
        <v>0</v>
      </c>
    </row>
    <row r="3132" spans="1:33">
      <c r="A3132" s="20" t="s">
        <v>6889</v>
      </c>
      <c r="B3132" s="156"/>
      <c r="C3132" s="21" t="s">
        <v>16343</v>
      </c>
      <c r="D3132" s="109" t="s">
        <v>16186</v>
      </c>
      <c r="E3132" s="109"/>
      <c r="F3132" s="391" t="s">
        <v>16344</v>
      </c>
      <c r="G3132" s="23" t="s">
        <v>16304</v>
      </c>
      <c r="H3132" s="23" t="s">
        <v>16345</v>
      </c>
      <c r="I3132" s="23"/>
      <c r="J3132" s="23"/>
      <c r="K3132" s="23"/>
      <c r="L3132" s="375" t="s">
        <v>7787</v>
      </c>
      <c r="M3132" s="351" t="s">
        <v>7787</v>
      </c>
      <c r="N3132" s="267">
        <f t="shared" si="733"/>
        <v>0</v>
      </c>
      <c r="O3132" s="268">
        <f t="shared" si="734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37"/>
      <c r="Z3132" s="237"/>
      <c r="AA3132" s="237"/>
      <c r="AB3132" s="238"/>
      <c r="AC3132" s="196">
        <f t="shared" si="739"/>
        <v>0</v>
      </c>
      <c r="AD3132" s="196">
        <f t="shared" si="740"/>
        <v>0</v>
      </c>
      <c r="AE3132" s="196">
        <f t="shared" si="741"/>
        <v>0</v>
      </c>
      <c r="AF3132" s="2">
        <f t="shared" si="742"/>
        <v>0</v>
      </c>
      <c r="AG3132" s="2">
        <f t="shared" si="743"/>
        <v>0</v>
      </c>
    </row>
    <row r="3133" spans="1:33">
      <c r="A3133" s="20" t="s">
        <v>6889</v>
      </c>
      <c r="B3133" s="156"/>
      <c r="C3133" s="21" t="s">
        <v>16346</v>
      </c>
      <c r="D3133" s="109" t="s">
        <v>7954</v>
      </c>
      <c r="E3133" s="109"/>
      <c r="F3133" s="391" t="s">
        <v>16347</v>
      </c>
      <c r="G3133" s="23" t="s">
        <v>16183</v>
      </c>
      <c r="H3133" s="23"/>
      <c r="I3133" s="23"/>
      <c r="J3133" s="23"/>
      <c r="K3133" s="23"/>
      <c r="L3133" s="375"/>
      <c r="M3133" s="351" t="s">
        <v>7787</v>
      </c>
      <c r="N3133" s="267">
        <f t="shared" si="733"/>
        <v>0</v>
      </c>
      <c r="O3133" s="268">
        <f t="shared" si="734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37"/>
      <c r="Z3133" s="237"/>
      <c r="AA3133" s="279"/>
      <c r="AB3133" s="238"/>
      <c r="AC3133" s="196">
        <f t="shared" si="739"/>
        <v>0</v>
      </c>
      <c r="AD3133" s="196">
        <f t="shared" si="740"/>
        <v>0</v>
      </c>
      <c r="AE3133" s="196">
        <f t="shared" si="741"/>
        <v>0</v>
      </c>
      <c r="AF3133" s="2">
        <f t="shared" si="742"/>
        <v>0</v>
      </c>
      <c r="AG3133" s="2">
        <f t="shared" si="743"/>
        <v>0</v>
      </c>
    </row>
    <row r="3134" spans="1:33">
      <c r="A3134" s="20" t="s">
        <v>7513</v>
      </c>
      <c r="B3134" s="156"/>
      <c r="C3134" s="21" t="s">
        <v>16346</v>
      </c>
      <c r="D3134" s="109" t="s">
        <v>16186</v>
      </c>
      <c r="E3134" s="109"/>
      <c r="F3134" s="391" t="s">
        <v>16344</v>
      </c>
      <c r="G3134" s="23" t="s">
        <v>16304</v>
      </c>
      <c r="H3134" s="23"/>
      <c r="I3134" s="23"/>
      <c r="J3134" s="23"/>
      <c r="K3134" s="23"/>
      <c r="L3134" s="375"/>
      <c r="M3134" s="351"/>
      <c r="N3134" s="267">
        <f t="shared" si="733"/>
        <v>0</v>
      </c>
      <c r="O3134" s="268">
        <f t="shared" si="734"/>
        <v>0</v>
      </c>
      <c r="P3134" s="239"/>
      <c r="Q3134" s="239"/>
      <c r="R3134" s="239"/>
      <c r="S3134" s="239"/>
      <c r="T3134" s="239"/>
      <c r="U3134" s="240"/>
      <c r="V3134" s="240"/>
      <c r="W3134" s="240"/>
      <c r="X3134" s="278"/>
      <c r="Y3134" s="240"/>
      <c r="Z3134" s="237"/>
      <c r="AA3134" s="240"/>
      <c r="AB3134" s="238"/>
      <c r="AC3134" s="196">
        <f t="shared" si="739"/>
        <v>0</v>
      </c>
      <c r="AD3134" s="196">
        <f t="shared" si="740"/>
        <v>0</v>
      </c>
      <c r="AE3134" s="196">
        <f t="shared" si="741"/>
        <v>0</v>
      </c>
      <c r="AF3134" s="2">
        <f t="shared" si="742"/>
        <v>0</v>
      </c>
      <c r="AG3134" s="2">
        <f t="shared" si="743"/>
        <v>0</v>
      </c>
    </row>
    <row r="3135" spans="1:33">
      <c r="A3135" s="20" t="s">
        <v>6890</v>
      </c>
      <c r="B3135" s="156"/>
      <c r="C3135" s="21" t="s">
        <v>16343</v>
      </c>
      <c r="D3135" s="109" t="s">
        <v>16186</v>
      </c>
      <c r="E3135" s="109" t="s">
        <v>15965</v>
      </c>
      <c r="F3135" s="391" t="s">
        <v>16344</v>
      </c>
      <c r="G3135" s="23" t="s">
        <v>16304</v>
      </c>
      <c r="H3135" s="23"/>
      <c r="I3135" s="23"/>
      <c r="J3135" s="23"/>
      <c r="K3135" s="23"/>
      <c r="L3135" s="375" t="s">
        <v>7787</v>
      </c>
      <c r="M3135" s="358"/>
      <c r="N3135" s="267">
        <f t="shared" si="733"/>
        <v>0</v>
      </c>
      <c r="O3135" s="268">
        <f t="shared" si="734"/>
        <v>0</v>
      </c>
      <c r="P3135" s="239"/>
      <c r="Q3135" s="239"/>
      <c r="R3135" s="239"/>
      <c r="S3135" s="239"/>
      <c r="T3135" s="239"/>
      <c r="U3135" s="240"/>
      <c r="V3135" s="240"/>
      <c r="W3135" s="240"/>
      <c r="X3135" s="278"/>
      <c r="Y3135" s="248"/>
      <c r="Z3135" s="237"/>
      <c r="AA3135" s="279"/>
      <c r="AB3135" s="238"/>
      <c r="AC3135" s="196">
        <f t="shared" si="739"/>
        <v>0</v>
      </c>
      <c r="AD3135" s="196">
        <f t="shared" si="740"/>
        <v>0</v>
      </c>
      <c r="AE3135" s="196">
        <f t="shared" si="741"/>
        <v>0</v>
      </c>
      <c r="AF3135" s="2">
        <f t="shared" si="742"/>
        <v>0</v>
      </c>
      <c r="AG3135" s="2">
        <f t="shared" si="743"/>
        <v>0</v>
      </c>
    </row>
    <row r="3136" spans="1:33">
      <c r="A3136" s="20" t="s">
        <v>11403</v>
      </c>
      <c r="B3136" s="156"/>
      <c r="C3136" s="21" t="s">
        <v>16348</v>
      </c>
      <c r="D3136" s="109" t="s">
        <v>16313</v>
      </c>
      <c r="E3136" s="109"/>
      <c r="F3136" s="391" t="s">
        <v>16349</v>
      </c>
      <c r="G3136" s="23" t="s">
        <v>16183</v>
      </c>
      <c r="H3136" s="23" t="s">
        <v>13571</v>
      </c>
      <c r="I3136" s="23"/>
      <c r="J3136" s="23"/>
      <c r="K3136" s="23"/>
      <c r="L3136" s="375" t="s">
        <v>7787</v>
      </c>
      <c r="M3136" s="358" t="s">
        <v>7787</v>
      </c>
      <c r="N3136" s="267">
        <f t="shared" si="733"/>
        <v>0</v>
      </c>
      <c r="O3136" s="268">
        <f t="shared" si="734"/>
        <v>0</v>
      </c>
      <c r="P3136" s="248"/>
      <c r="Q3136" s="248"/>
      <c r="R3136" s="248"/>
      <c r="S3136" s="248"/>
      <c r="T3136" s="248"/>
      <c r="U3136" s="240"/>
      <c r="V3136" s="240"/>
      <c r="W3136" s="240"/>
      <c r="X3136" s="278"/>
      <c r="Y3136" s="248"/>
      <c r="Z3136" s="240"/>
      <c r="AA3136" s="292"/>
      <c r="AB3136" s="389"/>
      <c r="AC3136" s="196">
        <f t="shared" si="739"/>
        <v>0</v>
      </c>
      <c r="AD3136" s="196">
        <f t="shared" si="740"/>
        <v>0</v>
      </c>
      <c r="AE3136" s="196">
        <f t="shared" si="741"/>
        <v>0</v>
      </c>
      <c r="AF3136" s="2">
        <f t="shared" si="742"/>
        <v>0</v>
      </c>
      <c r="AG3136" s="2">
        <f t="shared" si="743"/>
        <v>0</v>
      </c>
    </row>
    <row r="3137" spans="1:33">
      <c r="A3137" s="377" t="s">
        <v>6891</v>
      </c>
      <c r="B3137" s="156"/>
      <c r="C3137" s="213" t="s">
        <v>16350</v>
      </c>
      <c r="D3137" s="109" t="s">
        <v>15167</v>
      </c>
      <c r="E3137" s="109" t="s">
        <v>16351</v>
      </c>
      <c r="F3137" s="393" t="s">
        <v>16352</v>
      </c>
      <c r="G3137" s="380" t="s">
        <v>16310</v>
      </c>
      <c r="H3137" s="380" t="s">
        <v>15621</v>
      </c>
      <c r="I3137" s="380"/>
      <c r="J3137" s="380"/>
      <c r="K3137" s="380"/>
      <c r="L3137" s="375"/>
      <c r="M3137" s="351" t="s">
        <v>7787</v>
      </c>
      <c r="N3137" s="267">
        <f t="shared" si="733"/>
        <v>0</v>
      </c>
      <c r="O3137" s="268">
        <f t="shared" si="734"/>
        <v>0</v>
      </c>
      <c r="P3137" s="248"/>
      <c r="Q3137" s="248"/>
      <c r="R3137" s="248"/>
      <c r="S3137" s="248"/>
      <c r="T3137" s="248"/>
      <c r="U3137" s="240"/>
      <c r="V3137" s="240"/>
      <c r="W3137" s="240"/>
      <c r="X3137" s="278"/>
      <c r="Y3137" s="294"/>
      <c r="Z3137" s="240"/>
      <c r="AA3137" s="292"/>
      <c r="AB3137" s="389"/>
      <c r="AC3137" s="196">
        <f t="shared" si="739"/>
        <v>0</v>
      </c>
      <c r="AD3137" s="196">
        <f t="shared" si="740"/>
        <v>0</v>
      </c>
      <c r="AE3137" s="196">
        <f t="shared" si="741"/>
        <v>0</v>
      </c>
      <c r="AF3137" s="2">
        <f t="shared" si="742"/>
        <v>0</v>
      </c>
      <c r="AG3137" s="2">
        <f t="shared" si="743"/>
        <v>0</v>
      </c>
    </row>
    <row r="3138" spans="1:33">
      <c r="A3138" s="262" t="s">
        <v>9294</v>
      </c>
      <c r="B3138" s="156"/>
      <c r="C3138" s="21" t="s">
        <v>16350</v>
      </c>
      <c r="D3138" s="109" t="s">
        <v>15167</v>
      </c>
      <c r="E3138" s="109" t="s">
        <v>16353</v>
      </c>
      <c r="F3138" s="399" t="s">
        <v>16352</v>
      </c>
      <c r="G3138" s="23" t="s">
        <v>16310</v>
      </c>
      <c r="H3138" s="23" t="s">
        <v>15621</v>
      </c>
      <c r="I3138" s="23" t="s">
        <v>16070</v>
      </c>
      <c r="J3138" s="23" t="s">
        <v>6133</v>
      </c>
      <c r="K3138" s="23" t="s">
        <v>26577</v>
      </c>
      <c r="L3138" s="375" t="s">
        <v>45</v>
      </c>
      <c r="M3138" s="351" t="s">
        <v>7787</v>
      </c>
      <c r="N3138" s="267">
        <f t="shared" si="733"/>
        <v>0</v>
      </c>
      <c r="O3138" s="268">
        <f t="shared" si="734"/>
        <v>200</v>
      </c>
      <c r="P3138" s="326"/>
      <c r="Q3138" s="326"/>
      <c r="R3138" s="326"/>
      <c r="S3138" s="326"/>
      <c r="T3138" s="294"/>
      <c r="U3138" s="294">
        <f>600-400</f>
        <v>200</v>
      </c>
      <c r="V3138" s="294"/>
      <c r="W3138" s="294"/>
      <c r="X3138" s="295"/>
      <c r="Y3138" s="237"/>
      <c r="Z3138" s="294"/>
      <c r="AA3138" s="296"/>
      <c r="AB3138" s="257" t="s">
        <v>26937</v>
      </c>
      <c r="AC3138" s="196">
        <f t="shared" si="739"/>
        <v>200</v>
      </c>
      <c r="AD3138" s="196">
        <f t="shared" si="740"/>
        <v>200</v>
      </c>
      <c r="AE3138" s="196">
        <f t="shared" si="741"/>
        <v>0</v>
      </c>
      <c r="AF3138" s="2">
        <f t="shared" si="742"/>
        <v>200</v>
      </c>
      <c r="AG3138" s="2">
        <f t="shared" si="743"/>
        <v>0</v>
      </c>
    </row>
    <row r="3139" spans="1:33">
      <c r="A3139" s="377" t="s">
        <v>6891</v>
      </c>
      <c r="B3139" s="156"/>
      <c r="C3139" s="21" t="s">
        <v>7411</v>
      </c>
      <c r="D3139" s="109" t="s">
        <v>4059</v>
      </c>
      <c r="E3139" s="109" t="s">
        <v>16354</v>
      </c>
      <c r="F3139" s="391" t="s">
        <v>7412</v>
      </c>
      <c r="G3139" s="23" t="s">
        <v>16355</v>
      </c>
      <c r="H3139" s="23"/>
      <c r="I3139" s="23"/>
      <c r="J3139" s="23"/>
      <c r="K3139" s="23"/>
      <c r="L3139" s="375" t="s">
        <v>7787</v>
      </c>
      <c r="M3139" s="375" t="s">
        <v>7787</v>
      </c>
      <c r="N3139" s="267">
        <f t="shared" si="733"/>
        <v>0</v>
      </c>
      <c r="O3139" s="268">
        <f t="shared" si="734"/>
        <v>0</v>
      </c>
      <c r="P3139" s="239"/>
      <c r="Q3139" s="239"/>
      <c r="R3139" s="239"/>
      <c r="S3139" s="239"/>
      <c r="T3139" s="239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9"/>
        <v>0</v>
      </c>
      <c r="AD3139" s="196">
        <f t="shared" si="740"/>
        <v>0</v>
      </c>
      <c r="AE3139" s="196">
        <f t="shared" si="741"/>
        <v>0</v>
      </c>
      <c r="AF3139" s="2">
        <f t="shared" si="742"/>
        <v>0</v>
      </c>
      <c r="AG3139" s="2">
        <f t="shared" si="743"/>
        <v>0</v>
      </c>
    </row>
    <row r="3140" spans="1:33">
      <c r="A3140" s="20" t="s">
        <v>6907</v>
      </c>
      <c r="B3140" s="156"/>
      <c r="C3140" s="21" t="s">
        <v>16356</v>
      </c>
      <c r="D3140" s="109" t="s">
        <v>15167</v>
      </c>
      <c r="E3140" s="109"/>
      <c r="F3140" s="391" t="s">
        <v>16357</v>
      </c>
      <c r="G3140" s="23" t="s">
        <v>16285</v>
      </c>
      <c r="H3140" s="23" t="s">
        <v>15802</v>
      </c>
      <c r="I3140" s="23" t="s">
        <v>16141</v>
      </c>
      <c r="J3140" s="23"/>
      <c r="K3140" s="23"/>
      <c r="L3140" s="375" t="s">
        <v>7787</v>
      </c>
      <c r="M3140" s="375" t="s">
        <v>7787</v>
      </c>
      <c r="N3140" s="267">
        <f t="shared" si="733"/>
        <v>0</v>
      </c>
      <c r="O3140" s="268">
        <f t="shared" si="734"/>
        <v>0</v>
      </c>
      <c r="P3140" s="239"/>
      <c r="Q3140" s="239"/>
      <c r="R3140" s="239"/>
      <c r="S3140" s="239"/>
      <c r="T3140" s="239"/>
      <c r="U3140" s="240"/>
      <c r="V3140" s="240"/>
      <c r="W3140" s="240"/>
      <c r="X3140" s="278"/>
      <c r="Y3140" s="237"/>
      <c r="Z3140" s="237"/>
      <c r="AA3140" s="279"/>
      <c r="AB3140" s="238"/>
      <c r="AC3140" s="196">
        <f t="shared" si="739"/>
        <v>0</v>
      </c>
      <c r="AD3140" s="196">
        <f t="shared" si="740"/>
        <v>0</v>
      </c>
      <c r="AE3140" s="196">
        <f t="shared" si="741"/>
        <v>0</v>
      </c>
      <c r="AF3140" s="2">
        <f t="shared" si="742"/>
        <v>0</v>
      </c>
      <c r="AG3140" s="2">
        <f t="shared" si="743"/>
        <v>0</v>
      </c>
    </row>
    <row r="3141" spans="1:33">
      <c r="A3141" s="20" t="s">
        <v>6911</v>
      </c>
      <c r="B3141" s="156"/>
      <c r="C3141" s="21" t="s">
        <v>16358</v>
      </c>
      <c r="D3141" s="109" t="s">
        <v>15167</v>
      </c>
      <c r="E3141" s="109" t="s">
        <v>16351</v>
      </c>
      <c r="F3141" s="391" t="s">
        <v>16359</v>
      </c>
      <c r="G3141" s="23" t="s">
        <v>16285</v>
      </c>
      <c r="H3141" s="23" t="s">
        <v>16360</v>
      </c>
      <c r="I3141" s="23" t="s">
        <v>13888</v>
      </c>
      <c r="J3141" s="23"/>
      <c r="K3141" s="23"/>
      <c r="L3141" s="375" t="s">
        <v>45</v>
      </c>
      <c r="M3141" s="375" t="s">
        <v>45</v>
      </c>
      <c r="N3141" s="267">
        <f t="shared" si="733"/>
        <v>0</v>
      </c>
      <c r="O3141" s="268">
        <f t="shared" si="734"/>
        <v>0</v>
      </c>
      <c r="P3141" s="241"/>
      <c r="Q3141" s="241"/>
      <c r="R3141" s="241"/>
      <c r="S3141" s="241"/>
      <c r="T3141" s="241"/>
      <c r="U3141" s="240"/>
      <c r="V3141" s="240"/>
      <c r="W3141" s="240"/>
      <c r="X3141" s="278"/>
      <c r="Y3141" s="237"/>
      <c r="Z3141" s="237"/>
      <c r="AA3141" s="279"/>
      <c r="AB3141" s="238"/>
      <c r="AC3141" s="196">
        <f t="shared" si="739"/>
        <v>0</v>
      </c>
      <c r="AD3141" s="196">
        <f t="shared" si="740"/>
        <v>0</v>
      </c>
      <c r="AE3141" s="196">
        <f t="shared" si="741"/>
        <v>0</v>
      </c>
      <c r="AF3141" s="2">
        <f t="shared" si="742"/>
        <v>0</v>
      </c>
      <c r="AG3141" s="2">
        <f t="shared" si="743"/>
        <v>0</v>
      </c>
    </row>
    <row r="3142" spans="1:33">
      <c r="A3142" s="20" t="s">
        <v>27076</v>
      </c>
      <c r="B3142" s="156"/>
      <c r="C3142" s="21" t="s">
        <v>25743</v>
      </c>
      <c r="D3142" s="109" t="s">
        <v>4059</v>
      </c>
      <c r="E3142" s="109" t="s">
        <v>8320</v>
      </c>
      <c r="F3142" s="391" t="s">
        <v>25744</v>
      </c>
      <c r="G3142" s="23" t="s">
        <v>8671</v>
      </c>
      <c r="H3142" s="23" t="s">
        <v>25745</v>
      </c>
      <c r="I3142" s="23" t="s">
        <v>5563</v>
      </c>
      <c r="J3142" s="23"/>
      <c r="K3142" s="23"/>
      <c r="L3142" s="375"/>
      <c r="M3142" s="375"/>
      <c r="N3142" s="267">
        <f t="shared" ref="N3142" si="744">SUM(L3142:M3142)</f>
        <v>0</v>
      </c>
      <c r="O3142" s="268">
        <f t="shared" ref="O3142" si="745">SUM(P3142:Z3142)</f>
        <v>0</v>
      </c>
      <c r="P3142" s="241"/>
      <c r="Q3142" s="241"/>
      <c r="R3142" s="241"/>
      <c r="S3142" s="241"/>
      <c r="T3142" s="241"/>
      <c r="U3142" s="240"/>
      <c r="V3142" s="240"/>
      <c r="W3142" s="240"/>
      <c r="X3142" s="278"/>
      <c r="Y3142" s="243"/>
      <c r="Z3142" s="237"/>
      <c r="AA3142" s="279"/>
      <c r="AB3142" s="238"/>
      <c r="AC3142" s="196">
        <f t="shared" si="739"/>
        <v>0</v>
      </c>
      <c r="AD3142" s="196">
        <f t="shared" si="740"/>
        <v>0</v>
      </c>
      <c r="AE3142" s="196">
        <f t="shared" si="741"/>
        <v>0</v>
      </c>
      <c r="AF3142" s="2">
        <f t="shared" si="742"/>
        <v>0</v>
      </c>
      <c r="AG3142" s="2">
        <f t="shared" si="743"/>
        <v>0</v>
      </c>
    </row>
    <row r="3143" spans="1:33">
      <c r="A3143" s="20" t="s">
        <v>7111</v>
      </c>
      <c r="B3143" s="156"/>
      <c r="C3143" s="21" t="s">
        <v>16361</v>
      </c>
      <c r="D3143" s="109" t="s">
        <v>15161</v>
      </c>
      <c r="E3143" s="109"/>
      <c r="F3143" s="391" t="s">
        <v>16362</v>
      </c>
      <c r="G3143" s="23" t="s">
        <v>16238</v>
      </c>
      <c r="H3143" s="23"/>
      <c r="I3143" s="23"/>
      <c r="J3143" s="23"/>
      <c r="K3143" s="23"/>
      <c r="L3143" s="375"/>
      <c r="M3143" s="372"/>
      <c r="N3143" s="267">
        <f t="shared" ref="N3143:N3210" si="746">SUM(L3143:M3143)</f>
        <v>0</v>
      </c>
      <c r="O3143" s="268">
        <f t="shared" ref="O3143:O3210" si="747">SUM(P3143:Z3143)</f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39"/>
      <c r="Z3143" s="237"/>
      <c r="AA3143" s="293"/>
      <c r="AB3143" s="238"/>
      <c r="AC3143" s="196">
        <f t="shared" si="739"/>
        <v>0</v>
      </c>
      <c r="AD3143" s="196">
        <f t="shared" si="740"/>
        <v>0</v>
      </c>
      <c r="AE3143" s="196">
        <f t="shared" si="741"/>
        <v>0</v>
      </c>
      <c r="AF3143" s="2">
        <f t="shared" si="742"/>
        <v>0</v>
      </c>
      <c r="AG3143" s="2">
        <f t="shared" si="743"/>
        <v>0</v>
      </c>
    </row>
    <row r="3144" spans="1:33">
      <c r="A3144" s="20" t="s">
        <v>10212</v>
      </c>
      <c r="B3144" s="156"/>
      <c r="C3144" s="21" t="s">
        <v>16361</v>
      </c>
      <c r="D3144" s="109" t="s">
        <v>16363</v>
      </c>
      <c r="E3144" s="109"/>
      <c r="F3144" s="391" t="s">
        <v>16362</v>
      </c>
      <c r="G3144" s="23" t="s">
        <v>16142</v>
      </c>
      <c r="H3144" s="23"/>
      <c r="I3144" s="23"/>
      <c r="J3144" s="23"/>
      <c r="K3144" s="23"/>
      <c r="L3144" s="375" t="s">
        <v>7787</v>
      </c>
      <c r="M3144" s="372" t="s">
        <v>7787</v>
      </c>
      <c r="N3144" s="267">
        <f t="shared" si="746"/>
        <v>0</v>
      </c>
      <c r="O3144" s="268">
        <f t="shared" si="747"/>
        <v>0</v>
      </c>
      <c r="P3144" s="239"/>
      <c r="Q3144" s="239"/>
      <c r="R3144" s="239"/>
      <c r="S3144" s="239"/>
      <c r="T3144" s="239"/>
      <c r="U3144" s="240"/>
      <c r="V3144" s="240"/>
      <c r="W3144" s="240"/>
      <c r="X3144" s="278"/>
      <c r="Y3144" s="240"/>
      <c r="Z3144" s="237"/>
      <c r="AA3144" s="279"/>
      <c r="AB3144" s="238"/>
      <c r="AC3144" s="196">
        <f t="shared" si="739"/>
        <v>0</v>
      </c>
      <c r="AD3144" s="196">
        <f t="shared" si="740"/>
        <v>0</v>
      </c>
      <c r="AE3144" s="196">
        <f t="shared" si="741"/>
        <v>0</v>
      </c>
      <c r="AF3144" s="2">
        <f t="shared" si="742"/>
        <v>0</v>
      </c>
      <c r="AG3144" s="2">
        <f t="shared" si="743"/>
        <v>0</v>
      </c>
    </row>
    <row r="3145" spans="1:33">
      <c r="A3145" s="20" t="s">
        <v>7317</v>
      </c>
      <c r="B3145" s="156" t="s">
        <v>7448</v>
      </c>
      <c r="C3145" s="21" t="s">
        <v>7447</v>
      </c>
      <c r="D3145" s="109" t="s">
        <v>16189</v>
      </c>
      <c r="E3145" s="109"/>
      <c r="F3145" s="391" t="s">
        <v>16364</v>
      </c>
      <c r="G3145" s="23" t="s">
        <v>16232</v>
      </c>
      <c r="H3145" s="23"/>
      <c r="I3145" s="23"/>
      <c r="J3145" s="23"/>
      <c r="K3145" s="23"/>
      <c r="L3145" s="375" t="s">
        <v>7787</v>
      </c>
      <c r="M3145" s="375"/>
      <c r="N3145" s="267">
        <f t="shared" si="746"/>
        <v>0</v>
      </c>
      <c r="O3145" s="268">
        <f t="shared" si="747"/>
        <v>0</v>
      </c>
      <c r="P3145" s="239"/>
      <c r="Q3145" s="239"/>
      <c r="R3145" s="239"/>
      <c r="S3145" s="239"/>
      <c r="T3145" s="239"/>
      <c r="U3145" s="240"/>
      <c r="V3145" s="240"/>
      <c r="W3145" s="240"/>
      <c r="X3145" s="278"/>
      <c r="Y3145" s="237"/>
      <c r="Z3145" s="237"/>
      <c r="AA3145" s="279"/>
      <c r="AB3145" s="238"/>
      <c r="AC3145" s="196">
        <f t="shared" si="739"/>
        <v>0</v>
      </c>
      <c r="AD3145" s="196">
        <f t="shared" si="740"/>
        <v>0</v>
      </c>
      <c r="AE3145" s="196">
        <f t="shared" si="741"/>
        <v>0</v>
      </c>
      <c r="AF3145" s="2">
        <f t="shared" si="742"/>
        <v>0</v>
      </c>
      <c r="AG3145" s="2">
        <f t="shared" si="743"/>
        <v>0</v>
      </c>
    </row>
    <row r="3146" spans="1:33">
      <c r="A3146" s="20" t="s">
        <v>7124</v>
      </c>
      <c r="B3146" s="156" t="s">
        <v>16365</v>
      </c>
      <c r="C3146" s="21" t="s">
        <v>16366</v>
      </c>
      <c r="D3146" s="109" t="s">
        <v>15167</v>
      </c>
      <c r="E3146" s="109"/>
      <c r="F3146" s="391" t="s">
        <v>16367</v>
      </c>
      <c r="G3146" s="23" t="s">
        <v>16285</v>
      </c>
      <c r="H3146" s="23" t="s">
        <v>15621</v>
      </c>
      <c r="I3146" s="23" t="s">
        <v>16301</v>
      </c>
      <c r="J3146" s="23"/>
      <c r="K3146" s="23"/>
      <c r="L3146" s="375"/>
      <c r="M3146" s="375" t="s">
        <v>45</v>
      </c>
      <c r="N3146" s="267">
        <f t="shared" si="746"/>
        <v>0</v>
      </c>
      <c r="O3146" s="268">
        <f t="shared" si="747"/>
        <v>800</v>
      </c>
      <c r="P3146" s="239"/>
      <c r="Q3146" s="239"/>
      <c r="R3146" s="239">
        <f>1300-500-500+700-300+800-700</f>
        <v>800</v>
      </c>
      <c r="S3146" s="239"/>
      <c r="T3146" s="239"/>
      <c r="U3146" s="240"/>
      <c r="V3146" s="240"/>
      <c r="W3146" s="240"/>
      <c r="X3146" s="278"/>
      <c r="Y3146" s="237"/>
      <c r="Z3146" s="237"/>
      <c r="AA3146" s="279"/>
      <c r="AB3146" s="238" t="s">
        <v>25464</v>
      </c>
      <c r="AC3146" s="196">
        <f t="shared" si="739"/>
        <v>800</v>
      </c>
      <c r="AD3146" s="196">
        <f t="shared" si="740"/>
        <v>800</v>
      </c>
      <c r="AE3146" s="196">
        <f t="shared" si="741"/>
        <v>0</v>
      </c>
      <c r="AF3146" s="2">
        <f t="shared" si="742"/>
        <v>800</v>
      </c>
      <c r="AG3146" s="2">
        <f t="shared" si="743"/>
        <v>0</v>
      </c>
    </row>
    <row r="3147" spans="1:33">
      <c r="A3147" s="20" t="s">
        <v>7598</v>
      </c>
      <c r="B3147" s="156"/>
      <c r="C3147" s="21" t="s">
        <v>16368</v>
      </c>
      <c r="D3147" s="109" t="s">
        <v>16313</v>
      </c>
      <c r="E3147" s="109"/>
      <c r="F3147" s="391" t="s">
        <v>16369</v>
      </c>
      <c r="G3147" s="23" t="s">
        <v>16188</v>
      </c>
      <c r="H3147" s="23" t="s">
        <v>16370</v>
      </c>
      <c r="I3147" s="23" t="s">
        <v>13888</v>
      </c>
      <c r="J3147" s="23" t="s">
        <v>6133</v>
      </c>
      <c r="K3147" s="23" t="s">
        <v>27148</v>
      </c>
      <c r="L3147" s="375" t="s">
        <v>28053</v>
      </c>
      <c r="M3147" s="367" t="s">
        <v>27523</v>
      </c>
      <c r="N3147" s="267">
        <f t="shared" si="746"/>
        <v>0</v>
      </c>
      <c r="O3147" s="268">
        <f t="shared" si="747"/>
        <v>6550</v>
      </c>
      <c r="P3147" s="239"/>
      <c r="Q3147" s="240">
        <f>1200-1150+1200-300+2650-1000-750-750+4100-500+1850</f>
        <v>6550</v>
      </c>
      <c r="R3147" s="239"/>
      <c r="S3147" s="239"/>
      <c r="T3147" s="239"/>
      <c r="U3147" s="240"/>
      <c r="V3147" s="240"/>
      <c r="W3147" s="240"/>
      <c r="X3147" s="278"/>
      <c r="Y3147" s="240"/>
      <c r="Z3147" s="237"/>
      <c r="AA3147" s="279"/>
      <c r="AB3147" s="238" t="s">
        <v>28035</v>
      </c>
      <c r="AC3147" s="196">
        <f t="shared" si="739"/>
        <v>6550</v>
      </c>
      <c r="AD3147" s="196">
        <f t="shared" si="740"/>
        <v>6550</v>
      </c>
      <c r="AE3147" s="196">
        <f t="shared" si="741"/>
        <v>0</v>
      </c>
      <c r="AF3147" s="2">
        <f t="shared" si="742"/>
        <v>6550</v>
      </c>
      <c r="AG3147" s="2">
        <f t="shared" si="743"/>
        <v>0</v>
      </c>
    </row>
    <row r="3148" spans="1:33">
      <c r="A3148" s="20" t="s">
        <v>27120</v>
      </c>
      <c r="B3148" s="156"/>
      <c r="C3148" s="21" t="s">
        <v>27159</v>
      </c>
      <c r="D3148" s="109" t="s">
        <v>7389</v>
      </c>
      <c r="E3148" s="109" t="s">
        <v>27180</v>
      </c>
      <c r="F3148" s="391" t="s">
        <v>27160</v>
      </c>
      <c r="G3148" s="23" t="s">
        <v>8857</v>
      </c>
      <c r="H3148" s="23" t="s">
        <v>26792</v>
      </c>
      <c r="I3148" s="23" t="s">
        <v>5563</v>
      </c>
      <c r="J3148" s="23" t="s">
        <v>10645</v>
      </c>
      <c r="K3148" s="23" t="s">
        <v>27161</v>
      </c>
      <c r="L3148" s="375" t="s">
        <v>7787</v>
      </c>
      <c r="M3148" s="367" t="s">
        <v>7787</v>
      </c>
      <c r="N3148" s="267">
        <f t="shared" ref="N3148" si="748">SUM(L3148:M3148)</f>
        <v>0</v>
      </c>
      <c r="O3148" s="268">
        <f t="shared" ref="O3148" si="749">SUM(P3148:Z3148)</f>
        <v>0</v>
      </c>
      <c r="P3148" s="239"/>
      <c r="Q3148" s="244"/>
      <c r="R3148" s="239"/>
      <c r="S3148" s="239"/>
      <c r="T3148" s="239"/>
      <c r="U3148" s="240"/>
      <c r="V3148" s="240"/>
      <c r="W3148" s="240"/>
      <c r="X3148" s="278"/>
      <c r="Y3148" s="240"/>
      <c r="Z3148" s="237"/>
      <c r="AA3148" s="279"/>
      <c r="AB3148" s="238"/>
      <c r="AC3148" s="196">
        <f t="shared" ref="AC3148" si="750">SUM(P3148:AA3148)</f>
        <v>0</v>
      </c>
      <c r="AD3148" s="196">
        <f t="shared" ref="AD3148" si="751">SUM(P3148:AB3148)</f>
        <v>0</v>
      </c>
      <c r="AE3148" s="196">
        <f t="shared" ref="AE3148" si="752">SUM(AC3148-AD3148)</f>
        <v>0</v>
      </c>
      <c r="AF3148" s="2">
        <f t="shared" ref="AF3148" si="753">+AC3148</f>
        <v>0</v>
      </c>
      <c r="AG3148" s="2">
        <f t="shared" ref="AG3148" si="754">+AC3148-AF3148</f>
        <v>0</v>
      </c>
    </row>
    <row r="3149" spans="1:33">
      <c r="A3149" s="20" t="s">
        <v>7311</v>
      </c>
      <c r="B3149" s="156" t="s">
        <v>16371</v>
      </c>
      <c r="C3149" s="21" t="s">
        <v>16372</v>
      </c>
      <c r="D3149" s="109" t="s">
        <v>15167</v>
      </c>
      <c r="E3149" s="109"/>
      <c r="F3149" s="391" t="s">
        <v>16373</v>
      </c>
      <c r="G3149" s="23" t="s">
        <v>16285</v>
      </c>
      <c r="H3149" s="23"/>
      <c r="I3149" s="23"/>
      <c r="J3149" s="23"/>
      <c r="K3149" s="23"/>
      <c r="L3149" s="375" t="s">
        <v>7787</v>
      </c>
      <c r="M3149" s="351" t="s">
        <v>7787</v>
      </c>
      <c r="N3149" s="267">
        <f t="shared" si="746"/>
        <v>0</v>
      </c>
      <c r="O3149" s="268">
        <f t="shared" si="747"/>
        <v>0</v>
      </c>
      <c r="P3149" s="239"/>
      <c r="Q3149" s="239"/>
      <c r="R3149" s="239"/>
      <c r="S3149" s="239"/>
      <c r="T3149" s="239"/>
      <c r="U3149" s="240"/>
      <c r="V3149" s="240"/>
      <c r="W3149" s="240"/>
      <c r="X3149" s="278"/>
      <c r="Y3149" s="237"/>
      <c r="Z3149" s="237"/>
      <c r="AA3149" s="279"/>
      <c r="AB3149" s="238"/>
      <c r="AC3149" s="196">
        <f t="shared" si="739"/>
        <v>0</v>
      </c>
      <c r="AD3149" s="196">
        <f t="shared" si="740"/>
        <v>0</v>
      </c>
      <c r="AE3149" s="196">
        <f t="shared" si="741"/>
        <v>0</v>
      </c>
      <c r="AF3149" s="2">
        <f t="shared" si="742"/>
        <v>0</v>
      </c>
      <c r="AG3149" s="2">
        <f t="shared" si="743"/>
        <v>0</v>
      </c>
    </row>
    <row r="3150" spans="1:33">
      <c r="A3150" s="20" t="s">
        <v>7442</v>
      </c>
      <c r="B3150" s="156"/>
      <c r="C3150" s="21" t="s">
        <v>16374</v>
      </c>
      <c r="D3150" s="109" t="s">
        <v>16231</v>
      </c>
      <c r="E3150" s="109"/>
      <c r="F3150" s="391" t="s">
        <v>16375</v>
      </c>
      <c r="G3150" s="23" t="s">
        <v>16268</v>
      </c>
      <c r="H3150" s="23"/>
      <c r="I3150" s="23"/>
      <c r="J3150" s="23"/>
      <c r="K3150" s="23"/>
      <c r="L3150" s="375"/>
      <c r="M3150" s="351" t="s">
        <v>7787</v>
      </c>
      <c r="N3150" s="267">
        <f t="shared" si="746"/>
        <v>0</v>
      </c>
      <c r="O3150" s="268">
        <f t="shared" si="747"/>
        <v>0</v>
      </c>
      <c r="P3150" s="239"/>
      <c r="Q3150" s="239"/>
      <c r="R3150" s="239"/>
      <c r="S3150" s="239"/>
      <c r="T3150" s="239"/>
      <c r="U3150" s="239"/>
      <c r="V3150" s="239"/>
      <c r="W3150" s="240"/>
      <c r="X3150" s="278"/>
      <c r="Y3150" s="237"/>
      <c r="Z3150" s="237"/>
      <c r="AA3150" s="279"/>
      <c r="AB3150" s="238"/>
      <c r="AC3150" s="196">
        <f t="shared" si="739"/>
        <v>0</v>
      </c>
      <c r="AD3150" s="196">
        <f t="shared" si="740"/>
        <v>0</v>
      </c>
      <c r="AE3150" s="196">
        <f t="shared" si="741"/>
        <v>0</v>
      </c>
      <c r="AF3150" s="2">
        <f t="shared" si="742"/>
        <v>0</v>
      </c>
      <c r="AG3150" s="2">
        <f t="shared" si="743"/>
        <v>0</v>
      </c>
    </row>
    <row r="3151" spans="1:33">
      <c r="A3151" s="20" t="s">
        <v>2769</v>
      </c>
      <c r="B3151" s="150"/>
      <c r="C3151" s="21" t="s">
        <v>831</v>
      </c>
      <c r="D3151" s="109" t="s">
        <v>16376</v>
      </c>
      <c r="E3151" s="109" t="s">
        <v>15965</v>
      </c>
      <c r="F3151" s="391" t="s">
        <v>16377</v>
      </c>
      <c r="G3151" s="23" t="s">
        <v>16378</v>
      </c>
      <c r="H3151" s="23"/>
      <c r="I3151" s="23"/>
      <c r="J3151" s="23"/>
      <c r="K3151" s="23"/>
      <c r="L3151" s="350"/>
      <c r="M3151" s="351"/>
      <c r="N3151" s="267">
        <f t="shared" si="746"/>
        <v>0</v>
      </c>
      <c r="O3151" s="268">
        <f t="shared" si="747"/>
        <v>0</v>
      </c>
      <c r="P3151" s="239"/>
      <c r="Q3151" s="239"/>
      <c r="R3151" s="239"/>
      <c r="S3151" s="239"/>
      <c r="T3151" s="239"/>
      <c r="U3151" s="240"/>
      <c r="V3151" s="240"/>
      <c r="W3151" s="240"/>
      <c r="X3151" s="278"/>
      <c r="Y3151" s="237"/>
      <c r="Z3151" s="237"/>
      <c r="AA3151" s="285"/>
      <c r="AB3151" s="238"/>
      <c r="AC3151" s="196">
        <f t="shared" si="739"/>
        <v>0</v>
      </c>
      <c r="AD3151" s="196">
        <f t="shared" si="740"/>
        <v>0</v>
      </c>
      <c r="AE3151" s="196">
        <f t="shared" si="741"/>
        <v>0</v>
      </c>
      <c r="AF3151" s="2">
        <f t="shared" si="742"/>
        <v>0</v>
      </c>
      <c r="AG3151" s="2">
        <f t="shared" si="743"/>
        <v>0</v>
      </c>
    </row>
    <row r="3152" spans="1:33">
      <c r="A3152" s="20" t="s">
        <v>2770</v>
      </c>
      <c r="B3152" s="150"/>
      <c r="C3152" s="21" t="s">
        <v>831</v>
      </c>
      <c r="D3152" s="109" t="s">
        <v>15161</v>
      </c>
      <c r="E3152" s="109"/>
      <c r="F3152" s="391" t="s">
        <v>16377</v>
      </c>
      <c r="G3152" s="23" t="s">
        <v>16379</v>
      </c>
      <c r="H3152" s="23"/>
      <c r="I3152" s="23"/>
      <c r="J3152" s="23"/>
      <c r="K3152" s="23"/>
      <c r="L3152" s="375"/>
      <c r="M3152" s="351" t="s">
        <v>7787</v>
      </c>
      <c r="N3152" s="267">
        <f t="shared" si="746"/>
        <v>0</v>
      </c>
      <c r="O3152" s="268">
        <f t="shared" si="747"/>
        <v>0</v>
      </c>
      <c r="P3152" s="239"/>
      <c r="Q3152" s="239"/>
      <c r="R3152" s="239"/>
      <c r="S3152" s="239"/>
      <c r="T3152" s="239"/>
      <c r="U3152" s="240"/>
      <c r="V3152" s="240"/>
      <c r="W3152" s="240"/>
      <c r="X3152" s="278"/>
      <c r="Y3152" s="237"/>
      <c r="Z3152" s="237"/>
      <c r="AA3152" s="279"/>
      <c r="AB3152" s="238"/>
      <c r="AC3152" s="196">
        <f t="shared" si="739"/>
        <v>0</v>
      </c>
      <c r="AD3152" s="196">
        <f t="shared" si="740"/>
        <v>0</v>
      </c>
      <c r="AE3152" s="196">
        <f t="shared" si="741"/>
        <v>0</v>
      </c>
      <c r="AF3152" s="2">
        <f t="shared" si="742"/>
        <v>0</v>
      </c>
      <c r="AG3152" s="2">
        <f t="shared" si="743"/>
        <v>0</v>
      </c>
    </row>
    <row r="3153" spans="1:33">
      <c r="A3153" s="20" t="s">
        <v>2771</v>
      </c>
      <c r="B3153" s="162" t="s">
        <v>16380</v>
      </c>
      <c r="C3153" s="21" t="s">
        <v>831</v>
      </c>
      <c r="D3153" s="109" t="s">
        <v>15167</v>
      </c>
      <c r="E3153" s="109"/>
      <c r="F3153" s="391" t="s">
        <v>16377</v>
      </c>
      <c r="G3153" s="23" t="s">
        <v>15163</v>
      </c>
      <c r="H3153" s="23" t="s">
        <v>16221</v>
      </c>
      <c r="I3153" s="23" t="s">
        <v>16381</v>
      </c>
      <c r="J3153" s="23"/>
      <c r="K3153" s="23"/>
      <c r="L3153" s="375"/>
      <c r="M3153" s="351" t="s">
        <v>7787</v>
      </c>
      <c r="N3153" s="267">
        <f t="shared" si="746"/>
        <v>0</v>
      </c>
      <c r="O3153" s="268">
        <f t="shared" si="747"/>
        <v>0</v>
      </c>
      <c r="P3153" s="241"/>
      <c r="Q3153" s="241"/>
      <c r="R3153" s="241"/>
      <c r="S3153" s="241"/>
      <c r="T3153" s="241"/>
      <c r="U3153" s="240"/>
      <c r="V3153" s="240"/>
      <c r="W3153" s="240"/>
      <c r="X3153" s="278"/>
      <c r="Y3153" s="240"/>
      <c r="Z3153" s="237"/>
      <c r="AA3153" s="279"/>
      <c r="AB3153" s="238"/>
      <c r="AC3153" s="196">
        <f t="shared" si="739"/>
        <v>0</v>
      </c>
      <c r="AD3153" s="196">
        <f t="shared" si="740"/>
        <v>0</v>
      </c>
      <c r="AE3153" s="196">
        <f t="shared" si="741"/>
        <v>0</v>
      </c>
      <c r="AF3153" s="2">
        <f t="shared" si="742"/>
        <v>0</v>
      </c>
      <c r="AG3153" s="2">
        <f t="shared" si="743"/>
        <v>0</v>
      </c>
    </row>
    <row r="3154" spans="1:33">
      <c r="A3154" s="20" t="s">
        <v>7312</v>
      </c>
      <c r="B3154" s="162" t="s">
        <v>16382</v>
      </c>
      <c r="C3154" s="21" t="s">
        <v>16383</v>
      </c>
      <c r="D3154" s="109" t="s">
        <v>15167</v>
      </c>
      <c r="E3154" s="109"/>
      <c r="F3154" s="391" t="s">
        <v>16384</v>
      </c>
      <c r="G3154" s="23" t="s">
        <v>6133</v>
      </c>
      <c r="H3154" s="23" t="s">
        <v>16385</v>
      </c>
      <c r="I3154" s="23" t="s">
        <v>14533</v>
      </c>
      <c r="J3154" s="23"/>
      <c r="K3154" s="23"/>
      <c r="L3154" s="375" t="s">
        <v>7787</v>
      </c>
      <c r="M3154" s="351" t="s">
        <v>7787</v>
      </c>
      <c r="N3154" s="267">
        <f t="shared" si="746"/>
        <v>0</v>
      </c>
      <c r="O3154" s="268">
        <f t="shared" si="747"/>
        <v>0</v>
      </c>
      <c r="P3154" s="241"/>
      <c r="Q3154" s="241"/>
      <c r="R3154" s="241"/>
      <c r="S3154" s="241"/>
      <c r="T3154" s="241"/>
      <c r="U3154" s="240"/>
      <c r="V3154" s="240"/>
      <c r="W3154" s="240"/>
      <c r="X3154" s="278"/>
      <c r="Y3154" s="244"/>
      <c r="Z3154" s="237"/>
      <c r="AA3154" s="279"/>
      <c r="AB3154" s="238"/>
      <c r="AC3154" s="196">
        <f t="shared" si="739"/>
        <v>0</v>
      </c>
      <c r="AD3154" s="196">
        <f t="shared" si="740"/>
        <v>0</v>
      </c>
      <c r="AE3154" s="196">
        <f t="shared" si="741"/>
        <v>0</v>
      </c>
      <c r="AF3154" s="2">
        <f t="shared" si="742"/>
        <v>0</v>
      </c>
      <c r="AG3154" s="2">
        <f t="shared" si="743"/>
        <v>0</v>
      </c>
    </row>
    <row r="3155" spans="1:33">
      <c r="A3155" s="20" t="s">
        <v>7445</v>
      </c>
      <c r="B3155" s="162"/>
      <c r="C3155" s="21" t="s">
        <v>16386</v>
      </c>
      <c r="D3155" s="109" t="s">
        <v>15960</v>
      </c>
      <c r="E3155" s="109"/>
      <c r="F3155" s="391" t="s">
        <v>16387</v>
      </c>
      <c r="G3155" s="23" t="s">
        <v>15962</v>
      </c>
      <c r="H3155" s="23" t="s">
        <v>15966</v>
      </c>
      <c r="I3155" s="23"/>
      <c r="J3155" s="23"/>
      <c r="K3155" s="23"/>
      <c r="L3155" s="375"/>
      <c r="M3155" s="351" t="s">
        <v>7787</v>
      </c>
      <c r="N3155" s="267">
        <f t="shared" si="746"/>
        <v>0</v>
      </c>
      <c r="O3155" s="268">
        <f t="shared" si="747"/>
        <v>0</v>
      </c>
      <c r="P3155" s="240"/>
      <c r="Q3155" s="240"/>
      <c r="R3155" s="240"/>
      <c r="S3155" s="240"/>
      <c r="T3155" s="240"/>
      <c r="U3155" s="240"/>
      <c r="V3155" s="240"/>
      <c r="W3155" s="240"/>
      <c r="X3155" s="278"/>
      <c r="Y3155" s="244"/>
      <c r="Z3155" s="237"/>
      <c r="AA3155" s="279"/>
      <c r="AB3155" s="238"/>
      <c r="AC3155" s="196">
        <f t="shared" si="739"/>
        <v>0</v>
      </c>
      <c r="AD3155" s="196">
        <f t="shared" si="740"/>
        <v>0</v>
      </c>
      <c r="AE3155" s="196">
        <f t="shared" si="741"/>
        <v>0</v>
      </c>
      <c r="AF3155" s="2">
        <f t="shared" si="742"/>
        <v>0</v>
      </c>
      <c r="AG3155" s="2">
        <f t="shared" si="743"/>
        <v>0</v>
      </c>
    </row>
    <row r="3156" spans="1:33">
      <c r="A3156" s="20" t="s">
        <v>13103</v>
      </c>
      <c r="B3156" s="162"/>
      <c r="C3156" s="21" t="s">
        <v>16388</v>
      </c>
      <c r="D3156" s="109" t="s">
        <v>15960</v>
      </c>
      <c r="E3156" s="109"/>
      <c r="F3156" s="391" t="s">
        <v>16387</v>
      </c>
      <c r="G3156" s="23" t="s">
        <v>15962</v>
      </c>
      <c r="H3156" s="23" t="s">
        <v>15966</v>
      </c>
      <c r="I3156" s="23"/>
      <c r="J3156" s="23"/>
      <c r="K3156" s="23"/>
      <c r="L3156" s="375" t="s">
        <v>7787</v>
      </c>
      <c r="M3156" s="351"/>
      <c r="N3156" s="267">
        <f t="shared" si="746"/>
        <v>0</v>
      </c>
      <c r="O3156" s="268">
        <f t="shared" si="747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40"/>
      <c r="Z3156" s="237"/>
      <c r="AA3156" s="279"/>
      <c r="AB3156" s="238"/>
      <c r="AC3156" s="196">
        <f t="shared" si="739"/>
        <v>0</v>
      </c>
      <c r="AD3156" s="196">
        <f t="shared" si="740"/>
        <v>0</v>
      </c>
      <c r="AE3156" s="196">
        <f t="shared" si="741"/>
        <v>0</v>
      </c>
      <c r="AF3156" s="2">
        <f t="shared" si="742"/>
        <v>0</v>
      </c>
      <c r="AG3156" s="2">
        <f t="shared" si="743"/>
        <v>0</v>
      </c>
    </row>
    <row r="3157" spans="1:33">
      <c r="A3157" s="20" t="s">
        <v>17945</v>
      </c>
      <c r="B3157" s="162"/>
      <c r="C3157" s="21" t="s">
        <v>13199</v>
      </c>
      <c r="D3157" s="109" t="s">
        <v>3097</v>
      </c>
      <c r="E3157" s="109" t="s">
        <v>17899</v>
      </c>
      <c r="F3157" s="391" t="s">
        <v>12074</v>
      </c>
      <c r="G3157" s="23" t="s">
        <v>13341</v>
      </c>
      <c r="H3157" s="23"/>
      <c r="I3157" s="23"/>
      <c r="J3157" s="23"/>
      <c r="K3157" s="23"/>
      <c r="L3157" s="375" t="s">
        <v>7787</v>
      </c>
      <c r="M3157" s="351"/>
      <c r="N3157" s="267">
        <f t="shared" si="746"/>
        <v>0</v>
      </c>
      <c r="O3157" s="268">
        <f t="shared" si="747"/>
        <v>0</v>
      </c>
      <c r="P3157" s="244"/>
      <c r="Q3157" s="244"/>
      <c r="R3157" s="244"/>
      <c r="S3157" s="244"/>
      <c r="T3157" s="244"/>
      <c r="U3157" s="240"/>
      <c r="V3157" s="240"/>
      <c r="W3157" s="240"/>
      <c r="X3157" s="278"/>
      <c r="Y3157" s="244"/>
      <c r="Z3157" s="237"/>
      <c r="AA3157" s="279"/>
      <c r="AB3157" s="238"/>
      <c r="AC3157" s="196">
        <f t="shared" si="739"/>
        <v>0</v>
      </c>
      <c r="AD3157" s="196">
        <f t="shared" si="740"/>
        <v>0</v>
      </c>
      <c r="AE3157" s="196">
        <f t="shared" si="741"/>
        <v>0</v>
      </c>
      <c r="AF3157" s="2">
        <f t="shared" si="742"/>
        <v>0</v>
      </c>
      <c r="AG3157" s="2">
        <f t="shared" si="743"/>
        <v>0</v>
      </c>
    </row>
    <row r="3158" spans="1:33">
      <c r="A3158" s="377" t="s">
        <v>7968</v>
      </c>
      <c r="B3158" s="162"/>
      <c r="C3158" s="213" t="s">
        <v>16389</v>
      </c>
      <c r="D3158" s="109" t="s">
        <v>16231</v>
      </c>
      <c r="E3158" s="109"/>
      <c r="F3158" s="393" t="s">
        <v>22291</v>
      </c>
      <c r="G3158" s="380" t="s">
        <v>16232</v>
      </c>
      <c r="H3158" s="380"/>
      <c r="I3158" s="380"/>
      <c r="J3158" s="380"/>
      <c r="K3158" s="380"/>
      <c r="L3158" s="375" t="s">
        <v>7787</v>
      </c>
      <c r="M3158" s="351" t="s">
        <v>7787</v>
      </c>
      <c r="N3158" s="267">
        <f t="shared" si="746"/>
        <v>0</v>
      </c>
      <c r="O3158" s="268">
        <f t="shared" si="747"/>
        <v>0</v>
      </c>
      <c r="P3158" s="244"/>
      <c r="Q3158" s="244"/>
      <c r="R3158" s="244"/>
      <c r="S3158" s="244"/>
      <c r="T3158" s="244"/>
      <c r="U3158" s="240"/>
      <c r="V3158" s="240"/>
      <c r="W3158" s="240"/>
      <c r="X3158" s="278"/>
      <c r="Y3158" s="294"/>
      <c r="Z3158" s="240"/>
      <c r="AA3158" s="292"/>
      <c r="AB3158" s="389"/>
      <c r="AC3158" s="196">
        <f t="shared" si="739"/>
        <v>0</v>
      </c>
      <c r="AD3158" s="196">
        <f t="shared" si="740"/>
        <v>0</v>
      </c>
      <c r="AE3158" s="196">
        <f t="shared" si="741"/>
        <v>0</v>
      </c>
      <c r="AF3158" s="2">
        <f t="shared" si="742"/>
        <v>0</v>
      </c>
      <c r="AG3158" s="2">
        <f t="shared" si="743"/>
        <v>0</v>
      </c>
    </row>
    <row r="3159" spans="1:33">
      <c r="A3159" s="20" t="s">
        <v>12636</v>
      </c>
      <c r="B3159" s="162"/>
      <c r="C3159" s="21" t="s">
        <v>16390</v>
      </c>
      <c r="D3159" s="109" t="s">
        <v>16231</v>
      </c>
      <c r="E3159" s="349" t="s">
        <v>16391</v>
      </c>
      <c r="F3159" s="399" t="s">
        <v>16392</v>
      </c>
      <c r="G3159" s="23" t="s">
        <v>16232</v>
      </c>
      <c r="H3159" s="23" t="s">
        <v>15165</v>
      </c>
      <c r="I3159" s="23"/>
      <c r="J3159" s="23"/>
      <c r="K3159" s="23"/>
      <c r="L3159" s="375" t="s">
        <v>7787</v>
      </c>
      <c r="M3159" s="351" t="s">
        <v>7787</v>
      </c>
      <c r="N3159" s="267">
        <f t="shared" si="746"/>
        <v>0</v>
      </c>
      <c r="O3159" s="268">
        <f t="shared" si="747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94"/>
      <c r="Z3159" s="294"/>
      <c r="AA3159" s="296"/>
      <c r="AB3159" s="257"/>
      <c r="AC3159" s="196">
        <f t="shared" si="739"/>
        <v>0</v>
      </c>
      <c r="AD3159" s="196">
        <f t="shared" si="740"/>
        <v>0</v>
      </c>
      <c r="AE3159" s="196">
        <f t="shared" si="741"/>
        <v>0</v>
      </c>
      <c r="AF3159" s="2">
        <f t="shared" si="742"/>
        <v>0</v>
      </c>
      <c r="AG3159" s="2">
        <f t="shared" si="743"/>
        <v>0</v>
      </c>
    </row>
    <row r="3160" spans="1:33">
      <c r="A3160" s="262" t="s">
        <v>7968</v>
      </c>
      <c r="B3160" s="162"/>
      <c r="C3160" s="21" t="s">
        <v>16393</v>
      </c>
      <c r="D3160" s="109" t="s">
        <v>16231</v>
      </c>
      <c r="E3160" s="349" t="s">
        <v>16394</v>
      </c>
      <c r="F3160" s="399" t="s">
        <v>16392</v>
      </c>
      <c r="G3160" s="203" t="s">
        <v>16395</v>
      </c>
      <c r="H3160" s="23" t="s">
        <v>16232</v>
      </c>
      <c r="I3160" s="23"/>
      <c r="J3160" s="23"/>
      <c r="K3160" s="23"/>
      <c r="L3160" s="375" t="s">
        <v>7787</v>
      </c>
      <c r="M3160" s="351" t="s">
        <v>7787</v>
      </c>
      <c r="N3160" s="267">
        <f t="shared" si="746"/>
        <v>0</v>
      </c>
      <c r="O3160" s="268">
        <f t="shared" si="747"/>
        <v>0</v>
      </c>
      <c r="P3160" s="322"/>
      <c r="Q3160" s="322"/>
      <c r="R3160" s="322"/>
      <c r="S3160" s="322"/>
      <c r="T3160" s="322"/>
      <c r="U3160" s="294"/>
      <c r="V3160" s="294"/>
      <c r="W3160" s="294"/>
      <c r="X3160" s="295"/>
      <c r="Y3160" s="294"/>
      <c r="Z3160" s="294"/>
      <c r="AA3160" s="296"/>
      <c r="AB3160" s="257"/>
      <c r="AC3160" s="196">
        <f t="shared" si="739"/>
        <v>0</v>
      </c>
      <c r="AD3160" s="196">
        <f t="shared" si="740"/>
        <v>0</v>
      </c>
      <c r="AE3160" s="196">
        <f t="shared" si="741"/>
        <v>0</v>
      </c>
      <c r="AF3160" s="2">
        <f t="shared" si="742"/>
        <v>0</v>
      </c>
      <c r="AG3160" s="2">
        <f t="shared" si="743"/>
        <v>0</v>
      </c>
    </row>
    <row r="3161" spans="1:33">
      <c r="A3161" s="262" t="s">
        <v>9641</v>
      </c>
      <c r="B3161" s="162"/>
      <c r="C3161" s="21" t="s">
        <v>16396</v>
      </c>
      <c r="D3161" s="109" t="s">
        <v>16231</v>
      </c>
      <c r="E3161" s="349"/>
      <c r="F3161" s="399" t="s">
        <v>16392</v>
      </c>
      <c r="G3161" s="23" t="s">
        <v>16232</v>
      </c>
      <c r="H3161" s="203" t="s">
        <v>16395</v>
      </c>
      <c r="I3161" s="23"/>
      <c r="J3161" s="23"/>
      <c r="K3161" s="23"/>
      <c r="L3161" s="375" t="s">
        <v>7787</v>
      </c>
      <c r="M3161" s="351"/>
      <c r="N3161" s="267">
        <f t="shared" si="746"/>
        <v>0</v>
      </c>
      <c r="O3161" s="268">
        <f t="shared" si="747"/>
        <v>0</v>
      </c>
      <c r="P3161" s="322"/>
      <c r="Q3161" s="322"/>
      <c r="R3161" s="322"/>
      <c r="S3161" s="322"/>
      <c r="T3161" s="322"/>
      <c r="U3161" s="294"/>
      <c r="V3161" s="294"/>
      <c r="W3161" s="294"/>
      <c r="X3161" s="295"/>
      <c r="Y3161" s="241"/>
      <c r="Z3161" s="296"/>
      <c r="AA3161" s="296"/>
      <c r="AB3161" s="257"/>
      <c r="AC3161" s="196">
        <f t="shared" si="739"/>
        <v>0</v>
      </c>
      <c r="AD3161" s="196">
        <f t="shared" si="740"/>
        <v>0</v>
      </c>
      <c r="AE3161" s="196">
        <f t="shared" si="741"/>
        <v>0</v>
      </c>
      <c r="AF3161" s="2">
        <f t="shared" si="742"/>
        <v>0</v>
      </c>
      <c r="AG3161" s="2">
        <f t="shared" si="743"/>
        <v>0</v>
      </c>
    </row>
    <row r="3162" spans="1:33">
      <c r="A3162" s="20" t="s">
        <v>7309</v>
      </c>
      <c r="B3162" s="162"/>
      <c r="C3162" s="21" t="s">
        <v>16397</v>
      </c>
      <c r="D3162" s="109" t="s">
        <v>16313</v>
      </c>
      <c r="E3162" s="109" t="s">
        <v>16351</v>
      </c>
      <c r="F3162" s="391" t="s">
        <v>16398</v>
      </c>
      <c r="G3162" s="23" t="s">
        <v>16141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6"/>
        <v>0</v>
      </c>
      <c r="O3162" s="268">
        <f t="shared" si="747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0"/>
      <c r="Z3162" s="237"/>
      <c r="AA3162" s="279"/>
      <c r="AB3162" s="238"/>
      <c r="AC3162" s="196">
        <f t="shared" si="739"/>
        <v>0</v>
      </c>
      <c r="AD3162" s="196">
        <f t="shared" si="740"/>
        <v>0</v>
      </c>
      <c r="AE3162" s="196">
        <f t="shared" si="741"/>
        <v>0</v>
      </c>
      <c r="AF3162" s="2">
        <f t="shared" si="742"/>
        <v>0</v>
      </c>
      <c r="AG3162" s="2">
        <f t="shared" si="743"/>
        <v>0</v>
      </c>
    </row>
    <row r="3163" spans="1:33">
      <c r="A3163" s="20" t="s">
        <v>7514</v>
      </c>
      <c r="B3163" s="162"/>
      <c r="C3163" s="21" t="s">
        <v>16399</v>
      </c>
      <c r="D3163" s="109" t="s">
        <v>16186</v>
      </c>
      <c r="E3163" s="109"/>
      <c r="F3163" s="391" t="s">
        <v>16400</v>
      </c>
      <c r="G3163" s="23" t="s">
        <v>16304</v>
      </c>
      <c r="H3163" s="23"/>
      <c r="I3163" s="23"/>
      <c r="J3163" s="23"/>
      <c r="K3163" s="23"/>
      <c r="L3163" s="375" t="s">
        <v>7787</v>
      </c>
      <c r="M3163" s="351" t="s">
        <v>7787</v>
      </c>
      <c r="N3163" s="267">
        <f t="shared" si="746"/>
        <v>0</v>
      </c>
      <c r="O3163" s="268">
        <f t="shared" si="747"/>
        <v>0</v>
      </c>
      <c r="P3163" s="241"/>
      <c r="Q3163" s="241"/>
      <c r="R3163" s="241"/>
      <c r="S3163" s="241"/>
      <c r="T3163" s="241"/>
      <c r="U3163" s="240"/>
      <c r="V3163" s="240"/>
      <c r="W3163" s="240"/>
      <c r="X3163" s="278"/>
      <c r="Y3163" s="240"/>
      <c r="Z3163" s="237"/>
      <c r="AA3163" s="279"/>
      <c r="AB3163" s="238"/>
      <c r="AC3163" s="196">
        <f t="shared" si="739"/>
        <v>0</v>
      </c>
      <c r="AD3163" s="196">
        <f t="shared" si="740"/>
        <v>0</v>
      </c>
      <c r="AE3163" s="196">
        <f t="shared" si="741"/>
        <v>0</v>
      </c>
      <c r="AF3163" s="2">
        <f t="shared" si="742"/>
        <v>0</v>
      </c>
      <c r="AG3163" s="2">
        <f t="shared" si="743"/>
        <v>0</v>
      </c>
    </row>
    <row r="3164" spans="1:33">
      <c r="A3164" s="377" t="s">
        <v>9298</v>
      </c>
      <c r="B3164" s="162"/>
      <c r="C3164" s="213" t="s">
        <v>16399</v>
      </c>
      <c r="D3164" s="109" t="s">
        <v>16186</v>
      </c>
      <c r="E3164" s="109" t="s">
        <v>16401</v>
      </c>
      <c r="F3164" s="391" t="s">
        <v>16402</v>
      </c>
      <c r="G3164" s="23" t="s">
        <v>16291</v>
      </c>
      <c r="H3164" s="23"/>
      <c r="I3164" s="23"/>
      <c r="J3164" s="23"/>
      <c r="K3164" s="23"/>
      <c r="L3164" s="375" t="s">
        <v>7787</v>
      </c>
      <c r="M3164" s="351" t="s">
        <v>7787</v>
      </c>
      <c r="N3164" s="267">
        <f t="shared" si="746"/>
        <v>0</v>
      </c>
      <c r="O3164" s="268">
        <f t="shared" si="747"/>
        <v>0</v>
      </c>
      <c r="P3164" s="241"/>
      <c r="Q3164" s="241"/>
      <c r="R3164" s="241"/>
      <c r="S3164" s="241"/>
      <c r="T3164" s="241"/>
      <c r="U3164" s="240"/>
      <c r="V3164" s="240"/>
      <c r="W3164" s="240"/>
      <c r="X3164" s="278"/>
      <c r="Y3164" s="249"/>
      <c r="Z3164" s="237"/>
      <c r="AA3164" s="279"/>
      <c r="AB3164" s="238"/>
      <c r="AC3164" s="196">
        <f t="shared" si="739"/>
        <v>0</v>
      </c>
      <c r="AD3164" s="196">
        <f t="shared" si="740"/>
        <v>0</v>
      </c>
      <c r="AE3164" s="196">
        <f t="shared" si="741"/>
        <v>0</v>
      </c>
      <c r="AF3164" s="2">
        <f t="shared" si="742"/>
        <v>0</v>
      </c>
      <c r="AG3164" s="2">
        <f t="shared" si="743"/>
        <v>0</v>
      </c>
    </row>
    <row r="3165" spans="1:33">
      <c r="A3165" s="377" t="s">
        <v>9298</v>
      </c>
      <c r="B3165" s="162"/>
      <c r="C3165" s="213" t="s">
        <v>16399</v>
      </c>
      <c r="D3165" s="109" t="s">
        <v>16186</v>
      </c>
      <c r="E3165" s="109" t="s">
        <v>16401</v>
      </c>
      <c r="F3165" s="393" t="s">
        <v>16400</v>
      </c>
      <c r="G3165" s="380" t="s">
        <v>16304</v>
      </c>
      <c r="H3165" s="380"/>
      <c r="I3165" s="380"/>
      <c r="J3165" s="380"/>
      <c r="K3165" s="380"/>
      <c r="L3165" s="375" t="s">
        <v>7787</v>
      </c>
      <c r="M3165" s="351">
        <v>0</v>
      </c>
      <c r="N3165" s="267">
        <f t="shared" si="746"/>
        <v>0</v>
      </c>
      <c r="O3165" s="268">
        <f t="shared" si="747"/>
        <v>0</v>
      </c>
      <c r="P3165" s="249"/>
      <c r="Q3165" s="249"/>
      <c r="R3165" s="249"/>
      <c r="S3165" s="249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9"/>
        <v>0</v>
      </c>
      <c r="AD3165" s="196">
        <f t="shared" si="740"/>
        <v>0</v>
      </c>
      <c r="AE3165" s="196">
        <f t="shared" si="741"/>
        <v>0</v>
      </c>
      <c r="AF3165" s="2">
        <f t="shared" si="742"/>
        <v>0</v>
      </c>
      <c r="AG3165" s="2">
        <f t="shared" si="743"/>
        <v>0</v>
      </c>
    </row>
    <row r="3166" spans="1:33">
      <c r="A3166" s="377" t="s">
        <v>9504</v>
      </c>
      <c r="B3166" s="162"/>
      <c r="C3166" s="213" t="s">
        <v>16403</v>
      </c>
      <c r="D3166" s="109" t="s">
        <v>7954</v>
      </c>
      <c r="E3166" s="109" t="s">
        <v>16404</v>
      </c>
      <c r="F3166" s="393" t="s">
        <v>16402</v>
      </c>
      <c r="G3166" s="380" t="s">
        <v>16291</v>
      </c>
      <c r="H3166" s="380"/>
      <c r="I3166" s="380"/>
      <c r="J3166" s="380"/>
      <c r="K3166" s="380"/>
      <c r="L3166" s="375"/>
      <c r="M3166" s="351"/>
      <c r="N3166" s="267">
        <f t="shared" si="746"/>
        <v>0</v>
      </c>
      <c r="O3166" s="268">
        <f t="shared" si="747"/>
        <v>0</v>
      </c>
      <c r="P3166" s="249"/>
      <c r="Q3166" s="249"/>
      <c r="R3166" s="249"/>
      <c r="S3166" s="249"/>
      <c r="T3166" s="249"/>
      <c r="U3166" s="240"/>
      <c r="V3166" s="240"/>
      <c r="W3166" s="240"/>
      <c r="X3166" s="278"/>
      <c r="Y3166" s="249"/>
      <c r="Z3166" s="240"/>
      <c r="AA3166" s="292"/>
      <c r="AB3166" s="389"/>
      <c r="AC3166" s="196">
        <f t="shared" si="739"/>
        <v>0</v>
      </c>
      <c r="AD3166" s="196">
        <f t="shared" si="740"/>
        <v>0</v>
      </c>
      <c r="AE3166" s="196">
        <f t="shared" si="741"/>
        <v>0</v>
      </c>
      <c r="AF3166" s="2">
        <f t="shared" si="742"/>
        <v>0</v>
      </c>
      <c r="AG3166" s="2">
        <f t="shared" si="743"/>
        <v>0</v>
      </c>
    </row>
    <row r="3167" spans="1:33">
      <c r="A3167" s="377" t="s">
        <v>9504</v>
      </c>
      <c r="B3167" s="162"/>
      <c r="C3167" s="387" t="s">
        <v>16403</v>
      </c>
      <c r="D3167" s="219" t="s">
        <v>7954</v>
      </c>
      <c r="E3167" s="202" t="s">
        <v>16405</v>
      </c>
      <c r="F3167" s="393" t="s">
        <v>16402</v>
      </c>
      <c r="G3167" s="380" t="s">
        <v>16291</v>
      </c>
      <c r="H3167" s="380"/>
      <c r="I3167" s="380"/>
      <c r="J3167" s="380"/>
      <c r="K3167" s="380"/>
      <c r="L3167" s="375" t="s">
        <v>7787</v>
      </c>
      <c r="M3167" s="351"/>
      <c r="N3167" s="267">
        <f t="shared" si="746"/>
        <v>0</v>
      </c>
      <c r="O3167" s="268">
        <f t="shared" si="747"/>
        <v>0</v>
      </c>
      <c r="P3167" s="249"/>
      <c r="Q3167" s="249"/>
      <c r="R3167" s="249"/>
      <c r="S3167" s="240"/>
      <c r="T3167" s="249"/>
      <c r="U3167" s="240"/>
      <c r="V3167" s="240"/>
      <c r="W3167" s="240"/>
      <c r="X3167" s="278"/>
      <c r="Y3167" s="249"/>
      <c r="Z3167" s="240"/>
      <c r="AA3167" s="292"/>
      <c r="AB3167" s="389"/>
      <c r="AC3167" s="196">
        <f t="shared" si="739"/>
        <v>0</v>
      </c>
      <c r="AD3167" s="196">
        <f t="shared" si="740"/>
        <v>0</v>
      </c>
      <c r="AE3167" s="196">
        <f t="shared" si="741"/>
        <v>0</v>
      </c>
      <c r="AF3167" s="2">
        <f t="shared" si="742"/>
        <v>0</v>
      </c>
      <c r="AG3167" s="2">
        <f t="shared" si="743"/>
        <v>0</v>
      </c>
    </row>
    <row r="3168" spans="1:33">
      <c r="A3168" s="20" t="s">
        <v>10213</v>
      </c>
      <c r="B3168" s="162"/>
      <c r="C3168" s="390" t="s">
        <v>16403</v>
      </c>
      <c r="D3168" s="202" t="s">
        <v>7954</v>
      </c>
      <c r="E3168" s="202" t="s">
        <v>16405</v>
      </c>
      <c r="F3168" s="399" t="s">
        <v>16400</v>
      </c>
      <c r="G3168" s="23" t="s">
        <v>16304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6"/>
        <v>0</v>
      </c>
      <c r="O3168" s="268">
        <f t="shared" si="747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94"/>
      <c r="Z3168" s="294"/>
      <c r="AA3168" s="296"/>
      <c r="AB3168" s="257"/>
      <c r="AC3168" s="196">
        <f t="shared" si="739"/>
        <v>0</v>
      </c>
      <c r="AD3168" s="196">
        <f t="shared" si="740"/>
        <v>0</v>
      </c>
      <c r="AE3168" s="196">
        <f t="shared" si="741"/>
        <v>0</v>
      </c>
      <c r="AF3168" s="2">
        <f t="shared" si="742"/>
        <v>0</v>
      </c>
      <c r="AG3168" s="2">
        <f t="shared" si="743"/>
        <v>0</v>
      </c>
    </row>
    <row r="3169" spans="1:33">
      <c r="A3169" s="20" t="s">
        <v>9504</v>
      </c>
      <c r="B3169" s="162"/>
      <c r="C3169" s="21" t="s">
        <v>16406</v>
      </c>
      <c r="D3169" s="109" t="s">
        <v>7954</v>
      </c>
      <c r="E3169" s="109" t="s">
        <v>16404</v>
      </c>
      <c r="F3169" s="399" t="s">
        <v>16400</v>
      </c>
      <c r="G3169" s="23" t="s">
        <v>16304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6"/>
        <v>0</v>
      </c>
      <c r="O3169" s="268">
        <f t="shared" si="747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9"/>
        <v>0</v>
      </c>
      <c r="AD3169" s="196">
        <f t="shared" si="740"/>
        <v>0</v>
      </c>
      <c r="AE3169" s="196">
        <f t="shared" si="741"/>
        <v>0</v>
      </c>
      <c r="AF3169" s="2">
        <f t="shared" si="742"/>
        <v>0</v>
      </c>
      <c r="AG3169" s="2">
        <f t="shared" si="743"/>
        <v>0</v>
      </c>
    </row>
    <row r="3170" spans="1:33">
      <c r="A3170" s="20" t="s">
        <v>9773</v>
      </c>
      <c r="B3170" s="162"/>
      <c r="C3170" s="21" t="s">
        <v>9780</v>
      </c>
      <c r="D3170" s="109" t="s">
        <v>7954</v>
      </c>
      <c r="E3170" s="109" t="s">
        <v>16404</v>
      </c>
      <c r="F3170" s="399" t="s">
        <v>16400</v>
      </c>
      <c r="G3170" s="23" t="s">
        <v>15443</v>
      </c>
      <c r="H3170" s="23"/>
      <c r="I3170" s="23"/>
      <c r="J3170" s="23"/>
      <c r="K3170" s="23"/>
      <c r="L3170" s="375" t="s">
        <v>7787</v>
      </c>
      <c r="M3170" s="351" t="s">
        <v>7787</v>
      </c>
      <c r="N3170" s="267">
        <f t="shared" si="746"/>
        <v>0</v>
      </c>
      <c r="O3170" s="268">
        <f t="shared" si="747"/>
        <v>0</v>
      </c>
      <c r="P3170" s="256"/>
      <c r="Q3170" s="256"/>
      <c r="R3170" s="256"/>
      <c r="S3170" s="256"/>
      <c r="T3170" s="256"/>
      <c r="U3170" s="294"/>
      <c r="V3170" s="294"/>
      <c r="W3170" s="294"/>
      <c r="X3170" s="295"/>
      <c r="Y3170" s="249"/>
      <c r="Z3170" s="294"/>
      <c r="AA3170" s="296"/>
      <c r="AB3170" s="257"/>
      <c r="AC3170" s="196">
        <f t="shared" si="739"/>
        <v>0</v>
      </c>
      <c r="AD3170" s="196">
        <f t="shared" si="740"/>
        <v>0</v>
      </c>
      <c r="AE3170" s="196">
        <f t="shared" si="741"/>
        <v>0</v>
      </c>
      <c r="AF3170" s="2">
        <f t="shared" si="742"/>
        <v>0</v>
      </c>
      <c r="AG3170" s="2">
        <f t="shared" si="743"/>
        <v>0</v>
      </c>
    </row>
    <row r="3171" spans="1:33">
      <c r="A3171" s="20" t="s">
        <v>9779</v>
      </c>
      <c r="B3171" s="162"/>
      <c r="C3171" s="21" t="s">
        <v>9856</v>
      </c>
      <c r="D3171" s="109" t="s">
        <v>7954</v>
      </c>
      <c r="E3171" s="109" t="s">
        <v>16404</v>
      </c>
      <c r="F3171" s="399" t="s">
        <v>16400</v>
      </c>
      <c r="G3171" s="23" t="s">
        <v>15443</v>
      </c>
      <c r="H3171" s="23"/>
      <c r="I3171" s="23"/>
      <c r="J3171" s="23"/>
      <c r="K3171" s="23"/>
      <c r="L3171" s="375" t="s">
        <v>7787</v>
      </c>
      <c r="M3171" s="351" t="s">
        <v>7787</v>
      </c>
      <c r="N3171" s="267">
        <f t="shared" si="746"/>
        <v>0</v>
      </c>
      <c r="O3171" s="268">
        <f t="shared" si="747"/>
        <v>0</v>
      </c>
      <c r="P3171" s="256"/>
      <c r="Q3171" s="256"/>
      <c r="R3171" s="256"/>
      <c r="S3171" s="256"/>
      <c r="T3171" s="256"/>
      <c r="U3171" s="294"/>
      <c r="V3171" s="294"/>
      <c r="W3171" s="294"/>
      <c r="X3171" s="295"/>
      <c r="Y3171" s="249"/>
      <c r="Z3171" s="294"/>
      <c r="AA3171" s="296"/>
      <c r="AB3171" s="257"/>
      <c r="AC3171" s="196">
        <f t="shared" si="739"/>
        <v>0</v>
      </c>
      <c r="AD3171" s="196">
        <f t="shared" si="740"/>
        <v>0</v>
      </c>
      <c r="AE3171" s="196">
        <f t="shared" si="741"/>
        <v>0</v>
      </c>
      <c r="AF3171" s="2">
        <f t="shared" si="742"/>
        <v>0</v>
      </c>
      <c r="AG3171" s="2">
        <f t="shared" si="743"/>
        <v>0</v>
      </c>
    </row>
    <row r="3172" spans="1:33">
      <c r="A3172" s="20" t="s">
        <v>7518</v>
      </c>
      <c r="B3172" s="162"/>
      <c r="C3172" s="21" t="s">
        <v>16407</v>
      </c>
      <c r="D3172" s="109" t="s">
        <v>15167</v>
      </c>
      <c r="E3172" s="109"/>
      <c r="F3172" s="391" t="s">
        <v>16408</v>
      </c>
      <c r="G3172" s="23" t="s">
        <v>16285</v>
      </c>
      <c r="H3172" s="23" t="s">
        <v>15621</v>
      </c>
      <c r="I3172" s="23" t="s">
        <v>13970</v>
      </c>
      <c r="J3172" s="23"/>
      <c r="K3172" s="23"/>
      <c r="L3172" s="375" t="s">
        <v>7787</v>
      </c>
      <c r="M3172" s="351" t="s">
        <v>7787</v>
      </c>
      <c r="N3172" s="267">
        <f t="shared" si="746"/>
        <v>0</v>
      </c>
      <c r="O3172" s="268">
        <f t="shared" si="747"/>
        <v>0</v>
      </c>
      <c r="P3172" s="241"/>
      <c r="Q3172" s="241"/>
      <c r="R3172" s="249"/>
      <c r="S3172" s="249"/>
      <c r="T3172" s="241"/>
      <c r="U3172" s="240"/>
      <c r="V3172" s="240"/>
      <c r="W3172" s="240"/>
      <c r="X3172" s="278"/>
      <c r="Y3172" s="237"/>
      <c r="Z3172" s="237"/>
      <c r="AA3172" s="279"/>
      <c r="AB3172" s="238"/>
      <c r="AC3172" s="196">
        <f t="shared" si="739"/>
        <v>0</v>
      </c>
      <c r="AD3172" s="196">
        <f t="shared" si="740"/>
        <v>0</v>
      </c>
      <c r="AE3172" s="196">
        <f t="shared" si="741"/>
        <v>0</v>
      </c>
      <c r="AF3172" s="2">
        <f t="shared" si="742"/>
        <v>0</v>
      </c>
      <c r="AG3172" s="2">
        <f t="shared" si="743"/>
        <v>0</v>
      </c>
    </row>
    <row r="3173" spans="1:33">
      <c r="A3173" s="20" t="s">
        <v>9505</v>
      </c>
      <c r="B3173" s="162"/>
      <c r="C3173" s="21" t="s">
        <v>16407</v>
      </c>
      <c r="D3173" s="109" t="s">
        <v>15167</v>
      </c>
      <c r="E3173" s="109" t="s">
        <v>16354</v>
      </c>
      <c r="F3173" s="391" t="s">
        <v>16408</v>
      </c>
      <c r="G3173" s="23" t="s">
        <v>16355</v>
      </c>
      <c r="H3173" s="23"/>
      <c r="I3173" s="23"/>
      <c r="J3173" s="23"/>
      <c r="K3173" s="23"/>
      <c r="L3173" s="375"/>
      <c r="M3173" s="351"/>
      <c r="N3173" s="267">
        <f t="shared" si="746"/>
        <v>0</v>
      </c>
      <c r="O3173" s="268">
        <f t="shared" si="747"/>
        <v>0</v>
      </c>
      <c r="P3173" s="241"/>
      <c r="Q3173" s="241"/>
      <c r="R3173" s="249"/>
      <c r="S3173" s="241"/>
      <c r="T3173" s="241"/>
      <c r="U3173" s="240"/>
      <c r="V3173" s="240"/>
      <c r="W3173" s="240"/>
      <c r="X3173" s="278"/>
      <c r="Y3173" s="241"/>
      <c r="Z3173" s="237"/>
      <c r="AA3173" s="279"/>
      <c r="AB3173" s="238"/>
      <c r="AC3173" s="196">
        <f t="shared" si="739"/>
        <v>0</v>
      </c>
      <c r="AD3173" s="196">
        <f t="shared" si="740"/>
        <v>0</v>
      </c>
      <c r="AE3173" s="196">
        <f t="shared" si="741"/>
        <v>0</v>
      </c>
      <c r="AF3173" s="2">
        <f t="shared" si="742"/>
        <v>0</v>
      </c>
      <c r="AG3173" s="2">
        <f t="shared" si="743"/>
        <v>0</v>
      </c>
    </row>
    <row r="3174" spans="1:33">
      <c r="A3174" s="20" t="s">
        <v>9222</v>
      </c>
      <c r="B3174" s="162"/>
      <c r="C3174" s="21" t="s">
        <v>16407</v>
      </c>
      <c r="D3174" s="109" t="s">
        <v>16254</v>
      </c>
      <c r="E3174" s="109" t="s">
        <v>15965</v>
      </c>
      <c r="F3174" s="391" t="s">
        <v>16408</v>
      </c>
      <c r="G3174" s="23" t="s">
        <v>16285</v>
      </c>
      <c r="H3174" s="23" t="s">
        <v>16355</v>
      </c>
      <c r="I3174" s="23"/>
      <c r="J3174" s="23"/>
      <c r="K3174" s="23"/>
      <c r="L3174" s="375"/>
      <c r="M3174" s="351"/>
      <c r="N3174" s="267">
        <f t="shared" si="746"/>
        <v>0</v>
      </c>
      <c r="O3174" s="268">
        <f t="shared" si="747"/>
        <v>0</v>
      </c>
      <c r="P3174" s="241"/>
      <c r="Q3174" s="241"/>
      <c r="R3174" s="249"/>
      <c r="S3174" s="241"/>
      <c r="T3174" s="241"/>
      <c r="U3174" s="240"/>
      <c r="V3174" s="240"/>
      <c r="W3174" s="240"/>
      <c r="X3174" s="278"/>
      <c r="Y3174" s="237"/>
      <c r="Z3174" s="237"/>
      <c r="AA3174" s="279"/>
      <c r="AB3174" s="238"/>
      <c r="AC3174" s="196">
        <f t="shared" si="739"/>
        <v>0</v>
      </c>
      <c r="AD3174" s="196">
        <f t="shared" si="740"/>
        <v>0</v>
      </c>
      <c r="AE3174" s="196">
        <f t="shared" si="741"/>
        <v>0</v>
      </c>
      <c r="AF3174" s="2">
        <f t="shared" si="742"/>
        <v>0</v>
      </c>
      <c r="AG3174" s="2">
        <f t="shared" si="743"/>
        <v>0</v>
      </c>
    </row>
    <row r="3175" spans="1:33">
      <c r="A3175" s="20" t="s">
        <v>7730</v>
      </c>
      <c r="B3175" s="162"/>
      <c r="C3175" s="21" t="s">
        <v>16409</v>
      </c>
      <c r="D3175" s="109" t="s">
        <v>16186</v>
      </c>
      <c r="E3175" s="109"/>
      <c r="F3175" s="391" t="s">
        <v>16410</v>
      </c>
      <c r="G3175" s="23" t="s">
        <v>16345</v>
      </c>
      <c r="H3175" s="23"/>
      <c r="I3175" s="23"/>
      <c r="J3175" s="23"/>
      <c r="K3175" s="23"/>
      <c r="L3175" s="375" t="s">
        <v>7787</v>
      </c>
      <c r="M3175" s="351"/>
      <c r="N3175" s="267">
        <f t="shared" si="746"/>
        <v>0</v>
      </c>
      <c r="O3175" s="268">
        <f t="shared" si="747"/>
        <v>0</v>
      </c>
      <c r="P3175" s="241"/>
      <c r="Q3175" s="241"/>
      <c r="R3175" s="241"/>
      <c r="S3175" s="241"/>
      <c r="T3175" s="241"/>
      <c r="U3175" s="240"/>
      <c r="V3175" s="240"/>
      <c r="W3175" s="240"/>
      <c r="X3175" s="278"/>
      <c r="Y3175" s="241"/>
      <c r="Z3175" s="237"/>
      <c r="AA3175" s="279"/>
      <c r="AB3175" s="238"/>
      <c r="AC3175" s="196">
        <f t="shared" si="739"/>
        <v>0</v>
      </c>
      <c r="AD3175" s="196">
        <f t="shared" si="740"/>
        <v>0</v>
      </c>
      <c r="AE3175" s="196">
        <f t="shared" si="741"/>
        <v>0</v>
      </c>
      <c r="AF3175" s="2">
        <f t="shared" si="742"/>
        <v>0</v>
      </c>
      <c r="AG3175" s="2">
        <f t="shared" si="743"/>
        <v>0</v>
      </c>
    </row>
    <row r="3176" spans="1:33">
      <c r="A3176" s="20" t="s">
        <v>7729</v>
      </c>
      <c r="B3176" s="162"/>
      <c r="C3176" s="21" t="s">
        <v>16411</v>
      </c>
      <c r="D3176" s="109" t="s">
        <v>15167</v>
      </c>
      <c r="E3176" s="109"/>
      <c r="F3176" s="391" t="s">
        <v>16412</v>
      </c>
      <c r="G3176" s="23" t="s">
        <v>16413</v>
      </c>
      <c r="H3176" s="23" t="s">
        <v>26667</v>
      </c>
      <c r="I3176" s="23" t="s">
        <v>18139</v>
      </c>
      <c r="J3176" s="23" t="s">
        <v>26090</v>
      </c>
      <c r="K3176" s="23" t="s">
        <v>13349</v>
      </c>
      <c r="L3176" s="375"/>
      <c r="M3176" s="351" t="s">
        <v>45</v>
      </c>
      <c r="N3176" s="267">
        <f t="shared" si="746"/>
        <v>0</v>
      </c>
      <c r="O3176" s="268">
        <f t="shared" si="747"/>
        <v>350</v>
      </c>
      <c r="P3176" s="241"/>
      <c r="Q3176" s="241">
        <f>450-100</f>
        <v>350</v>
      </c>
      <c r="R3176" s="241"/>
      <c r="S3176" s="241"/>
      <c r="T3176" s="241"/>
      <c r="U3176" s="240"/>
      <c r="V3176" s="240"/>
      <c r="W3176" s="240"/>
      <c r="X3176" s="278"/>
      <c r="Y3176" s="241"/>
      <c r="Z3176" s="237"/>
      <c r="AA3176" s="279"/>
      <c r="AB3176" s="238" t="s">
        <v>26700</v>
      </c>
      <c r="AC3176" s="196">
        <f t="shared" si="739"/>
        <v>350</v>
      </c>
      <c r="AD3176" s="196">
        <f t="shared" si="740"/>
        <v>350</v>
      </c>
      <c r="AE3176" s="196">
        <f t="shared" si="741"/>
        <v>0</v>
      </c>
      <c r="AF3176" s="2">
        <f t="shared" si="742"/>
        <v>350</v>
      </c>
      <c r="AG3176" s="2">
        <f t="shared" si="743"/>
        <v>0</v>
      </c>
    </row>
    <row r="3177" spans="1:33">
      <c r="A3177" s="20" t="s">
        <v>7600</v>
      </c>
      <c r="B3177" s="162"/>
      <c r="C3177" s="21" t="s">
        <v>16414</v>
      </c>
      <c r="D3177" s="109" t="s">
        <v>16313</v>
      </c>
      <c r="E3177" s="109"/>
      <c r="F3177" s="391" t="s">
        <v>16415</v>
      </c>
      <c r="G3177" s="23" t="s">
        <v>16416</v>
      </c>
      <c r="H3177" s="23" t="s">
        <v>16417</v>
      </c>
      <c r="I3177" s="23"/>
      <c r="J3177" s="23"/>
      <c r="K3177" s="23"/>
      <c r="L3177" s="375" t="s">
        <v>7787</v>
      </c>
      <c r="M3177" s="351" t="s">
        <v>7787</v>
      </c>
      <c r="N3177" s="267">
        <f t="shared" si="746"/>
        <v>0</v>
      </c>
      <c r="O3177" s="268">
        <f t="shared" si="747"/>
        <v>0</v>
      </c>
      <c r="P3177" s="241"/>
      <c r="Q3177" s="241"/>
      <c r="R3177" s="241"/>
      <c r="S3177" s="241"/>
      <c r="T3177" s="241"/>
      <c r="U3177" s="240"/>
      <c r="V3177" s="241"/>
      <c r="W3177" s="240"/>
      <c r="X3177" s="278"/>
      <c r="Y3177" s="241"/>
      <c r="Z3177" s="237"/>
      <c r="AA3177" s="279"/>
      <c r="AB3177" s="238"/>
      <c r="AC3177" s="196">
        <f t="shared" ref="AC3177:AC3240" si="755">SUM(P3177:AA3177)</f>
        <v>0</v>
      </c>
      <c r="AD3177" s="196">
        <f t="shared" ref="AD3177:AD3240" si="756">SUM(P3177:AB3177)</f>
        <v>0</v>
      </c>
      <c r="AE3177" s="196">
        <f t="shared" ref="AE3177:AE3240" si="757">SUM(AC3177-AD3177)</f>
        <v>0</v>
      </c>
      <c r="AF3177" s="2">
        <f t="shared" ref="AF3177:AF3240" si="758">+AC3177</f>
        <v>0</v>
      </c>
      <c r="AG3177" s="2">
        <f t="shared" ref="AG3177:AG3240" si="759">+AC3177-AF3177</f>
        <v>0</v>
      </c>
    </row>
    <row r="3178" spans="1:33">
      <c r="A3178" s="20" t="s">
        <v>2772</v>
      </c>
      <c r="B3178" s="150"/>
      <c r="C3178" s="21" t="s">
        <v>832</v>
      </c>
      <c r="D3178" s="109" t="s">
        <v>16231</v>
      </c>
      <c r="E3178" s="109"/>
      <c r="F3178" s="391" t="s">
        <v>16418</v>
      </c>
      <c r="G3178" s="23"/>
      <c r="H3178" s="23"/>
      <c r="I3178" s="23"/>
      <c r="J3178" s="23"/>
      <c r="K3178" s="23"/>
      <c r="L3178" s="350"/>
      <c r="M3178" s="351"/>
      <c r="N3178" s="267">
        <f t="shared" si="746"/>
        <v>0</v>
      </c>
      <c r="O3178" s="268">
        <f t="shared" si="747"/>
        <v>0</v>
      </c>
      <c r="P3178" s="239"/>
      <c r="Q3178" s="239"/>
      <c r="R3178" s="239"/>
      <c r="S3178" s="239"/>
      <c r="T3178" s="239"/>
      <c r="U3178" s="240"/>
      <c r="V3178" s="240"/>
      <c r="W3178" s="240"/>
      <c r="X3178" s="278"/>
      <c r="Y3178" s="237"/>
      <c r="Z3178" s="237"/>
      <c r="AA3178" s="279"/>
      <c r="AB3178" s="238"/>
      <c r="AC3178" s="196">
        <f t="shared" si="755"/>
        <v>0</v>
      </c>
      <c r="AD3178" s="196">
        <f t="shared" si="756"/>
        <v>0</v>
      </c>
      <c r="AE3178" s="196">
        <f t="shared" si="757"/>
        <v>0</v>
      </c>
      <c r="AF3178" s="2">
        <f t="shared" si="758"/>
        <v>0</v>
      </c>
      <c r="AG3178" s="2">
        <f t="shared" si="759"/>
        <v>0</v>
      </c>
    </row>
    <row r="3179" spans="1:33">
      <c r="A3179" s="20" t="s">
        <v>8218</v>
      </c>
      <c r="B3179" s="150"/>
      <c r="C3179" s="21" t="s">
        <v>16419</v>
      </c>
      <c r="D3179" s="109" t="s">
        <v>16313</v>
      </c>
      <c r="E3179" s="109"/>
      <c r="F3179" s="391" t="s">
        <v>16420</v>
      </c>
      <c r="G3179" s="23" t="s">
        <v>16379</v>
      </c>
      <c r="H3179" s="23" t="s">
        <v>15621</v>
      </c>
      <c r="I3179" s="23"/>
      <c r="J3179" s="23"/>
      <c r="K3179" s="23"/>
      <c r="L3179" s="375" t="s">
        <v>7787</v>
      </c>
      <c r="M3179" s="351" t="s">
        <v>7787</v>
      </c>
      <c r="N3179" s="267">
        <f t="shared" si="746"/>
        <v>0</v>
      </c>
      <c r="O3179" s="268">
        <f t="shared" si="747"/>
        <v>0</v>
      </c>
      <c r="P3179" s="239"/>
      <c r="Q3179" s="239"/>
      <c r="R3179" s="241"/>
      <c r="S3179" s="239"/>
      <c r="T3179" s="239"/>
      <c r="U3179" s="240"/>
      <c r="V3179" s="240"/>
      <c r="W3179" s="240"/>
      <c r="X3179" s="278"/>
      <c r="Y3179" s="237"/>
      <c r="Z3179" s="237"/>
      <c r="AA3179" s="279"/>
      <c r="AB3179" s="238"/>
      <c r="AC3179" s="196">
        <f t="shared" si="755"/>
        <v>0</v>
      </c>
      <c r="AD3179" s="196">
        <f t="shared" si="756"/>
        <v>0</v>
      </c>
      <c r="AE3179" s="196">
        <f t="shared" si="757"/>
        <v>0</v>
      </c>
      <c r="AF3179" s="2">
        <f t="shared" si="758"/>
        <v>0</v>
      </c>
      <c r="AG3179" s="2">
        <f t="shared" si="759"/>
        <v>0</v>
      </c>
    </row>
    <row r="3180" spans="1:33">
      <c r="A3180" s="20" t="s">
        <v>11017</v>
      </c>
      <c r="B3180" s="150"/>
      <c r="C3180" s="21" t="s">
        <v>11042</v>
      </c>
      <c r="D3180" s="109" t="s">
        <v>7389</v>
      </c>
      <c r="E3180" s="109" t="s">
        <v>8213</v>
      </c>
      <c r="F3180" s="391" t="s">
        <v>11043</v>
      </c>
      <c r="G3180" s="23" t="s">
        <v>11044</v>
      </c>
      <c r="H3180" s="23" t="s">
        <v>6774</v>
      </c>
      <c r="I3180" s="23" t="s">
        <v>25392</v>
      </c>
      <c r="J3180" s="23" t="s">
        <v>6133</v>
      </c>
      <c r="K3180" s="23" t="s">
        <v>13934</v>
      </c>
      <c r="L3180" s="375" t="s">
        <v>45</v>
      </c>
      <c r="M3180" s="351" t="s">
        <v>45</v>
      </c>
      <c r="N3180" s="267">
        <f t="shared" si="746"/>
        <v>0</v>
      </c>
      <c r="O3180" s="268">
        <f t="shared" si="747"/>
        <v>0</v>
      </c>
      <c r="P3180" s="239"/>
      <c r="Q3180" s="239"/>
      <c r="R3180" s="241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/>
      <c r="AC3180" s="196">
        <f t="shared" si="755"/>
        <v>0</v>
      </c>
      <c r="AD3180" s="196">
        <f t="shared" si="756"/>
        <v>0</v>
      </c>
      <c r="AE3180" s="196">
        <f t="shared" si="757"/>
        <v>0</v>
      </c>
      <c r="AF3180" s="2">
        <f t="shared" si="758"/>
        <v>0</v>
      </c>
      <c r="AG3180" s="2">
        <f t="shared" si="759"/>
        <v>0</v>
      </c>
    </row>
    <row r="3181" spans="1:33">
      <c r="A3181" s="20" t="s">
        <v>26266</v>
      </c>
      <c r="B3181" s="150"/>
      <c r="C3181" s="21" t="s">
        <v>11042</v>
      </c>
      <c r="D3181" s="109" t="s">
        <v>7389</v>
      </c>
      <c r="E3181" s="109" t="s">
        <v>26420</v>
      </c>
      <c r="F3181" s="391" t="s">
        <v>11043</v>
      </c>
      <c r="G3181" s="23" t="s">
        <v>11044</v>
      </c>
      <c r="H3181" s="23" t="s">
        <v>6774</v>
      </c>
      <c r="I3181" s="23" t="s">
        <v>26322</v>
      </c>
      <c r="J3181" s="23" t="s">
        <v>10645</v>
      </c>
      <c r="K3181" s="23" t="s">
        <v>26151</v>
      </c>
      <c r="L3181" s="375" t="s">
        <v>7787</v>
      </c>
      <c r="M3181" s="351" t="s">
        <v>7787</v>
      </c>
      <c r="N3181" s="267">
        <f t="shared" ref="N3181" si="760">SUM(L3181:M3181)</f>
        <v>0</v>
      </c>
      <c r="O3181" s="268">
        <f t="shared" ref="O3181" si="761">SUM(P3181:Z3181)</f>
        <v>6350</v>
      </c>
      <c r="P3181" s="239"/>
      <c r="Q3181" s="239">
        <f>1700+3300+1900+1100-250-300-500-300-300</f>
        <v>6350</v>
      </c>
      <c r="R3181" s="239"/>
      <c r="S3181" s="239"/>
      <c r="T3181" s="239"/>
      <c r="U3181" s="240"/>
      <c r="V3181" s="240"/>
      <c r="W3181" s="240"/>
      <c r="X3181" s="278"/>
      <c r="Y3181" s="241"/>
      <c r="Z3181" s="237"/>
      <c r="AA3181" s="279"/>
      <c r="AB3181" s="238" t="s">
        <v>26421</v>
      </c>
      <c r="AC3181" s="196">
        <f t="shared" si="755"/>
        <v>6350</v>
      </c>
      <c r="AD3181" s="196">
        <f t="shared" si="756"/>
        <v>6350</v>
      </c>
      <c r="AE3181" s="196">
        <f t="shared" si="757"/>
        <v>0</v>
      </c>
      <c r="AF3181" s="2">
        <f t="shared" si="758"/>
        <v>6350</v>
      </c>
      <c r="AG3181" s="2">
        <f t="shared" si="759"/>
        <v>0</v>
      </c>
    </row>
    <row r="3182" spans="1:33">
      <c r="A3182" s="20" t="s">
        <v>19921</v>
      </c>
      <c r="B3182" s="150"/>
      <c r="C3182" s="21" t="s">
        <v>11042</v>
      </c>
      <c r="D3182" s="109" t="s">
        <v>7389</v>
      </c>
      <c r="E3182" s="109" t="s">
        <v>19759</v>
      </c>
      <c r="F3182" s="391" t="s">
        <v>11043</v>
      </c>
      <c r="G3182" s="23" t="s">
        <v>6774</v>
      </c>
      <c r="H3182" s="23" t="s">
        <v>13934</v>
      </c>
      <c r="I3182" s="23" t="s">
        <v>6133</v>
      </c>
      <c r="J3182" s="23"/>
      <c r="K3182" s="23"/>
      <c r="L3182" s="375"/>
      <c r="M3182" s="351" t="s">
        <v>7787</v>
      </c>
      <c r="N3182" s="267">
        <f t="shared" si="746"/>
        <v>0</v>
      </c>
      <c r="O3182" s="268">
        <f t="shared" si="747"/>
        <v>0</v>
      </c>
      <c r="P3182" s="239"/>
      <c r="Q3182" s="241"/>
      <c r="R3182" s="241"/>
      <c r="S3182" s="239"/>
      <c r="T3182" s="239"/>
      <c r="U3182" s="240"/>
      <c r="V3182" s="240"/>
      <c r="W3182" s="240"/>
      <c r="X3182" s="278"/>
      <c r="Y3182" s="241"/>
      <c r="Z3182" s="237"/>
      <c r="AA3182" s="279"/>
      <c r="AB3182" s="238"/>
      <c r="AC3182" s="196">
        <f t="shared" si="755"/>
        <v>0</v>
      </c>
      <c r="AD3182" s="196">
        <f t="shared" si="756"/>
        <v>0</v>
      </c>
      <c r="AE3182" s="196">
        <f t="shared" si="757"/>
        <v>0</v>
      </c>
      <c r="AF3182" s="2">
        <f t="shared" si="758"/>
        <v>0</v>
      </c>
      <c r="AG3182" s="2">
        <f t="shared" si="759"/>
        <v>0</v>
      </c>
    </row>
    <row r="3183" spans="1:33">
      <c r="A3183" s="20" t="s">
        <v>20234</v>
      </c>
      <c r="B3183" s="150"/>
      <c r="C3183" s="21" t="s">
        <v>11042</v>
      </c>
      <c r="D3183" s="109" t="s">
        <v>3088</v>
      </c>
      <c r="E3183" s="109" t="s">
        <v>8213</v>
      </c>
      <c r="F3183" s="391" t="s">
        <v>11043</v>
      </c>
      <c r="G3183" s="23" t="s">
        <v>6774</v>
      </c>
      <c r="H3183" s="23" t="s">
        <v>13934</v>
      </c>
      <c r="I3183" s="23" t="s">
        <v>6133</v>
      </c>
      <c r="J3183" s="23" t="s">
        <v>17522</v>
      </c>
      <c r="K3183" s="23" t="s">
        <v>13349</v>
      </c>
      <c r="L3183" s="375" t="s">
        <v>45</v>
      </c>
      <c r="M3183" s="351" t="s">
        <v>45</v>
      </c>
      <c r="N3183" s="267">
        <f t="shared" si="746"/>
        <v>0</v>
      </c>
      <c r="O3183" s="268">
        <f t="shared" si="747"/>
        <v>0</v>
      </c>
      <c r="P3183" s="239"/>
      <c r="Q3183" s="239"/>
      <c r="R3183" s="239"/>
      <c r="S3183" s="239"/>
      <c r="T3183" s="239"/>
      <c r="U3183" s="240"/>
      <c r="V3183" s="240"/>
      <c r="W3183" s="240"/>
      <c r="X3183" s="278"/>
      <c r="Y3183" s="239"/>
      <c r="Z3183" s="237"/>
      <c r="AA3183" s="279"/>
      <c r="AB3183" s="238"/>
      <c r="AC3183" s="196">
        <f t="shared" si="755"/>
        <v>0</v>
      </c>
      <c r="AD3183" s="196">
        <f t="shared" si="756"/>
        <v>0</v>
      </c>
      <c r="AE3183" s="196">
        <f t="shared" si="757"/>
        <v>0</v>
      </c>
      <c r="AF3183" s="2">
        <f t="shared" si="758"/>
        <v>0</v>
      </c>
      <c r="AG3183" s="2">
        <f t="shared" si="759"/>
        <v>0</v>
      </c>
    </row>
    <row r="3184" spans="1:33">
      <c r="A3184" s="20" t="s">
        <v>26267</v>
      </c>
      <c r="B3184" s="150"/>
      <c r="C3184" s="21" t="s">
        <v>11042</v>
      </c>
      <c r="D3184" s="109" t="s">
        <v>4067</v>
      </c>
      <c r="E3184" s="109" t="s">
        <v>26457</v>
      </c>
      <c r="F3184" s="391" t="s">
        <v>11043</v>
      </c>
      <c r="G3184" s="23" t="s">
        <v>13934</v>
      </c>
      <c r="H3184" s="23" t="s">
        <v>6133</v>
      </c>
      <c r="I3184" s="23"/>
      <c r="J3184" s="23"/>
      <c r="K3184" s="23"/>
      <c r="L3184" s="375" t="s">
        <v>45</v>
      </c>
      <c r="M3184" s="351" t="s">
        <v>7787</v>
      </c>
      <c r="N3184" s="267">
        <f t="shared" ref="N3184" si="762">SUM(L3184:M3184)</f>
        <v>0</v>
      </c>
      <c r="O3184" s="268">
        <f t="shared" ref="O3184" si="763">SUM(P3184:Z3184)</f>
        <v>0</v>
      </c>
      <c r="P3184" s="239"/>
      <c r="Q3184" s="239"/>
      <c r="R3184" s="239"/>
      <c r="S3184" s="239"/>
      <c r="T3184" s="239"/>
      <c r="U3184" s="240"/>
      <c r="V3184" s="240"/>
      <c r="W3184" s="240"/>
      <c r="X3184" s="278"/>
      <c r="Y3184" s="239"/>
      <c r="Z3184" s="237"/>
      <c r="AA3184" s="279"/>
      <c r="AB3184" s="238"/>
      <c r="AC3184" s="196">
        <f t="shared" si="755"/>
        <v>0</v>
      </c>
      <c r="AD3184" s="196">
        <f t="shared" si="756"/>
        <v>0</v>
      </c>
      <c r="AE3184" s="196">
        <f t="shared" si="757"/>
        <v>0</v>
      </c>
      <c r="AF3184" s="2">
        <f t="shared" si="758"/>
        <v>0</v>
      </c>
      <c r="AG3184" s="2">
        <f t="shared" si="759"/>
        <v>0</v>
      </c>
    </row>
    <row r="3185" spans="1:33">
      <c r="A3185" s="20" t="s">
        <v>27077</v>
      </c>
      <c r="B3185" s="150"/>
      <c r="C3185" s="21" t="s">
        <v>11042</v>
      </c>
      <c r="D3185" s="109" t="s">
        <v>4067</v>
      </c>
      <c r="E3185" s="109" t="s">
        <v>26458</v>
      </c>
      <c r="F3185" s="391" t="s">
        <v>11043</v>
      </c>
      <c r="G3185" s="23" t="s">
        <v>6774</v>
      </c>
      <c r="H3185" s="23"/>
      <c r="I3185" s="23"/>
      <c r="J3185" s="23"/>
      <c r="K3185" s="23"/>
      <c r="L3185" s="375" t="s">
        <v>7787</v>
      </c>
      <c r="M3185" s="351" t="s">
        <v>7787</v>
      </c>
      <c r="N3185" s="267">
        <f t="shared" ref="N3185" si="764">SUM(L3185:M3185)</f>
        <v>0</v>
      </c>
      <c r="O3185" s="268">
        <f t="shared" ref="O3185" si="765">SUM(P3185:Z3185)</f>
        <v>3700</v>
      </c>
      <c r="P3185" s="239"/>
      <c r="Q3185" s="239"/>
      <c r="R3185" s="239"/>
      <c r="S3185" s="239"/>
      <c r="T3185" s="239">
        <f>5000-400-4000-100+1000+10000-1000-4900-350-300-200-500-250-100-200</f>
        <v>3700</v>
      </c>
      <c r="U3185" s="240"/>
      <c r="V3185" s="240"/>
      <c r="W3185" s="240"/>
      <c r="X3185" s="278"/>
      <c r="Y3185" s="239"/>
      <c r="Z3185" s="237"/>
      <c r="AA3185" s="279"/>
      <c r="AB3185" s="238" t="s">
        <v>27627</v>
      </c>
      <c r="AC3185" s="196">
        <f t="shared" si="755"/>
        <v>3700</v>
      </c>
      <c r="AD3185" s="196">
        <f t="shared" si="756"/>
        <v>3700</v>
      </c>
      <c r="AE3185" s="196">
        <f t="shared" si="757"/>
        <v>0</v>
      </c>
      <c r="AF3185" s="2">
        <f t="shared" si="758"/>
        <v>3700</v>
      </c>
      <c r="AG3185" s="2">
        <f t="shared" si="759"/>
        <v>0</v>
      </c>
    </row>
    <row r="3186" spans="1:33">
      <c r="A3186" s="20" t="s">
        <v>7784</v>
      </c>
      <c r="B3186" s="150"/>
      <c r="C3186" s="21" t="s">
        <v>16421</v>
      </c>
      <c r="D3186" s="109" t="s">
        <v>16216</v>
      </c>
      <c r="E3186" s="109"/>
      <c r="F3186" s="391" t="s">
        <v>16422</v>
      </c>
      <c r="G3186" s="23" t="s">
        <v>16304</v>
      </c>
      <c r="H3186" s="23"/>
      <c r="I3186" s="23"/>
      <c r="J3186" s="23"/>
      <c r="K3186" s="23"/>
      <c r="L3186" s="375"/>
      <c r="M3186" s="351"/>
      <c r="N3186" s="267">
        <f t="shared" si="746"/>
        <v>0</v>
      </c>
      <c r="O3186" s="268">
        <f t="shared" si="747"/>
        <v>0</v>
      </c>
      <c r="P3186" s="239"/>
      <c r="Q3186" s="239"/>
      <c r="R3186" s="239"/>
      <c r="S3186" s="239"/>
      <c r="T3186" s="239"/>
      <c r="U3186" s="240"/>
      <c r="V3186" s="240"/>
      <c r="W3186" s="240"/>
      <c r="X3186" s="278"/>
      <c r="Y3186" s="278"/>
      <c r="Z3186" s="237"/>
      <c r="AA3186" s="279"/>
      <c r="AB3186" s="238"/>
      <c r="AC3186" s="196">
        <f t="shared" si="755"/>
        <v>0</v>
      </c>
      <c r="AD3186" s="196">
        <f t="shared" si="756"/>
        <v>0</v>
      </c>
      <c r="AE3186" s="196">
        <f t="shared" si="757"/>
        <v>0</v>
      </c>
      <c r="AF3186" s="2">
        <f t="shared" si="758"/>
        <v>0</v>
      </c>
      <c r="AG3186" s="2">
        <f t="shared" si="759"/>
        <v>0</v>
      </c>
    </row>
    <row r="3187" spans="1:33">
      <c r="A3187" s="20" t="s">
        <v>12248</v>
      </c>
      <c r="B3187" s="150"/>
      <c r="C3187" s="21" t="s">
        <v>12158</v>
      </c>
      <c r="D3187" s="109" t="s">
        <v>4067</v>
      </c>
      <c r="E3187" s="109"/>
      <c r="F3187" s="391" t="s">
        <v>16423</v>
      </c>
      <c r="G3187" s="23" t="s">
        <v>5334</v>
      </c>
      <c r="H3187" s="23"/>
      <c r="I3187" s="23"/>
      <c r="J3187" s="23"/>
      <c r="K3187" s="23"/>
      <c r="L3187" s="375" t="s">
        <v>45</v>
      </c>
      <c r="M3187" s="351" t="s">
        <v>45</v>
      </c>
      <c r="N3187" s="267">
        <f t="shared" si="746"/>
        <v>0</v>
      </c>
      <c r="O3187" s="268">
        <f t="shared" si="747"/>
        <v>1000</v>
      </c>
      <c r="P3187" s="239"/>
      <c r="Q3187" s="239"/>
      <c r="R3187" s="240"/>
      <c r="S3187" s="239"/>
      <c r="T3187" s="239"/>
      <c r="U3187" s="240">
        <v>1000</v>
      </c>
      <c r="V3187" s="240"/>
      <c r="W3187" s="240"/>
      <c r="X3187" s="278"/>
      <c r="Y3187" s="278"/>
      <c r="Z3187" s="237"/>
      <c r="AA3187" s="240"/>
      <c r="AB3187" s="238" t="s">
        <v>28017</v>
      </c>
      <c r="AC3187" s="196">
        <f t="shared" si="755"/>
        <v>1000</v>
      </c>
      <c r="AD3187" s="196">
        <f t="shared" si="756"/>
        <v>1000</v>
      </c>
      <c r="AE3187" s="196">
        <f t="shared" si="757"/>
        <v>0</v>
      </c>
      <c r="AF3187" s="2">
        <f t="shared" si="758"/>
        <v>1000</v>
      </c>
      <c r="AG3187" s="2">
        <f t="shared" si="759"/>
        <v>0</v>
      </c>
    </row>
    <row r="3188" spans="1:33">
      <c r="A3188" s="20" t="s">
        <v>7782</v>
      </c>
      <c r="B3188" s="150"/>
      <c r="C3188" s="21" t="s">
        <v>16424</v>
      </c>
      <c r="D3188" s="109" t="s">
        <v>16279</v>
      </c>
      <c r="E3188" s="109"/>
      <c r="F3188" s="391" t="s">
        <v>16425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6"/>
        <v>0</v>
      </c>
      <c r="O3188" s="268">
        <f t="shared" si="747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78"/>
      <c r="Z3188" s="237"/>
      <c r="AA3188" s="279"/>
      <c r="AB3188" s="238"/>
      <c r="AC3188" s="196">
        <f t="shared" si="755"/>
        <v>0</v>
      </c>
      <c r="AD3188" s="196">
        <f t="shared" si="756"/>
        <v>0</v>
      </c>
      <c r="AE3188" s="196">
        <f t="shared" si="757"/>
        <v>0</v>
      </c>
      <c r="AF3188" s="2">
        <f t="shared" si="758"/>
        <v>0</v>
      </c>
      <c r="AG3188" s="2">
        <f t="shared" si="759"/>
        <v>0</v>
      </c>
    </row>
    <row r="3189" spans="1:33">
      <c r="A3189" s="20" t="s">
        <v>7861</v>
      </c>
      <c r="B3189" s="150"/>
      <c r="C3189" s="21" t="s">
        <v>16426</v>
      </c>
      <c r="D3189" s="109" t="s">
        <v>16279</v>
      </c>
      <c r="E3189" s="109"/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6"/>
        <v>0</v>
      </c>
      <c r="O3189" s="268">
        <f t="shared" si="747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40"/>
      <c r="Z3189" s="237"/>
      <c r="AA3189" s="279"/>
      <c r="AB3189" s="238"/>
      <c r="AC3189" s="196">
        <f t="shared" si="755"/>
        <v>0</v>
      </c>
      <c r="AD3189" s="196">
        <f t="shared" si="756"/>
        <v>0</v>
      </c>
      <c r="AE3189" s="196">
        <f t="shared" si="757"/>
        <v>0</v>
      </c>
      <c r="AF3189" s="2">
        <f t="shared" si="758"/>
        <v>0</v>
      </c>
      <c r="AG3189" s="2">
        <f t="shared" si="759"/>
        <v>0</v>
      </c>
    </row>
    <row r="3190" spans="1:33">
      <c r="A3190" s="20" t="s">
        <v>8761</v>
      </c>
      <c r="B3190" s="150"/>
      <c r="C3190" s="21" t="s">
        <v>16428</v>
      </c>
      <c r="D3190" s="109" t="s">
        <v>16279</v>
      </c>
      <c r="E3190" s="109"/>
      <c r="F3190" s="391" t="s">
        <v>16427</v>
      </c>
      <c r="G3190" s="23" t="s">
        <v>15962</v>
      </c>
      <c r="H3190" s="23"/>
      <c r="I3190" s="23"/>
      <c r="J3190" s="23"/>
      <c r="K3190" s="23"/>
      <c r="L3190" s="375" t="s">
        <v>7787</v>
      </c>
      <c r="M3190" s="351" t="s">
        <v>7787</v>
      </c>
      <c r="N3190" s="267">
        <f t="shared" si="746"/>
        <v>0</v>
      </c>
      <c r="O3190" s="268">
        <f t="shared" si="747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5"/>
        <v>0</v>
      </c>
      <c r="AD3190" s="196">
        <f t="shared" si="756"/>
        <v>0</v>
      </c>
      <c r="AE3190" s="196">
        <f t="shared" si="757"/>
        <v>0</v>
      </c>
      <c r="AF3190" s="2">
        <f t="shared" si="758"/>
        <v>0</v>
      </c>
      <c r="AG3190" s="2">
        <f t="shared" si="759"/>
        <v>0</v>
      </c>
    </row>
    <row r="3191" spans="1:33">
      <c r="A3191" s="20" t="s">
        <v>9391</v>
      </c>
      <c r="B3191" s="150"/>
      <c r="C3191" s="21" t="s">
        <v>16428</v>
      </c>
      <c r="D3191" s="109" t="s">
        <v>16279</v>
      </c>
      <c r="E3191" s="109" t="s">
        <v>16429</v>
      </c>
      <c r="F3191" s="391" t="s">
        <v>16427</v>
      </c>
      <c r="G3191" s="23" t="s">
        <v>15962</v>
      </c>
      <c r="H3191" s="23"/>
      <c r="I3191" s="23"/>
      <c r="J3191" s="23"/>
      <c r="K3191" s="23"/>
      <c r="L3191" s="375" t="s">
        <v>7787</v>
      </c>
      <c r="M3191" s="351" t="s">
        <v>7787</v>
      </c>
      <c r="N3191" s="267">
        <f t="shared" si="746"/>
        <v>0</v>
      </c>
      <c r="O3191" s="268">
        <f t="shared" si="747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5"/>
        <v>0</v>
      </c>
      <c r="AD3191" s="196">
        <f t="shared" si="756"/>
        <v>0</v>
      </c>
      <c r="AE3191" s="196">
        <f t="shared" si="757"/>
        <v>0</v>
      </c>
      <c r="AF3191" s="2">
        <f t="shared" si="758"/>
        <v>0</v>
      </c>
      <c r="AG3191" s="2">
        <f t="shared" si="759"/>
        <v>0</v>
      </c>
    </row>
    <row r="3192" spans="1:33">
      <c r="A3192" s="20" t="s">
        <v>12249</v>
      </c>
      <c r="B3192" s="150"/>
      <c r="C3192" s="21" t="s">
        <v>16430</v>
      </c>
      <c r="D3192" s="109" t="s">
        <v>16279</v>
      </c>
      <c r="E3192" s="109"/>
      <c r="F3192" s="391" t="s">
        <v>16431</v>
      </c>
      <c r="G3192" s="23" t="s">
        <v>15962</v>
      </c>
      <c r="H3192" s="23" t="s">
        <v>16291</v>
      </c>
      <c r="I3192" s="23"/>
      <c r="J3192" s="23"/>
      <c r="K3192" s="23"/>
      <c r="L3192" s="375" t="s">
        <v>7787</v>
      </c>
      <c r="M3192" s="351"/>
      <c r="N3192" s="267">
        <f t="shared" si="746"/>
        <v>0</v>
      </c>
      <c r="O3192" s="268">
        <f t="shared" si="747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78"/>
      <c r="Z3192" s="237"/>
      <c r="AA3192" s="279"/>
      <c r="AB3192" s="238"/>
      <c r="AC3192" s="196">
        <f t="shared" si="755"/>
        <v>0</v>
      </c>
      <c r="AD3192" s="196">
        <f t="shared" si="756"/>
        <v>0</v>
      </c>
      <c r="AE3192" s="196">
        <f t="shared" si="757"/>
        <v>0</v>
      </c>
      <c r="AF3192" s="2">
        <f t="shared" si="758"/>
        <v>0</v>
      </c>
      <c r="AG3192" s="2">
        <f t="shared" si="759"/>
        <v>0</v>
      </c>
    </row>
    <row r="3193" spans="1:33">
      <c r="A3193" s="20" t="s">
        <v>8050</v>
      </c>
      <c r="B3193" s="150"/>
      <c r="C3193" s="21" t="s">
        <v>16432</v>
      </c>
      <c r="D3193" s="109" t="s">
        <v>16279</v>
      </c>
      <c r="E3193" s="109"/>
      <c r="F3193" s="391" t="s">
        <v>16433</v>
      </c>
      <c r="G3193" s="23" t="s">
        <v>15962</v>
      </c>
      <c r="H3193" s="23"/>
      <c r="I3193" s="23"/>
      <c r="J3193" s="23"/>
      <c r="K3193" s="23"/>
      <c r="L3193" s="375"/>
      <c r="M3193" s="351" t="s">
        <v>7787</v>
      </c>
      <c r="N3193" s="267">
        <f t="shared" si="746"/>
        <v>0</v>
      </c>
      <c r="O3193" s="268">
        <f t="shared" si="747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78"/>
      <c r="Z3193" s="237"/>
      <c r="AA3193" s="279"/>
      <c r="AB3193" s="238"/>
      <c r="AC3193" s="196">
        <f t="shared" si="755"/>
        <v>0</v>
      </c>
      <c r="AD3193" s="196">
        <f t="shared" si="756"/>
        <v>0</v>
      </c>
      <c r="AE3193" s="196">
        <f t="shared" si="757"/>
        <v>0</v>
      </c>
      <c r="AF3193" s="2">
        <f t="shared" si="758"/>
        <v>0</v>
      </c>
      <c r="AG3193" s="2">
        <f t="shared" si="759"/>
        <v>0</v>
      </c>
    </row>
    <row r="3194" spans="1:33">
      <c r="A3194" s="20" t="s">
        <v>17279</v>
      </c>
      <c r="B3194" s="150"/>
      <c r="C3194" s="21" t="s">
        <v>8080</v>
      </c>
      <c r="D3194" s="109" t="s">
        <v>5979</v>
      </c>
      <c r="E3194" s="109" t="s">
        <v>17114</v>
      </c>
      <c r="F3194" s="391" t="s">
        <v>8095</v>
      </c>
      <c r="G3194" s="23" t="s">
        <v>13341</v>
      </c>
      <c r="H3194" s="23"/>
      <c r="I3194" s="23"/>
      <c r="J3194" s="23"/>
      <c r="K3194" s="23"/>
      <c r="L3194" s="375" t="s">
        <v>45</v>
      </c>
      <c r="M3194" s="351"/>
      <c r="N3194" s="267">
        <f t="shared" si="746"/>
        <v>0</v>
      </c>
      <c r="O3194" s="268">
        <f t="shared" si="747"/>
        <v>0</v>
      </c>
      <c r="P3194" s="239"/>
      <c r="Q3194" s="239"/>
      <c r="R3194" s="239"/>
      <c r="S3194" s="239"/>
      <c r="T3194" s="239"/>
      <c r="U3194" s="240"/>
      <c r="V3194" s="240"/>
      <c r="W3194" s="240"/>
      <c r="X3194" s="278"/>
      <c r="Y3194" s="240"/>
      <c r="Z3194" s="237"/>
      <c r="AA3194" s="279"/>
      <c r="AB3194" s="238"/>
      <c r="AC3194" s="196">
        <f t="shared" si="755"/>
        <v>0</v>
      </c>
      <c r="AD3194" s="196">
        <f t="shared" si="756"/>
        <v>0</v>
      </c>
      <c r="AE3194" s="196">
        <f t="shared" si="757"/>
        <v>0</v>
      </c>
      <c r="AF3194" s="2">
        <f t="shared" si="758"/>
        <v>0</v>
      </c>
      <c r="AG3194" s="2">
        <f t="shared" si="759"/>
        <v>0</v>
      </c>
    </row>
    <row r="3195" spans="1:33">
      <c r="A3195" s="20" t="s">
        <v>7966</v>
      </c>
      <c r="B3195" s="150"/>
      <c r="C3195" s="21" t="s">
        <v>16434</v>
      </c>
      <c r="D3195" s="109" t="s">
        <v>16279</v>
      </c>
      <c r="E3195" s="109"/>
      <c r="F3195" s="391" t="s">
        <v>16435</v>
      </c>
      <c r="G3195" s="23" t="s">
        <v>15962</v>
      </c>
      <c r="H3195" s="23"/>
      <c r="I3195" s="23"/>
      <c r="J3195" s="23"/>
      <c r="K3195" s="23"/>
      <c r="L3195" s="375" t="s">
        <v>7787</v>
      </c>
      <c r="M3195" s="351" t="s">
        <v>7787</v>
      </c>
      <c r="N3195" s="267">
        <f t="shared" si="746"/>
        <v>0</v>
      </c>
      <c r="O3195" s="268">
        <f t="shared" si="747"/>
        <v>0</v>
      </c>
      <c r="P3195" s="239"/>
      <c r="Q3195" s="239"/>
      <c r="R3195" s="239"/>
      <c r="S3195" s="239"/>
      <c r="T3195" s="239"/>
      <c r="U3195" s="240"/>
      <c r="V3195" s="240"/>
      <c r="W3195" s="240"/>
      <c r="X3195" s="278"/>
      <c r="Y3195" s="278"/>
      <c r="Z3195" s="237"/>
      <c r="AA3195" s="279"/>
      <c r="AB3195" s="238"/>
      <c r="AC3195" s="196">
        <f t="shared" si="755"/>
        <v>0</v>
      </c>
      <c r="AD3195" s="196">
        <f t="shared" si="756"/>
        <v>0</v>
      </c>
      <c r="AE3195" s="196">
        <f t="shared" si="757"/>
        <v>0</v>
      </c>
      <c r="AF3195" s="2">
        <f t="shared" si="758"/>
        <v>0</v>
      </c>
      <c r="AG3195" s="2">
        <f t="shared" si="759"/>
        <v>0</v>
      </c>
    </row>
    <row r="3196" spans="1:33">
      <c r="A3196" s="377" t="s">
        <v>9295</v>
      </c>
      <c r="B3196" s="150"/>
      <c r="C3196" s="213" t="s">
        <v>16434</v>
      </c>
      <c r="D3196" s="109" t="s">
        <v>16279</v>
      </c>
      <c r="E3196" s="202" t="s">
        <v>16401</v>
      </c>
      <c r="F3196" s="393" t="s">
        <v>16435</v>
      </c>
      <c r="G3196" s="380" t="s">
        <v>15962</v>
      </c>
      <c r="H3196" s="380"/>
      <c r="I3196" s="380"/>
      <c r="J3196" s="380"/>
      <c r="K3196" s="380"/>
      <c r="L3196" s="375" t="s">
        <v>7787</v>
      </c>
      <c r="M3196" s="351" t="s">
        <v>7787</v>
      </c>
      <c r="N3196" s="267">
        <f t="shared" si="746"/>
        <v>0</v>
      </c>
      <c r="O3196" s="268">
        <f t="shared" si="747"/>
        <v>0</v>
      </c>
      <c r="P3196" s="248"/>
      <c r="Q3196" s="248"/>
      <c r="R3196" s="248"/>
      <c r="S3196" s="248"/>
      <c r="T3196" s="248"/>
      <c r="U3196" s="240"/>
      <c r="V3196" s="240"/>
      <c r="W3196" s="240"/>
      <c r="X3196" s="278"/>
      <c r="Y3196" s="237"/>
      <c r="Z3196" s="240"/>
      <c r="AA3196" s="292"/>
      <c r="AB3196" s="389"/>
      <c r="AC3196" s="196">
        <f t="shared" si="755"/>
        <v>0</v>
      </c>
      <c r="AD3196" s="196">
        <f t="shared" si="756"/>
        <v>0</v>
      </c>
      <c r="AE3196" s="196">
        <f t="shared" si="757"/>
        <v>0</v>
      </c>
      <c r="AF3196" s="2">
        <f t="shared" si="758"/>
        <v>0</v>
      </c>
      <c r="AG3196" s="2">
        <f t="shared" si="759"/>
        <v>0</v>
      </c>
    </row>
    <row r="3197" spans="1:33">
      <c r="A3197" s="20" t="s">
        <v>7785</v>
      </c>
      <c r="B3197" s="150"/>
      <c r="C3197" s="21" t="s">
        <v>16436</v>
      </c>
      <c r="D3197" s="109" t="s">
        <v>16189</v>
      </c>
      <c r="E3197" s="109"/>
      <c r="F3197" s="391" t="s">
        <v>16437</v>
      </c>
      <c r="G3197" s="23" t="s">
        <v>16333</v>
      </c>
      <c r="H3197" s="23" t="s">
        <v>16619</v>
      </c>
      <c r="I3197" s="23"/>
      <c r="J3197" s="23"/>
      <c r="K3197" s="23"/>
      <c r="L3197" s="375" t="s">
        <v>7787</v>
      </c>
      <c r="M3197" s="351" t="s">
        <v>7787</v>
      </c>
      <c r="N3197" s="267">
        <f t="shared" si="746"/>
        <v>0</v>
      </c>
      <c r="O3197" s="268">
        <f t="shared" si="747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40"/>
      <c r="Z3197" s="237"/>
      <c r="AA3197" s="279"/>
      <c r="AB3197" s="238"/>
      <c r="AC3197" s="196">
        <f t="shared" si="755"/>
        <v>0</v>
      </c>
      <c r="AD3197" s="196">
        <f t="shared" si="756"/>
        <v>0</v>
      </c>
      <c r="AE3197" s="196">
        <f t="shared" si="757"/>
        <v>0</v>
      </c>
      <c r="AF3197" s="2">
        <f t="shared" si="758"/>
        <v>0</v>
      </c>
      <c r="AG3197" s="2">
        <f t="shared" si="759"/>
        <v>0</v>
      </c>
    </row>
    <row r="3198" spans="1:33">
      <c r="A3198" s="20" t="s">
        <v>2768</v>
      </c>
      <c r="B3198" s="150"/>
      <c r="C3198" s="21" t="s">
        <v>16438</v>
      </c>
      <c r="D3198" s="109" t="s">
        <v>16073</v>
      </c>
      <c r="E3198" s="109"/>
      <c r="F3198" s="391" t="s">
        <v>16439</v>
      </c>
      <c r="G3198" s="23" t="s">
        <v>16440</v>
      </c>
      <c r="H3198" s="23"/>
      <c r="I3198" s="23"/>
      <c r="J3198" s="23"/>
      <c r="K3198" s="23"/>
      <c r="L3198" s="375" t="s">
        <v>7787</v>
      </c>
      <c r="M3198" s="351" t="s">
        <v>7787</v>
      </c>
      <c r="N3198" s="267">
        <f t="shared" si="746"/>
        <v>0</v>
      </c>
      <c r="O3198" s="268">
        <f t="shared" si="747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5"/>
        <v>0</v>
      </c>
      <c r="AD3198" s="196">
        <f t="shared" si="756"/>
        <v>0</v>
      </c>
      <c r="AE3198" s="196">
        <f t="shared" si="757"/>
        <v>0</v>
      </c>
      <c r="AF3198" s="2">
        <f t="shared" si="758"/>
        <v>0</v>
      </c>
      <c r="AG3198" s="2">
        <f t="shared" si="759"/>
        <v>0</v>
      </c>
    </row>
    <row r="3199" spans="1:33">
      <c r="A3199" s="20" t="s">
        <v>2768</v>
      </c>
      <c r="B3199" s="150"/>
      <c r="C3199" s="21" t="s">
        <v>16441</v>
      </c>
      <c r="D3199" s="109" t="s">
        <v>16442</v>
      </c>
      <c r="E3199" s="109"/>
      <c r="F3199" s="391" t="s">
        <v>16443</v>
      </c>
      <c r="G3199" s="23"/>
      <c r="H3199" s="23"/>
      <c r="I3199" s="23"/>
      <c r="J3199" s="23"/>
      <c r="K3199" s="23"/>
      <c r="L3199" s="350"/>
      <c r="M3199" s="351"/>
      <c r="N3199" s="267">
        <f t="shared" si="746"/>
        <v>0</v>
      </c>
      <c r="O3199" s="268">
        <f t="shared" si="747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5"/>
        <v>0</v>
      </c>
      <c r="AD3199" s="196">
        <f t="shared" si="756"/>
        <v>0</v>
      </c>
      <c r="AE3199" s="196">
        <f t="shared" si="757"/>
        <v>0</v>
      </c>
      <c r="AF3199" s="2">
        <f t="shared" si="758"/>
        <v>0</v>
      </c>
      <c r="AG3199" s="2">
        <f t="shared" si="759"/>
        <v>0</v>
      </c>
    </row>
    <row r="3200" spans="1:33">
      <c r="A3200" s="20" t="s">
        <v>2773</v>
      </c>
      <c r="B3200" s="150"/>
      <c r="C3200" s="21" t="s">
        <v>833</v>
      </c>
      <c r="D3200" s="109" t="s">
        <v>16376</v>
      </c>
      <c r="E3200" s="109" t="s">
        <v>15965</v>
      </c>
      <c r="F3200" s="391" t="s">
        <v>16444</v>
      </c>
      <c r="G3200" s="23"/>
      <c r="H3200" s="23"/>
      <c r="I3200" s="23"/>
      <c r="J3200" s="23"/>
      <c r="K3200" s="23"/>
      <c r="L3200" s="350"/>
      <c r="M3200" s="351"/>
      <c r="N3200" s="267">
        <f t="shared" si="746"/>
        <v>0</v>
      </c>
      <c r="O3200" s="268">
        <f t="shared" si="747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5"/>
        <v>0</v>
      </c>
      <c r="AD3200" s="196">
        <f t="shared" si="756"/>
        <v>0</v>
      </c>
      <c r="AE3200" s="196">
        <f t="shared" si="757"/>
        <v>0</v>
      </c>
      <c r="AF3200" s="2">
        <f t="shared" si="758"/>
        <v>0</v>
      </c>
      <c r="AG3200" s="2">
        <f t="shared" si="759"/>
        <v>0</v>
      </c>
    </row>
    <row r="3201" spans="1:33">
      <c r="A3201" s="20" t="s">
        <v>2777</v>
      </c>
      <c r="B3201" s="150"/>
      <c r="C3201" s="21" t="s">
        <v>833</v>
      </c>
      <c r="D3201" s="109" t="s">
        <v>16445</v>
      </c>
      <c r="E3201" s="109" t="s">
        <v>16446</v>
      </c>
      <c r="F3201" s="391" t="s">
        <v>16447</v>
      </c>
      <c r="G3201" s="23" t="s">
        <v>16448</v>
      </c>
      <c r="H3201" s="23" t="s">
        <v>16355</v>
      </c>
      <c r="I3201" s="23" t="s">
        <v>13249</v>
      </c>
      <c r="J3201" s="380" t="s">
        <v>13330</v>
      </c>
      <c r="K3201" s="23"/>
      <c r="L3201" s="375" t="s">
        <v>7787</v>
      </c>
      <c r="M3201" s="351" t="s">
        <v>7787</v>
      </c>
      <c r="N3201" s="267">
        <f t="shared" si="746"/>
        <v>0</v>
      </c>
      <c r="O3201" s="268">
        <f t="shared" si="747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5"/>
        <v>0</v>
      </c>
      <c r="AD3201" s="196">
        <f t="shared" si="756"/>
        <v>0</v>
      </c>
      <c r="AE3201" s="196">
        <f t="shared" si="757"/>
        <v>0</v>
      </c>
      <c r="AF3201" s="2">
        <f t="shared" si="758"/>
        <v>0</v>
      </c>
      <c r="AG3201" s="2">
        <f t="shared" si="759"/>
        <v>0</v>
      </c>
    </row>
    <row r="3202" spans="1:33">
      <c r="A3202" s="20" t="s">
        <v>2774</v>
      </c>
      <c r="B3202" s="150"/>
      <c r="C3202" s="21" t="s">
        <v>833</v>
      </c>
      <c r="D3202" s="109" t="s">
        <v>16251</v>
      </c>
      <c r="E3202" s="109"/>
      <c r="F3202" s="391" t="s">
        <v>16444</v>
      </c>
      <c r="G3202" s="23"/>
      <c r="H3202" s="23"/>
      <c r="I3202" s="23"/>
      <c r="J3202" s="23"/>
      <c r="K3202" s="23"/>
      <c r="L3202" s="350"/>
      <c r="M3202" s="351"/>
      <c r="N3202" s="267">
        <f t="shared" si="746"/>
        <v>0</v>
      </c>
      <c r="O3202" s="268">
        <f t="shared" si="747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5"/>
        <v>0</v>
      </c>
      <c r="AD3202" s="196">
        <f t="shared" si="756"/>
        <v>0</v>
      </c>
      <c r="AE3202" s="196">
        <f t="shared" si="757"/>
        <v>0</v>
      </c>
      <c r="AF3202" s="2">
        <f t="shared" si="758"/>
        <v>0</v>
      </c>
      <c r="AG3202" s="2">
        <f t="shared" si="759"/>
        <v>0</v>
      </c>
    </row>
    <row r="3203" spans="1:33">
      <c r="A3203" s="20" t="s">
        <v>2776</v>
      </c>
      <c r="B3203" s="150"/>
      <c r="C3203" s="21" t="s">
        <v>833</v>
      </c>
      <c r="D3203" s="109" t="s">
        <v>15161</v>
      </c>
      <c r="E3203" s="109" t="s">
        <v>16446</v>
      </c>
      <c r="F3203" s="391" t="s">
        <v>16447</v>
      </c>
      <c r="G3203" s="23"/>
      <c r="H3203" s="23"/>
      <c r="I3203" s="23"/>
      <c r="J3203" s="23"/>
      <c r="K3203" s="23"/>
      <c r="L3203" s="350"/>
      <c r="M3203" s="351"/>
      <c r="N3203" s="267">
        <f t="shared" si="746"/>
        <v>0</v>
      </c>
      <c r="O3203" s="268">
        <f t="shared" si="747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5"/>
        <v>0</v>
      </c>
      <c r="AD3203" s="196">
        <f t="shared" si="756"/>
        <v>0</v>
      </c>
      <c r="AE3203" s="196">
        <f t="shared" si="757"/>
        <v>0</v>
      </c>
      <c r="AF3203" s="2">
        <f t="shared" si="758"/>
        <v>0</v>
      </c>
      <c r="AG3203" s="2">
        <f t="shared" si="759"/>
        <v>0</v>
      </c>
    </row>
    <row r="3204" spans="1:33">
      <c r="A3204" s="20" t="s">
        <v>2775</v>
      </c>
      <c r="B3204" s="156" t="s">
        <v>16449</v>
      </c>
      <c r="C3204" s="21" t="s">
        <v>833</v>
      </c>
      <c r="D3204" s="109" t="s">
        <v>15161</v>
      </c>
      <c r="E3204" s="109"/>
      <c r="F3204" s="391" t="s">
        <v>16447</v>
      </c>
      <c r="G3204" s="380" t="s">
        <v>16450</v>
      </c>
      <c r="H3204" s="23" t="s">
        <v>16379</v>
      </c>
      <c r="I3204" s="23" t="s">
        <v>16451</v>
      </c>
      <c r="J3204" s="23"/>
      <c r="K3204" s="23"/>
      <c r="L3204" s="375" t="s">
        <v>7787</v>
      </c>
      <c r="M3204" s="351" t="s">
        <v>7787</v>
      </c>
      <c r="N3204" s="267">
        <f t="shared" si="746"/>
        <v>0</v>
      </c>
      <c r="O3204" s="268">
        <f t="shared" si="747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5"/>
        <v>0</v>
      </c>
      <c r="AD3204" s="196">
        <f t="shared" si="756"/>
        <v>0</v>
      </c>
      <c r="AE3204" s="196">
        <f t="shared" si="757"/>
        <v>0</v>
      </c>
      <c r="AF3204" s="2">
        <f t="shared" si="758"/>
        <v>0</v>
      </c>
      <c r="AG3204" s="2">
        <f t="shared" si="759"/>
        <v>0</v>
      </c>
    </row>
    <row r="3205" spans="1:33">
      <c r="A3205" s="20" t="s">
        <v>6892</v>
      </c>
      <c r="B3205" s="156" t="s">
        <v>16452</v>
      </c>
      <c r="C3205" s="21" t="s">
        <v>833</v>
      </c>
      <c r="D3205" s="109" t="s">
        <v>16453</v>
      </c>
      <c r="E3205" s="109"/>
      <c r="F3205" s="391" t="s">
        <v>16447</v>
      </c>
      <c r="G3205" s="23" t="s">
        <v>16454</v>
      </c>
      <c r="H3205" s="380" t="s">
        <v>16455</v>
      </c>
      <c r="I3205" s="23"/>
      <c r="J3205" s="23"/>
      <c r="K3205" s="23"/>
      <c r="L3205" s="375" t="s">
        <v>7787</v>
      </c>
      <c r="M3205" s="351" t="s">
        <v>7787</v>
      </c>
      <c r="N3205" s="267">
        <f t="shared" si="746"/>
        <v>0</v>
      </c>
      <c r="O3205" s="268">
        <f t="shared" si="747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7"/>
      <c r="Z3205" s="237"/>
      <c r="AA3205" s="279"/>
      <c r="AB3205" s="238"/>
      <c r="AC3205" s="196">
        <f t="shared" si="755"/>
        <v>0</v>
      </c>
      <c r="AD3205" s="196">
        <f t="shared" si="756"/>
        <v>0</v>
      </c>
      <c r="AE3205" s="196">
        <f t="shared" si="757"/>
        <v>0</v>
      </c>
      <c r="AF3205" s="2">
        <f t="shared" si="758"/>
        <v>0</v>
      </c>
      <c r="AG3205" s="2">
        <f t="shared" si="759"/>
        <v>0</v>
      </c>
    </row>
    <row r="3206" spans="1:33">
      <c r="A3206" s="20" t="s">
        <v>2778</v>
      </c>
      <c r="B3206" s="150"/>
      <c r="C3206" s="21" t="s">
        <v>833</v>
      </c>
      <c r="D3206" s="109" t="s">
        <v>16456</v>
      </c>
      <c r="E3206" s="109" t="s">
        <v>16351</v>
      </c>
      <c r="F3206" s="391" t="s">
        <v>16444</v>
      </c>
      <c r="G3206" s="23" t="s">
        <v>15621</v>
      </c>
      <c r="H3206" s="23" t="s">
        <v>16379</v>
      </c>
      <c r="I3206" s="23"/>
      <c r="J3206" s="23"/>
      <c r="K3206" s="23"/>
      <c r="L3206" s="375" t="s">
        <v>7787</v>
      </c>
      <c r="M3206" s="351"/>
      <c r="N3206" s="267">
        <f t="shared" si="746"/>
        <v>0</v>
      </c>
      <c r="O3206" s="268">
        <f t="shared" si="747"/>
        <v>0</v>
      </c>
      <c r="P3206" s="239"/>
      <c r="Q3206" s="239"/>
      <c r="R3206" s="239"/>
      <c r="S3206" s="239"/>
      <c r="T3206" s="239"/>
      <c r="U3206" s="240"/>
      <c r="V3206" s="240"/>
      <c r="W3206" s="240"/>
      <c r="X3206" s="278"/>
      <c r="Y3206" s="237"/>
      <c r="Z3206" s="237"/>
      <c r="AA3206" s="279"/>
      <c r="AB3206" s="238"/>
      <c r="AC3206" s="196">
        <f t="shared" si="755"/>
        <v>0</v>
      </c>
      <c r="AD3206" s="196">
        <f t="shared" si="756"/>
        <v>0</v>
      </c>
      <c r="AE3206" s="196">
        <f t="shared" si="757"/>
        <v>0</v>
      </c>
      <c r="AF3206" s="2">
        <f t="shared" si="758"/>
        <v>0</v>
      </c>
      <c r="AG3206" s="2">
        <f t="shared" si="759"/>
        <v>0</v>
      </c>
    </row>
    <row r="3207" spans="1:33">
      <c r="A3207" s="20" t="s">
        <v>2780</v>
      </c>
      <c r="B3207" s="150"/>
      <c r="C3207" s="21" t="s">
        <v>833</v>
      </c>
      <c r="D3207" s="109" t="s">
        <v>16363</v>
      </c>
      <c r="E3207" s="109"/>
      <c r="F3207" s="391" t="s">
        <v>16444</v>
      </c>
      <c r="G3207" s="23"/>
      <c r="H3207" s="23"/>
      <c r="I3207" s="23"/>
      <c r="J3207" s="23"/>
      <c r="K3207" s="23"/>
      <c r="L3207" s="350"/>
      <c r="M3207" s="351"/>
      <c r="N3207" s="267">
        <f t="shared" si="746"/>
        <v>0</v>
      </c>
      <c r="O3207" s="268">
        <f t="shared" si="747"/>
        <v>0</v>
      </c>
      <c r="P3207" s="239"/>
      <c r="Q3207" s="239"/>
      <c r="R3207" s="239"/>
      <c r="S3207" s="239"/>
      <c r="T3207" s="239"/>
      <c r="U3207" s="240"/>
      <c r="V3207" s="240"/>
      <c r="W3207" s="240"/>
      <c r="X3207" s="278"/>
      <c r="Y3207" s="239"/>
      <c r="Z3207" s="237"/>
      <c r="AA3207" s="279"/>
      <c r="AB3207" s="238"/>
      <c r="AC3207" s="196">
        <f t="shared" si="755"/>
        <v>0</v>
      </c>
      <c r="AD3207" s="196">
        <f t="shared" si="756"/>
        <v>0</v>
      </c>
      <c r="AE3207" s="196">
        <f t="shared" si="757"/>
        <v>0</v>
      </c>
      <c r="AF3207" s="2">
        <f t="shared" si="758"/>
        <v>0</v>
      </c>
      <c r="AG3207" s="2">
        <f t="shared" si="759"/>
        <v>0</v>
      </c>
    </row>
    <row r="3208" spans="1:33">
      <c r="A3208" s="20" t="s">
        <v>2779</v>
      </c>
      <c r="B3208" s="156" t="s">
        <v>16457</v>
      </c>
      <c r="C3208" s="21" t="s">
        <v>833</v>
      </c>
      <c r="D3208" s="109" t="s">
        <v>16458</v>
      </c>
      <c r="E3208" s="109" t="s">
        <v>16351</v>
      </c>
      <c r="F3208" s="391" t="s">
        <v>16444</v>
      </c>
      <c r="G3208" s="23" t="s">
        <v>16070</v>
      </c>
      <c r="H3208" s="23" t="s">
        <v>16459</v>
      </c>
      <c r="I3208" s="23" t="s">
        <v>15621</v>
      </c>
      <c r="J3208" s="23" t="s">
        <v>25085</v>
      </c>
      <c r="K3208" s="23"/>
      <c r="L3208" s="375" t="s">
        <v>7787</v>
      </c>
      <c r="M3208" s="375" t="s">
        <v>7787</v>
      </c>
      <c r="N3208" s="267">
        <f t="shared" si="746"/>
        <v>0</v>
      </c>
      <c r="O3208" s="268">
        <f t="shared" si="747"/>
        <v>1450</v>
      </c>
      <c r="P3208" s="239"/>
      <c r="Q3208" s="239"/>
      <c r="R3208" s="239"/>
      <c r="S3208" s="239"/>
      <c r="T3208" s="239">
        <f>3000-100-300-200-100-50-300-500</f>
        <v>1450</v>
      </c>
      <c r="U3208" s="240"/>
      <c r="V3208" s="240"/>
      <c r="W3208" s="240"/>
      <c r="X3208" s="278"/>
      <c r="Y3208" s="241"/>
      <c r="Z3208" s="241"/>
      <c r="AA3208" s="279"/>
      <c r="AB3208" s="238" t="s">
        <v>25285</v>
      </c>
      <c r="AC3208" s="196">
        <f t="shared" si="755"/>
        <v>1450</v>
      </c>
      <c r="AD3208" s="196">
        <f t="shared" si="756"/>
        <v>1450</v>
      </c>
      <c r="AE3208" s="196">
        <f t="shared" si="757"/>
        <v>0</v>
      </c>
      <c r="AF3208" s="2">
        <f t="shared" si="758"/>
        <v>1450</v>
      </c>
      <c r="AG3208" s="2">
        <f t="shared" si="759"/>
        <v>0</v>
      </c>
    </row>
    <row r="3209" spans="1:33">
      <c r="A3209" s="20" t="s">
        <v>2783</v>
      </c>
      <c r="B3209" s="150"/>
      <c r="C3209" s="21" t="s">
        <v>834</v>
      </c>
      <c r="D3209" s="109" t="s">
        <v>16460</v>
      </c>
      <c r="E3209" s="109"/>
      <c r="F3209" s="391" t="s">
        <v>16461</v>
      </c>
      <c r="G3209" s="23"/>
      <c r="H3209" s="23"/>
      <c r="I3209" s="23"/>
      <c r="J3209" s="23"/>
      <c r="K3209" s="23"/>
      <c r="L3209" s="350"/>
      <c r="M3209" s="351"/>
      <c r="N3209" s="267">
        <f t="shared" si="746"/>
        <v>0</v>
      </c>
      <c r="O3209" s="268">
        <f t="shared" si="747"/>
        <v>0</v>
      </c>
      <c r="P3209" s="239"/>
      <c r="Q3209" s="239"/>
      <c r="R3209" s="239"/>
      <c r="S3209" s="239"/>
      <c r="T3209" s="239"/>
      <c r="U3209" s="240"/>
      <c r="V3209" s="240"/>
      <c r="W3209" s="240"/>
      <c r="X3209" s="278"/>
      <c r="Y3209" s="239"/>
      <c r="Z3209" s="237"/>
      <c r="AA3209" s="279"/>
      <c r="AB3209" s="238"/>
      <c r="AC3209" s="196">
        <f t="shared" si="755"/>
        <v>0</v>
      </c>
      <c r="AD3209" s="196">
        <f t="shared" si="756"/>
        <v>0</v>
      </c>
      <c r="AE3209" s="196">
        <f t="shared" si="757"/>
        <v>0</v>
      </c>
      <c r="AF3209" s="2">
        <f t="shared" si="758"/>
        <v>0</v>
      </c>
      <c r="AG3209" s="2">
        <f t="shared" si="759"/>
        <v>0</v>
      </c>
    </row>
    <row r="3210" spans="1:33">
      <c r="A3210" s="20" t="s">
        <v>8046</v>
      </c>
      <c r="B3210" s="150"/>
      <c r="C3210" s="21" t="s">
        <v>16462</v>
      </c>
      <c r="D3210" s="109" t="s">
        <v>15167</v>
      </c>
      <c r="E3210" s="109"/>
      <c r="F3210" s="391" t="s">
        <v>16463</v>
      </c>
      <c r="G3210" s="23" t="s">
        <v>16285</v>
      </c>
      <c r="H3210" s="23" t="s">
        <v>15621</v>
      </c>
      <c r="I3210" s="23" t="s">
        <v>25807</v>
      </c>
      <c r="J3210" s="23"/>
      <c r="K3210" s="23"/>
      <c r="L3210" s="375"/>
      <c r="M3210" s="351"/>
      <c r="N3210" s="267">
        <f t="shared" si="746"/>
        <v>0</v>
      </c>
      <c r="O3210" s="268">
        <f t="shared" si="747"/>
        <v>3850</v>
      </c>
      <c r="P3210" s="239"/>
      <c r="Q3210" s="239"/>
      <c r="R3210" s="239"/>
      <c r="S3210" s="239"/>
      <c r="T3210" s="239">
        <f>5000-900-100-500+5000-400-400-50-1200-500-600-800-300-1000-1000-1200-1000+7000-500-2000+3000-1000-700-500-500-1000</f>
        <v>3850</v>
      </c>
      <c r="U3210" s="240"/>
      <c r="V3210" s="240"/>
      <c r="W3210" s="240"/>
      <c r="X3210" s="278"/>
      <c r="Y3210" s="237"/>
      <c r="Z3210" s="237"/>
      <c r="AA3210" s="239"/>
      <c r="AB3210" s="238" t="s">
        <v>27345</v>
      </c>
      <c r="AC3210" s="196">
        <f t="shared" si="755"/>
        <v>3850</v>
      </c>
      <c r="AD3210" s="196">
        <f t="shared" si="756"/>
        <v>3850</v>
      </c>
      <c r="AE3210" s="196">
        <f t="shared" si="757"/>
        <v>0</v>
      </c>
      <c r="AF3210" s="2">
        <f t="shared" si="758"/>
        <v>3850</v>
      </c>
      <c r="AG3210" s="2">
        <f t="shared" si="759"/>
        <v>0</v>
      </c>
    </row>
    <row r="3211" spans="1:33">
      <c r="A3211" s="20" t="s">
        <v>7871</v>
      </c>
      <c r="B3211" s="150"/>
      <c r="C3211" s="21" t="s">
        <v>16464</v>
      </c>
      <c r="D3211" s="109" t="s">
        <v>16216</v>
      </c>
      <c r="E3211" s="109"/>
      <c r="F3211" s="391" t="s">
        <v>16465</v>
      </c>
      <c r="G3211" s="23" t="s">
        <v>16285</v>
      </c>
      <c r="H3211" s="23" t="s">
        <v>16070</v>
      </c>
      <c r="I3211" s="23" t="s">
        <v>16291</v>
      </c>
      <c r="J3211" s="23"/>
      <c r="K3211" s="23"/>
      <c r="L3211" s="375" t="s">
        <v>7787</v>
      </c>
      <c r="M3211" s="351" t="s">
        <v>7787</v>
      </c>
      <c r="N3211" s="267">
        <f t="shared" ref="N3211:N3278" si="766">SUM(L3211:M3211)</f>
        <v>0</v>
      </c>
      <c r="O3211" s="268">
        <f t="shared" ref="O3211:O3278" si="767">SUM(P3211:Z3211)</f>
        <v>0</v>
      </c>
      <c r="P3211" s="239"/>
      <c r="Q3211" s="239"/>
      <c r="R3211" s="239"/>
      <c r="S3211" s="239"/>
      <c r="T3211" s="239"/>
      <c r="U3211" s="240"/>
      <c r="V3211" s="239"/>
      <c r="W3211" s="240"/>
      <c r="X3211" s="278"/>
      <c r="Y3211" s="237"/>
      <c r="Z3211" s="237"/>
      <c r="AA3211" s="239"/>
      <c r="AB3211" s="238"/>
      <c r="AC3211" s="196">
        <f t="shared" si="755"/>
        <v>0</v>
      </c>
      <c r="AD3211" s="196">
        <f t="shared" si="756"/>
        <v>0</v>
      </c>
      <c r="AE3211" s="196">
        <f t="shared" si="757"/>
        <v>0</v>
      </c>
      <c r="AF3211" s="2">
        <f t="shared" si="758"/>
        <v>0</v>
      </c>
      <c r="AG3211" s="2">
        <f t="shared" si="759"/>
        <v>0</v>
      </c>
    </row>
    <row r="3212" spans="1:33">
      <c r="A3212" s="20" t="s">
        <v>7965</v>
      </c>
      <c r="B3212" s="150"/>
      <c r="C3212" s="21" t="s">
        <v>16466</v>
      </c>
      <c r="D3212" s="109" t="s">
        <v>16251</v>
      </c>
      <c r="E3212" s="109" t="s">
        <v>26281</v>
      </c>
      <c r="F3212" s="391" t="s">
        <v>16467</v>
      </c>
      <c r="G3212" s="23" t="s">
        <v>16070</v>
      </c>
      <c r="H3212" s="23" t="s">
        <v>16468</v>
      </c>
      <c r="I3212" s="23" t="s">
        <v>16071</v>
      </c>
      <c r="J3212" s="23" t="s">
        <v>16469</v>
      </c>
      <c r="K3212" s="23" t="s">
        <v>13962</v>
      </c>
      <c r="L3212" s="375" t="s">
        <v>7787</v>
      </c>
      <c r="M3212" s="351" t="s">
        <v>7787</v>
      </c>
      <c r="N3212" s="267">
        <f t="shared" si="766"/>
        <v>0</v>
      </c>
      <c r="O3212" s="268">
        <f t="shared" si="767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39"/>
      <c r="Z3212" s="237"/>
      <c r="AA3212" s="279"/>
      <c r="AB3212" s="238"/>
      <c r="AC3212" s="196">
        <f t="shared" si="755"/>
        <v>0</v>
      </c>
      <c r="AD3212" s="196">
        <f t="shared" si="756"/>
        <v>0</v>
      </c>
      <c r="AE3212" s="196">
        <f t="shared" si="757"/>
        <v>0</v>
      </c>
      <c r="AF3212" s="2">
        <f t="shared" si="758"/>
        <v>0</v>
      </c>
      <c r="AG3212" s="2">
        <f t="shared" si="759"/>
        <v>0</v>
      </c>
    </row>
    <row r="3213" spans="1:33">
      <c r="A3213" s="20" t="s">
        <v>9470</v>
      </c>
      <c r="B3213" s="150"/>
      <c r="C3213" s="21" t="s">
        <v>16466</v>
      </c>
      <c r="D3213" s="109" t="s">
        <v>15167</v>
      </c>
      <c r="E3213" s="109"/>
      <c r="F3213" s="391" t="s">
        <v>16467</v>
      </c>
      <c r="G3213" s="23" t="s">
        <v>16470</v>
      </c>
      <c r="H3213" s="23" t="s">
        <v>13905</v>
      </c>
      <c r="I3213" s="23" t="s">
        <v>17233</v>
      </c>
      <c r="J3213" s="23"/>
      <c r="K3213" s="23"/>
      <c r="L3213" s="375" t="s">
        <v>7787</v>
      </c>
      <c r="M3213" s="351" t="s">
        <v>7787</v>
      </c>
      <c r="N3213" s="267">
        <f t="shared" si="766"/>
        <v>0</v>
      </c>
      <c r="O3213" s="268">
        <f t="shared" si="767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37"/>
      <c r="Z3213" s="237"/>
      <c r="AA3213" s="279"/>
      <c r="AB3213" s="238"/>
      <c r="AC3213" s="196">
        <f t="shared" si="755"/>
        <v>0</v>
      </c>
      <c r="AD3213" s="196">
        <f t="shared" si="756"/>
        <v>0</v>
      </c>
      <c r="AE3213" s="196">
        <f t="shared" si="757"/>
        <v>0</v>
      </c>
      <c r="AF3213" s="2">
        <f t="shared" si="758"/>
        <v>0</v>
      </c>
      <c r="AG3213" s="2">
        <f t="shared" si="759"/>
        <v>0</v>
      </c>
    </row>
    <row r="3214" spans="1:33">
      <c r="A3214" s="20" t="s">
        <v>9638</v>
      </c>
      <c r="B3214" s="150"/>
      <c r="C3214" s="21" t="s">
        <v>16466</v>
      </c>
      <c r="D3214" s="109" t="s">
        <v>16073</v>
      </c>
      <c r="E3214" s="109"/>
      <c r="F3214" s="391" t="s">
        <v>16467</v>
      </c>
      <c r="G3214" s="23" t="s">
        <v>16183</v>
      </c>
      <c r="H3214" s="23" t="s">
        <v>16385</v>
      </c>
      <c r="I3214" s="23" t="s">
        <v>18852</v>
      </c>
      <c r="J3214" s="23" t="s">
        <v>21143</v>
      </c>
      <c r="K3214" s="23" t="s">
        <v>24043</v>
      </c>
      <c r="L3214" s="375" t="s">
        <v>7787</v>
      </c>
      <c r="M3214" s="351"/>
      <c r="N3214" s="267">
        <f t="shared" si="766"/>
        <v>0</v>
      </c>
      <c r="O3214" s="268">
        <f t="shared" si="767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5"/>
        <v>0</v>
      </c>
      <c r="AD3214" s="196">
        <f t="shared" si="756"/>
        <v>0</v>
      </c>
      <c r="AE3214" s="196">
        <f t="shared" si="757"/>
        <v>0</v>
      </c>
      <c r="AF3214" s="2">
        <f t="shared" si="758"/>
        <v>0</v>
      </c>
      <c r="AG3214" s="2">
        <f t="shared" si="759"/>
        <v>0</v>
      </c>
    </row>
    <row r="3215" spans="1:33">
      <c r="A3215" s="20" t="s">
        <v>8135</v>
      </c>
      <c r="B3215" s="150"/>
      <c r="C3215" s="21" t="s">
        <v>16471</v>
      </c>
      <c r="D3215" s="109" t="s">
        <v>16313</v>
      </c>
      <c r="E3215" s="109"/>
      <c r="F3215" s="391" t="s">
        <v>16472</v>
      </c>
      <c r="G3215" s="23" t="s">
        <v>16183</v>
      </c>
      <c r="H3215" s="23"/>
      <c r="I3215" s="23"/>
      <c r="J3215" s="23"/>
      <c r="K3215" s="23"/>
      <c r="L3215" s="375"/>
      <c r="M3215" s="351" t="s">
        <v>7787</v>
      </c>
      <c r="N3215" s="267">
        <f t="shared" si="766"/>
        <v>0</v>
      </c>
      <c r="O3215" s="268">
        <f t="shared" si="767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79"/>
      <c r="AB3215" s="238"/>
      <c r="AC3215" s="196">
        <f t="shared" si="755"/>
        <v>0</v>
      </c>
      <c r="AD3215" s="196">
        <f t="shared" si="756"/>
        <v>0</v>
      </c>
      <c r="AE3215" s="196">
        <f t="shared" si="757"/>
        <v>0</v>
      </c>
      <c r="AF3215" s="2">
        <f t="shared" si="758"/>
        <v>0</v>
      </c>
      <c r="AG3215" s="2">
        <f t="shared" si="759"/>
        <v>0</v>
      </c>
    </row>
    <row r="3216" spans="1:33">
      <c r="A3216" s="20" t="s">
        <v>8759</v>
      </c>
      <c r="B3216" s="150"/>
      <c r="C3216" s="21" t="s">
        <v>16471</v>
      </c>
      <c r="D3216" s="109" t="s">
        <v>16473</v>
      </c>
      <c r="E3216" s="109"/>
      <c r="F3216" s="391" t="s">
        <v>16472</v>
      </c>
      <c r="G3216" s="23"/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6"/>
        <v>0</v>
      </c>
      <c r="O3216" s="268">
        <f t="shared" si="767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40"/>
      <c r="Z3216" s="237"/>
      <c r="AA3216" s="279"/>
      <c r="AB3216" s="238"/>
      <c r="AC3216" s="196">
        <f t="shared" si="755"/>
        <v>0</v>
      </c>
      <c r="AD3216" s="196">
        <f t="shared" si="756"/>
        <v>0</v>
      </c>
      <c r="AE3216" s="196">
        <f t="shared" si="757"/>
        <v>0</v>
      </c>
      <c r="AF3216" s="2">
        <f t="shared" si="758"/>
        <v>0</v>
      </c>
      <c r="AG3216" s="2">
        <f t="shared" si="759"/>
        <v>0</v>
      </c>
    </row>
    <row r="3217" spans="1:33">
      <c r="A3217" s="20" t="s">
        <v>8347</v>
      </c>
      <c r="B3217" s="150"/>
      <c r="C3217" s="21" t="s">
        <v>16474</v>
      </c>
      <c r="D3217" s="109" t="s">
        <v>16475</v>
      </c>
      <c r="E3217" s="109"/>
      <c r="F3217" s="391" t="s">
        <v>16476</v>
      </c>
      <c r="G3217" s="23" t="s">
        <v>16477</v>
      </c>
      <c r="H3217" s="23"/>
      <c r="I3217" s="23"/>
      <c r="J3217" s="23"/>
      <c r="K3217" s="23"/>
      <c r="L3217" s="375" t="s">
        <v>7787</v>
      </c>
      <c r="M3217" s="351" t="s">
        <v>7787</v>
      </c>
      <c r="N3217" s="267">
        <f t="shared" si="766"/>
        <v>0</v>
      </c>
      <c r="O3217" s="268">
        <f t="shared" si="767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40"/>
      <c r="Z3217" s="237"/>
      <c r="AA3217" s="240"/>
      <c r="AB3217" s="238"/>
      <c r="AC3217" s="196">
        <f t="shared" si="755"/>
        <v>0</v>
      </c>
      <c r="AD3217" s="196">
        <f t="shared" si="756"/>
        <v>0</v>
      </c>
      <c r="AE3217" s="196">
        <f t="shared" si="757"/>
        <v>0</v>
      </c>
      <c r="AF3217" s="2">
        <f t="shared" si="758"/>
        <v>0</v>
      </c>
      <c r="AG3217" s="2">
        <f t="shared" si="759"/>
        <v>0</v>
      </c>
    </row>
    <row r="3218" spans="1:33">
      <c r="A3218" s="20" t="s">
        <v>9221</v>
      </c>
      <c r="B3218" s="150"/>
      <c r="C3218" s="21" t="s">
        <v>16478</v>
      </c>
      <c r="D3218" s="109" t="s">
        <v>16313</v>
      </c>
      <c r="E3218" s="109"/>
      <c r="F3218" s="391" t="s">
        <v>16479</v>
      </c>
      <c r="G3218" s="23" t="s">
        <v>16480</v>
      </c>
      <c r="H3218" s="23"/>
      <c r="I3218" s="23"/>
      <c r="J3218" s="23"/>
      <c r="K3218" s="23"/>
      <c r="L3218" s="375" t="s">
        <v>7787</v>
      </c>
      <c r="M3218" s="351" t="s">
        <v>7787</v>
      </c>
      <c r="N3218" s="267">
        <f t="shared" si="766"/>
        <v>0</v>
      </c>
      <c r="O3218" s="268">
        <f t="shared" si="767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79"/>
      <c r="AB3218" s="238"/>
      <c r="AC3218" s="196">
        <f t="shared" si="755"/>
        <v>0</v>
      </c>
      <c r="AD3218" s="196">
        <f t="shared" si="756"/>
        <v>0</v>
      </c>
      <c r="AE3218" s="196">
        <f t="shared" si="757"/>
        <v>0</v>
      </c>
      <c r="AF3218" s="2">
        <f t="shared" si="758"/>
        <v>0</v>
      </c>
      <c r="AG3218" s="2">
        <f t="shared" si="759"/>
        <v>0</v>
      </c>
    </row>
    <row r="3219" spans="1:33">
      <c r="A3219" s="20" t="s">
        <v>2786</v>
      </c>
      <c r="B3219" s="150"/>
      <c r="C3219" s="21" t="s">
        <v>708</v>
      </c>
      <c r="D3219" s="109" t="s">
        <v>16216</v>
      </c>
      <c r="E3219" s="109" t="s">
        <v>16481</v>
      </c>
      <c r="F3219" s="391" t="s">
        <v>16482</v>
      </c>
      <c r="G3219" s="23"/>
      <c r="H3219" s="23"/>
      <c r="I3219" s="23"/>
      <c r="J3219" s="23"/>
      <c r="K3219" s="23"/>
      <c r="L3219" s="350"/>
      <c r="M3219" s="351"/>
      <c r="N3219" s="267">
        <f t="shared" si="766"/>
        <v>0</v>
      </c>
      <c r="O3219" s="268">
        <f t="shared" si="767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37"/>
      <c r="Z3219" s="237"/>
      <c r="AA3219" s="279"/>
      <c r="AB3219" s="238"/>
      <c r="AC3219" s="196">
        <f t="shared" si="755"/>
        <v>0</v>
      </c>
      <c r="AD3219" s="196">
        <f t="shared" si="756"/>
        <v>0</v>
      </c>
      <c r="AE3219" s="196">
        <f t="shared" si="757"/>
        <v>0</v>
      </c>
      <c r="AF3219" s="2">
        <f t="shared" si="758"/>
        <v>0</v>
      </c>
      <c r="AG3219" s="2">
        <f t="shared" si="759"/>
        <v>0</v>
      </c>
    </row>
    <row r="3220" spans="1:33">
      <c r="A3220" s="20" t="s">
        <v>2784</v>
      </c>
      <c r="B3220" s="150"/>
      <c r="C3220" s="21" t="s">
        <v>708</v>
      </c>
      <c r="D3220" s="109" t="s">
        <v>15161</v>
      </c>
      <c r="E3220" s="109"/>
      <c r="F3220" s="391" t="s">
        <v>16482</v>
      </c>
      <c r="G3220" s="23" t="s">
        <v>16483</v>
      </c>
      <c r="H3220" s="23" t="s">
        <v>13826</v>
      </c>
      <c r="I3220" s="23" t="s">
        <v>21700</v>
      </c>
      <c r="J3220" s="23"/>
      <c r="K3220" s="23"/>
      <c r="L3220" s="375" t="s">
        <v>45</v>
      </c>
      <c r="M3220" s="351" t="s">
        <v>7787</v>
      </c>
      <c r="N3220" s="267">
        <f t="shared" si="766"/>
        <v>0</v>
      </c>
      <c r="O3220" s="268">
        <f t="shared" si="767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37"/>
      <c r="Z3220" s="237"/>
      <c r="AA3220" s="239"/>
      <c r="AB3220" s="238"/>
      <c r="AC3220" s="196">
        <f t="shared" si="755"/>
        <v>0</v>
      </c>
      <c r="AD3220" s="196">
        <f t="shared" si="756"/>
        <v>0</v>
      </c>
      <c r="AE3220" s="196">
        <f t="shared" si="757"/>
        <v>0</v>
      </c>
      <c r="AF3220" s="2">
        <f t="shared" si="758"/>
        <v>0</v>
      </c>
      <c r="AG3220" s="2">
        <f t="shared" si="759"/>
        <v>0</v>
      </c>
    </row>
    <row r="3221" spans="1:33">
      <c r="A3221" s="20" t="s">
        <v>2785</v>
      </c>
      <c r="B3221" s="150"/>
      <c r="C3221" s="21" t="s">
        <v>708</v>
      </c>
      <c r="D3221" s="109" t="s">
        <v>15167</v>
      </c>
      <c r="E3221" s="109"/>
      <c r="F3221" s="391" t="s">
        <v>16482</v>
      </c>
      <c r="G3221" s="23"/>
      <c r="H3221" s="23"/>
      <c r="I3221" s="23"/>
      <c r="J3221" s="23"/>
      <c r="K3221" s="23"/>
      <c r="L3221" s="350"/>
      <c r="M3221" s="351"/>
      <c r="N3221" s="267">
        <f t="shared" si="766"/>
        <v>0</v>
      </c>
      <c r="O3221" s="268">
        <f t="shared" si="767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40"/>
      <c r="Z3221" s="237"/>
      <c r="AA3221" s="279"/>
      <c r="AB3221" s="238"/>
      <c r="AC3221" s="196">
        <f t="shared" si="755"/>
        <v>0</v>
      </c>
      <c r="AD3221" s="196">
        <f t="shared" si="756"/>
        <v>0</v>
      </c>
      <c r="AE3221" s="196">
        <f t="shared" si="757"/>
        <v>0</v>
      </c>
      <c r="AF3221" s="2">
        <f t="shared" si="758"/>
        <v>0</v>
      </c>
      <c r="AG3221" s="2">
        <f t="shared" si="759"/>
        <v>0</v>
      </c>
    </row>
    <row r="3222" spans="1:33">
      <c r="A3222" s="20" t="s">
        <v>10447</v>
      </c>
      <c r="B3222" s="150"/>
      <c r="C3222" s="21" t="s">
        <v>708</v>
      </c>
      <c r="D3222" s="109" t="s">
        <v>16363</v>
      </c>
      <c r="E3222" s="109"/>
      <c r="F3222" s="391" t="s">
        <v>16482</v>
      </c>
      <c r="G3222" s="23" t="s">
        <v>16484</v>
      </c>
      <c r="H3222" s="23" t="s">
        <v>19425</v>
      </c>
      <c r="I3222" s="23"/>
      <c r="J3222" s="23"/>
      <c r="K3222" s="23"/>
      <c r="L3222" s="375" t="s">
        <v>7787</v>
      </c>
      <c r="M3222" s="351" t="s">
        <v>7787</v>
      </c>
      <c r="N3222" s="267">
        <f t="shared" si="766"/>
        <v>0</v>
      </c>
      <c r="O3222" s="268">
        <f t="shared" si="767"/>
        <v>0</v>
      </c>
      <c r="P3222" s="239"/>
      <c r="Q3222" s="239"/>
      <c r="R3222" s="239"/>
      <c r="S3222" s="239"/>
      <c r="T3222" s="239"/>
      <c r="U3222" s="240"/>
      <c r="V3222" s="240"/>
      <c r="W3222" s="240"/>
      <c r="X3222" s="278"/>
      <c r="Y3222" s="239"/>
      <c r="Z3222" s="237"/>
      <c r="AA3222" s="279"/>
      <c r="AB3222" s="238"/>
      <c r="AC3222" s="196">
        <f t="shared" si="755"/>
        <v>0</v>
      </c>
      <c r="AD3222" s="196">
        <f t="shared" si="756"/>
        <v>0</v>
      </c>
      <c r="AE3222" s="196">
        <f t="shared" si="757"/>
        <v>0</v>
      </c>
      <c r="AF3222" s="2">
        <f t="shared" si="758"/>
        <v>0</v>
      </c>
      <c r="AG3222" s="2">
        <f t="shared" si="759"/>
        <v>0</v>
      </c>
    </row>
    <row r="3223" spans="1:33">
      <c r="A3223" s="20" t="s">
        <v>8346</v>
      </c>
      <c r="B3223" s="150"/>
      <c r="C3223" s="21" t="s">
        <v>16485</v>
      </c>
      <c r="D3223" s="109" t="s">
        <v>15161</v>
      </c>
      <c r="E3223" s="109"/>
      <c r="F3223" s="391" t="s">
        <v>16486</v>
      </c>
      <c r="G3223" s="23" t="s">
        <v>16238</v>
      </c>
      <c r="H3223" s="23"/>
      <c r="I3223" s="23"/>
      <c r="J3223" s="23"/>
      <c r="K3223" s="23"/>
      <c r="L3223" s="375"/>
      <c r="M3223" s="351" t="s">
        <v>7787</v>
      </c>
      <c r="N3223" s="267">
        <f t="shared" si="766"/>
        <v>0</v>
      </c>
      <c r="O3223" s="268">
        <f t="shared" si="767"/>
        <v>0</v>
      </c>
      <c r="P3223" s="239"/>
      <c r="Q3223" s="239"/>
      <c r="R3223" s="239"/>
      <c r="S3223" s="239"/>
      <c r="T3223" s="239"/>
      <c r="U3223" s="240"/>
      <c r="V3223" s="240"/>
      <c r="W3223" s="240"/>
      <c r="X3223" s="278"/>
      <c r="Y3223" s="240"/>
      <c r="Z3223" s="237"/>
      <c r="AA3223" s="279"/>
      <c r="AB3223" s="238"/>
      <c r="AC3223" s="196">
        <f t="shared" si="755"/>
        <v>0</v>
      </c>
      <c r="AD3223" s="196">
        <f t="shared" si="756"/>
        <v>0</v>
      </c>
      <c r="AE3223" s="196">
        <f t="shared" si="757"/>
        <v>0</v>
      </c>
      <c r="AF3223" s="2">
        <f t="shared" si="758"/>
        <v>0</v>
      </c>
      <c r="AG3223" s="2">
        <f t="shared" si="759"/>
        <v>0</v>
      </c>
    </row>
    <row r="3224" spans="1:33">
      <c r="A3224" s="20" t="s">
        <v>8051</v>
      </c>
      <c r="B3224" s="150"/>
      <c r="C3224" s="21" t="s">
        <v>16487</v>
      </c>
      <c r="D3224" s="109" t="s">
        <v>16186</v>
      </c>
      <c r="E3224" s="109"/>
      <c r="F3224" s="391" t="s">
        <v>16488</v>
      </c>
      <c r="G3224" s="23" t="s">
        <v>15962</v>
      </c>
      <c r="H3224" s="23"/>
      <c r="I3224" s="23"/>
      <c r="J3224" s="23"/>
      <c r="K3224" s="23"/>
      <c r="L3224" s="375" t="s">
        <v>7787</v>
      </c>
      <c r="M3224" s="351" t="s">
        <v>7787</v>
      </c>
      <c r="N3224" s="267">
        <f t="shared" si="766"/>
        <v>0</v>
      </c>
      <c r="O3224" s="268">
        <f t="shared" si="767"/>
        <v>0</v>
      </c>
      <c r="P3224" s="239"/>
      <c r="Q3224" s="239"/>
      <c r="R3224" s="239"/>
      <c r="S3224" s="239"/>
      <c r="T3224" s="239"/>
      <c r="U3224" s="239"/>
      <c r="V3224" s="239"/>
      <c r="W3224" s="240"/>
      <c r="X3224" s="278"/>
      <c r="Y3224" s="240"/>
      <c r="Z3224" s="237"/>
      <c r="AA3224" s="279"/>
      <c r="AB3224" s="238"/>
      <c r="AC3224" s="196">
        <f t="shared" si="755"/>
        <v>0</v>
      </c>
      <c r="AD3224" s="196">
        <f t="shared" si="756"/>
        <v>0</v>
      </c>
      <c r="AE3224" s="196">
        <f t="shared" si="757"/>
        <v>0</v>
      </c>
      <c r="AF3224" s="2">
        <f t="shared" si="758"/>
        <v>0</v>
      </c>
      <c r="AG3224" s="2">
        <f t="shared" si="759"/>
        <v>0</v>
      </c>
    </row>
    <row r="3225" spans="1:33">
      <c r="A3225" s="20" t="s">
        <v>12231</v>
      </c>
      <c r="B3225" s="150"/>
      <c r="C3225" s="21" t="s">
        <v>16487</v>
      </c>
      <c r="D3225" s="109" t="s">
        <v>16186</v>
      </c>
      <c r="E3225" s="109" t="s">
        <v>16227</v>
      </c>
      <c r="F3225" s="391" t="s">
        <v>16488</v>
      </c>
      <c r="G3225" s="23" t="s">
        <v>15962</v>
      </c>
      <c r="H3225" s="23"/>
      <c r="I3225" s="23"/>
      <c r="J3225" s="23"/>
      <c r="K3225" s="23"/>
      <c r="L3225" s="375" t="s">
        <v>7787</v>
      </c>
      <c r="M3225" s="351"/>
      <c r="N3225" s="267">
        <f t="shared" si="766"/>
        <v>0</v>
      </c>
      <c r="O3225" s="268">
        <f t="shared" si="767"/>
        <v>0</v>
      </c>
      <c r="P3225" s="239"/>
      <c r="Q3225" s="239"/>
      <c r="R3225" s="239"/>
      <c r="S3225" s="239"/>
      <c r="T3225" s="239"/>
      <c r="U3225" s="239"/>
      <c r="V3225" s="239"/>
      <c r="W3225" s="240"/>
      <c r="X3225" s="278"/>
      <c r="Y3225" s="240"/>
      <c r="Z3225" s="237"/>
      <c r="AA3225" s="279"/>
      <c r="AB3225" s="238"/>
      <c r="AC3225" s="196">
        <f t="shared" si="755"/>
        <v>0</v>
      </c>
      <c r="AD3225" s="196">
        <f t="shared" si="756"/>
        <v>0</v>
      </c>
      <c r="AE3225" s="196">
        <f t="shared" si="757"/>
        <v>0</v>
      </c>
      <c r="AF3225" s="2">
        <f t="shared" si="758"/>
        <v>0</v>
      </c>
      <c r="AG3225" s="2">
        <f t="shared" si="759"/>
        <v>0</v>
      </c>
    </row>
    <row r="3226" spans="1:33">
      <c r="A3226" s="377" t="s">
        <v>8051</v>
      </c>
      <c r="B3226" s="150"/>
      <c r="C3226" s="21" t="s">
        <v>16487</v>
      </c>
      <c r="D3226" s="109" t="s">
        <v>7954</v>
      </c>
      <c r="E3226" s="109"/>
      <c r="F3226" s="391" t="s">
        <v>16489</v>
      </c>
      <c r="G3226" s="23" t="s">
        <v>16291</v>
      </c>
      <c r="H3226" s="23" t="s">
        <v>17306</v>
      </c>
      <c r="I3226" s="23"/>
      <c r="J3226" s="23"/>
      <c r="K3226" s="23"/>
      <c r="L3226" s="375" t="s">
        <v>7787</v>
      </c>
      <c r="M3226" s="351" t="s">
        <v>7787</v>
      </c>
      <c r="N3226" s="267">
        <f t="shared" si="766"/>
        <v>0</v>
      </c>
      <c r="O3226" s="268">
        <f t="shared" si="767"/>
        <v>0</v>
      </c>
      <c r="P3226" s="239"/>
      <c r="Q3226" s="239"/>
      <c r="R3226" s="239"/>
      <c r="S3226" s="239"/>
      <c r="T3226" s="239"/>
      <c r="U3226" s="240"/>
      <c r="V3226" s="240"/>
      <c r="W3226" s="240"/>
      <c r="X3226" s="278"/>
      <c r="Y3226" s="240"/>
      <c r="Z3226" s="237"/>
      <c r="AA3226" s="279"/>
      <c r="AB3226" s="238"/>
      <c r="AC3226" s="196">
        <f t="shared" si="755"/>
        <v>0</v>
      </c>
      <c r="AD3226" s="196">
        <f t="shared" si="756"/>
        <v>0</v>
      </c>
      <c r="AE3226" s="196">
        <f t="shared" si="757"/>
        <v>0</v>
      </c>
      <c r="AF3226" s="2">
        <f t="shared" si="758"/>
        <v>0</v>
      </c>
      <c r="AG3226" s="2">
        <f t="shared" si="759"/>
        <v>0</v>
      </c>
    </row>
    <row r="3227" spans="1:33">
      <c r="A3227" s="20" t="s">
        <v>8763</v>
      </c>
      <c r="B3227" s="150"/>
      <c r="C3227" s="21" t="s">
        <v>16490</v>
      </c>
      <c r="D3227" s="109" t="s">
        <v>7954</v>
      </c>
      <c r="E3227" s="109"/>
      <c r="F3227" s="391" t="s">
        <v>16488</v>
      </c>
      <c r="G3227" s="23" t="s">
        <v>15962</v>
      </c>
      <c r="H3227" s="23"/>
      <c r="I3227" s="23"/>
      <c r="J3227" s="23"/>
      <c r="K3227" s="23"/>
      <c r="L3227" s="375"/>
      <c r="M3227" s="351" t="s">
        <v>7787</v>
      </c>
      <c r="N3227" s="267">
        <f t="shared" si="766"/>
        <v>0</v>
      </c>
      <c r="O3227" s="268">
        <f t="shared" si="767"/>
        <v>0</v>
      </c>
      <c r="P3227" s="239"/>
      <c r="Q3227" s="239"/>
      <c r="R3227" s="239"/>
      <c r="S3227" s="239"/>
      <c r="T3227" s="239"/>
      <c r="U3227" s="239"/>
      <c r="V3227" s="239"/>
      <c r="W3227" s="240"/>
      <c r="X3227" s="278"/>
      <c r="Y3227" s="240"/>
      <c r="Z3227" s="237"/>
      <c r="AA3227" s="279"/>
      <c r="AB3227" s="238"/>
      <c r="AC3227" s="196">
        <f t="shared" si="755"/>
        <v>0</v>
      </c>
      <c r="AD3227" s="196">
        <f t="shared" si="756"/>
        <v>0</v>
      </c>
      <c r="AE3227" s="196">
        <f t="shared" si="757"/>
        <v>0</v>
      </c>
      <c r="AF3227" s="2">
        <f t="shared" si="758"/>
        <v>0</v>
      </c>
      <c r="AG3227" s="2">
        <f t="shared" si="759"/>
        <v>0</v>
      </c>
    </row>
    <row r="3228" spans="1:33">
      <c r="A3228" s="20" t="s">
        <v>8760</v>
      </c>
      <c r="B3228" s="150"/>
      <c r="C3228" s="21" t="s">
        <v>16490</v>
      </c>
      <c r="D3228" s="109" t="s">
        <v>7954</v>
      </c>
      <c r="E3228" s="109"/>
      <c r="F3228" s="391" t="s">
        <v>16489</v>
      </c>
      <c r="G3228" s="23" t="s">
        <v>16291</v>
      </c>
      <c r="H3228" s="23"/>
      <c r="I3228" s="23"/>
      <c r="J3228" s="23"/>
      <c r="K3228" s="23"/>
      <c r="L3228" s="375" t="s">
        <v>7787</v>
      </c>
      <c r="M3228" s="351"/>
      <c r="N3228" s="267">
        <f t="shared" si="766"/>
        <v>0</v>
      </c>
      <c r="O3228" s="268">
        <f t="shared" si="767"/>
        <v>0</v>
      </c>
      <c r="P3228" s="239"/>
      <c r="Q3228" s="239"/>
      <c r="R3228" s="239"/>
      <c r="S3228" s="239"/>
      <c r="T3228" s="239"/>
      <c r="U3228" s="240"/>
      <c r="V3228" s="239"/>
      <c r="W3228" s="240"/>
      <c r="X3228" s="278"/>
      <c r="Y3228" s="240"/>
      <c r="Z3228" s="237"/>
      <c r="AA3228" s="279"/>
      <c r="AB3228" s="238"/>
      <c r="AC3228" s="196">
        <f t="shared" si="755"/>
        <v>0</v>
      </c>
      <c r="AD3228" s="196">
        <f t="shared" si="756"/>
        <v>0</v>
      </c>
      <c r="AE3228" s="196">
        <f t="shared" si="757"/>
        <v>0</v>
      </c>
      <c r="AF3228" s="2">
        <f t="shared" si="758"/>
        <v>0</v>
      </c>
      <c r="AG3228" s="2">
        <f t="shared" si="759"/>
        <v>0</v>
      </c>
    </row>
    <row r="3229" spans="1:33">
      <c r="A3229" s="20" t="s">
        <v>8420</v>
      </c>
      <c r="B3229" s="150"/>
      <c r="C3229" s="21" t="s">
        <v>16491</v>
      </c>
      <c r="D3229" s="109" t="s">
        <v>7954</v>
      </c>
      <c r="E3229" s="109"/>
      <c r="F3229" s="391" t="s">
        <v>16492</v>
      </c>
      <c r="G3229" s="23" t="s">
        <v>15962</v>
      </c>
      <c r="H3229" s="23"/>
      <c r="I3229" s="23"/>
      <c r="J3229" s="23"/>
      <c r="K3229" s="23"/>
      <c r="L3229" s="375" t="s">
        <v>7787</v>
      </c>
      <c r="M3229" s="351" t="s">
        <v>7787</v>
      </c>
      <c r="N3229" s="267">
        <f t="shared" si="766"/>
        <v>0</v>
      </c>
      <c r="O3229" s="268">
        <f t="shared" si="767"/>
        <v>0</v>
      </c>
      <c r="P3229" s="239"/>
      <c r="Q3229" s="239"/>
      <c r="R3229" s="239"/>
      <c r="S3229" s="239"/>
      <c r="T3229" s="239"/>
      <c r="U3229" s="240"/>
      <c r="V3229" s="240"/>
      <c r="W3229" s="240"/>
      <c r="X3229" s="278"/>
      <c r="Y3229" s="240"/>
      <c r="Z3229" s="237"/>
      <c r="AA3229" s="279"/>
      <c r="AB3229" s="238"/>
      <c r="AC3229" s="196">
        <f t="shared" si="755"/>
        <v>0</v>
      </c>
      <c r="AD3229" s="196">
        <f t="shared" si="756"/>
        <v>0</v>
      </c>
      <c r="AE3229" s="196">
        <f t="shared" si="757"/>
        <v>0</v>
      </c>
      <c r="AF3229" s="2">
        <f t="shared" si="758"/>
        <v>0</v>
      </c>
      <c r="AG3229" s="2">
        <f t="shared" si="759"/>
        <v>0</v>
      </c>
    </row>
    <row r="3230" spans="1:33">
      <c r="A3230" s="20" t="s">
        <v>9135</v>
      </c>
      <c r="B3230" s="150"/>
      <c r="C3230" s="21" t="s">
        <v>16493</v>
      </c>
      <c r="D3230" s="109" t="s">
        <v>15167</v>
      </c>
      <c r="E3230" s="109"/>
      <c r="F3230" s="391" t="s">
        <v>16494</v>
      </c>
      <c r="G3230" s="23" t="s">
        <v>16183</v>
      </c>
      <c r="H3230" s="23" t="s">
        <v>16454</v>
      </c>
      <c r="I3230" s="23" t="s">
        <v>17560</v>
      </c>
      <c r="J3230" s="23" t="s">
        <v>20344</v>
      </c>
      <c r="K3230" s="23" t="s">
        <v>13970</v>
      </c>
      <c r="L3230" s="375" t="s">
        <v>7787</v>
      </c>
      <c r="M3230" s="351" t="s">
        <v>7787</v>
      </c>
      <c r="N3230" s="267">
        <f t="shared" si="766"/>
        <v>0</v>
      </c>
      <c r="O3230" s="268">
        <f t="shared" si="767"/>
        <v>0</v>
      </c>
      <c r="P3230" s="239"/>
      <c r="Q3230" s="239"/>
      <c r="R3230" s="239"/>
      <c r="S3230" s="239"/>
      <c r="T3230" s="239"/>
      <c r="U3230" s="244"/>
      <c r="V3230" s="244"/>
      <c r="W3230" s="240"/>
      <c r="X3230" s="278"/>
      <c r="Y3230" s="240"/>
      <c r="Z3230" s="237"/>
      <c r="AA3230" s="279"/>
      <c r="AB3230" s="238"/>
      <c r="AC3230" s="196">
        <f t="shared" si="755"/>
        <v>0</v>
      </c>
      <c r="AD3230" s="196">
        <f t="shared" si="756"/>
        <v>0</v>
      </c>
      <c r="AE3230" s="196">
        <f t="shared" si="757"/>
        <v>0</v>
      </c>
      <c r="AF3230" s="2">
        <f t="shared" si="758"/>
        <v>0</v>
      </c>
      <c r="AG3230" s="2">
        <f t="shared" si="759"/>
        <v>0</v>
      </c>
    </row>
    <row r="3231" spans="1:33">
      <c r="A3231" s="20" t="s">
        <v>10446</v>
      </c>
      <c r="B3231" s="150"/>
      <c r="C3231" s="21" t="s">
        <v>16493</v>
      </c>
      <c r="D3231" s="109" t="s">
        <v>16473</v>
      </c>
      <c r="E3231" s="109"/>
      <c r="F3231" s="391" t="s">
        <v>16494</v>
      </c>
      <c r="G3231" s="23" t="s">
        <v>16454</v>
      </c>
      <c r="H3231" s="23" t="s">
        <v>16495</v>
      </c>
      <c r="I3231" s="23"/>
      <c r="J3231" s="23"/>
      <c r="K3231" s="23"/>
      <c r="L3231" s="375"/>
      <c r="M3231" s="351" t="s">
        <v>7787</v>
      </c>
      <c r="N3231" s="267">
        <f t="shared" si="766"/>
        <v>0</v>
      </c>
      <c r="O3231" s="268">
        <f t="shared" si="767"/>
        <v>0</v>
      </c>
      <c r="P3231" s="239"/>
      <c r="Q3231" s="239"/>
      <c r="R3231" s="239"/>
      <c r="S3231" s="239"/>
      <c r="T3231" s="239"/>
      <c r="U3231" s="244"/>
      <c r="V3231" s="244"/>
      <c r="W3231" s="240"/>
      <c r="X3231" s="278"/>
      <c r="Y3231" s="237"/>
      <c r="Z3231" s="237"/>
      <c r="AA3231" s="279"/>
      <c r="AB3231" s="238"/>
      <c r="AC3231" s="196">
        <f t="shared" si="755"/>
        <v>0</v>
      </c>
      <c r="AD3231" s="196">
        <f t="shared" si="756"/>
        <v>0</v>
      </c>
      <c r="AE3231" s="196">
        <f t="shared" si="757"/>
        <v>0</v>
      </c>
      <c r="AF3231" s="2">
        <f t="shared" si="758"/>
        <v>0</v>
      </c>
      <c r="AG3231" s="2">
        <f t="shared" si="759"/>
        <v>0</v>
      </c>
    </row>
    <row r="3232" spans="1:33">
      <c r="A3232" s="20" t="s">
        <v>8559</v>
      </c>
      <c r="B3232" s="150" t="s">
        <v>8553</v>
      </c>
      <c r="C3232" s="21" t="s">
        <v>16496</v>
      </c>
      <c r="D3232" s="109" t="s">
        <v>16329</v>
      </c>
      <c r="E3232" s="109"/>
      <c r="F3232" s="391" t="s">
        <v>16497</v>
      </c>
      <c r="G3232" s="23" t="s">
        <v>16498</v>
      </c>
      <c r="H3232" s="23"/>
      <c r="I3232" s="23"/>
      <c r="J3232" s="23"/>
      <c r="K3232" s="23"/>
      <c r="L3232" s="375" t="s">
        <v>45</v>
      </c>
      <c r="M3232" s="351" t="s">
        <v>7787</v>
      </c>
      <c r="N3232" s="267">
        <f t="shared" si="766"/>
        <v>0</v>
      </c>
      <c r="O3232" s="268">
        <f t="shared" si="767"/>
        <v>100</v>
      </c>
      <c r="P3232" s="239"/>
      <c r="Q3232" s="239"/>
      <c r="R3232" s="239"/>
      <c r="S3232" s="239"/>
      <c r="T3232" s="239"/>
      <c r="U3232" s="239">
        <f>600-500</f>
        <v>100</v>
      </c>
      <c r="V3232" s="239"/>
      <c r="W3232" s="240"/>
      <c r="X3232" s="278"/>
      <c r="Y3232" s="237"/>
      <c r="Z3232" s="237"/>
      <c r="AA3232" s="239">
        <v>50</v>
      </c>
      <c r="AB3232" s="238" t="s">
        <v>27163</v>
      </c>
      <c r="AC3232" s="196">
        <f t="shared" si="755"/>
        <v>150</v>
      </c>
      <c r="AD3232" s="196">
        <f t="shared" si="756"/>
        <v>150</v>
      </c>
      <c r="AE3232" s="196">
        <f t="shared" si="757"/>
        <v>0</v>
      </c>
      <c r="AF3232" s="2">
        <f t="shared" si="758"/>
        <v>150</v>
      </c>
      <c r="AG3232" s="2">
        <f t="shared" si="759"/>
        <v>0</v>
      </c>
    </row>
    <row r="3233" spans="1:33">
      <c r="A3233" s="20" t="s">
        <v>8419</v>
      </c>
      <c r="B3233" s="150"/>
      <c r="C3233" s="21" t="s">
        <v>16499</v>
      </c>
      <c r="D3233" s="109" t="s">
        <v>16186</v>
      </c>
      <c r="E3233" s="109"/>
      <c r="F3233" s="391" t="s">
        <v>16500</v>
      </c>
      <c r="G3233" s="23" t="s">
        <v>15962</v>
      </c>
      <c r="H3233" s="23"/>
      <c r="I3233" s="23"/>
      <c r="J3233" s="23"/>
      <c r="K3233" s="23"/>
      <c r="L3233" s="375"/>
      <c r="M3233" s="351" t="s">
        <v>7787</v>
      </c>
      <c r="N3233" s="267">
        <f t="shared" si="766"/>
        <v>0</v>
      </c>
      <c r="O3233" s="268">
        <f t="shared" si="767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7"/>
      <c r="Z3233" s="237"/>
      <c r="AA3233" s="279"/>
      <c r="AB3233" s="238"/>
      <c r="AC3233" s="196">
        <f t="shared" si="755"/>
        <v>0</v>
      </c>
      <c r="AD3233" s="196">
        <f t="shared" si="756"/>
        <v>0</v>
      </c>
      <c r="AE3233" s="196">
        <f t="shared" si="757"/>
        <v>0</v>
      </c>
      <c r="AF3233" s="2">
        <f t="shared" si="758"/>
        <v>0</v>
      </c>
      <c r="AG3233" s="2">
        <f t="shared" si="759"/>
        <v>0</v>
      </c>
    </row>
    <row r="3234" spans="1:33">
      <c r="A3234" s="20" t="s">
        <v>2787</v>
      </c>
      <c r="B3234" s="150"/>
      <c r="C3234" s="21" t="s">
        <v>835</v>
      </c>
      <c r="D3234" s="109" t="s">
        <v>15161</v>
      </c>
      <c r="E3234" s="109"/>
      <c r="F3234" s="391" t="s">
        <v>16501</v>
      </c>
      <c r="G3234" s="23" t="s">
        <v>16454</v>
      </c>
      <c r="H3234" s="23"/>
      <c r="I3234" s="23"/>
      <c r="J3234" s="23"/>
      <c r="K3234" s="23"/>
      <c r="L3234" s="375" t="s">
        <v>7787</v>
      </c>
      <c r="M3234" s="351" t="s">
        <v>7787</v>
      </c>
      <c r="N3234" s="267">
        <f t="shared" si="766"/>
        <v>0</v>
      </c>
      <c r="O3234" s="268">
        <f t="shared" si="767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7"/>
      <c r="Z3234" s="237"/>
      <c r="AA3234" s="279"/>
      <c r="AB3234" s="238"/>
      <c r="AC3234" s="196">
        <f t="shared" si="755"/>
        <v>0</v>
      </c>
      <c r="AD3234" s="196">
        <f t="shared" si="756"/>
        <v>0</v>
      </c>
      <c r="AE3234" s="196">
        <f t="shared" si="757"/>
        <v>0</v>
      </c>
      <c r="AF3234" s="2">
        <f t="shared" si="758"/>
        <v>0</v>
      </c>
      <c r="AG3234" s="2">
        <f t="shared" si="759"/>
        <v>0</v>
      </c>
    </row>
    <row r="3235" spans="1:33">
      <c r="A3235" s="20" t="s">
        <v>2788</v>
      </c>
      <c r="B3235" s="150"/>
      <c r="C3235" s="21" t="s">
        <v>835</v>
      </c>
      <c r="D3235" s="109" t="s">
        <v>15167</v>
      </c>
      <c r="E3235" s="109"/>
      <c r="F3235" s="391" t="s">
        <v>16501</v>
      </c>
      <c r="G3235" s="23"/>
      <c r="H3235" s="23"/>
      <c r="I3235" s="23"/>
      <c r="J3235" s="23"/>
      <c r="K3235" s="23"/>
      <c r="L3235" s="350"/>
      <c r="M3235" s="351"/>
      <c r="N3235" s="267">
        <f t="shared" si="766"/>
        <v>0</v>
      </c>
      <c r="O3235" s="268">
        <f t="shared" si="767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5"/>
        <v>0</v>
      </c>
      <c r="AD3235" s="196">
        <f t="shared" si="756"/>
        <v>0</v>
      </c>
      <c r="AE3235" s="196">
        <f t="shared" si="757"/>
        <v>0</v>
      </c>
      <c r="AF3235" s="2">
        <f t="shared" si="758"/>
        <v>0</v>
      </c>
      <c r="AG3235" s="2">
        <f t="shared" si="759"/>
        <v>0</v>
      </c>
    </row>
    <row r="3236" spans="1:33">
      <c r="A3236" s="20" t="s">
        <v>9506</v>
      </c>
      <c r="B3236" s="150"/>
      <c r="C3236" s="21" t="s">
        <v>16502</v>
      </c>
      <c r="D3236" s="109" t="s">
        <v>16503</v>
      </c>
      <c r="E3236" s="109" t="s">
        <v>3128</v>
      </c>
      <c r="F3236" s="391" t="s">
        <v>16504</v>
      </c>
      <c r="G3236" s="23" t="s">
        <v>16218</v>
      </c>
      <c r="H3236" s="23"/>
      <c r="I3236" s="23"/>
      <c r="J3236" s="23"/>
      <c r="K3236" s="23"/>
      <c r="L3236" s="375"/>
      <c r="M3236" s="351" t="s">
        <v>7787</v>
      </c>
      <c r="N3236" s="267">
        <f t="shared" si="766"/>
        <v>0</v>
      </c>
      <c r="O3236" s="268">
        <f t="shared" si="767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5"/>
        <v>0</v>
      </c>
      <c r="AD3236" s="196">
        <f t="shared" si="756"/>
        <v>0</v>
      </c>
      <c r="AE3236" s="196">
        <f t="shared" si="757"/>
        <v>0</v>
      </c>
      <c r="AF3236" s="2">
        <f t="shared" si="758"/>
        <v>0</v>
      </c>
      <c r="AG3236" s="2">
        <f t="shared" si="759"/>
        <v>0</v>
      </c>
    </row>
    <row r="3237" spans="1:33">
      <c r="A3237" s="20" t="s">
        <v>19922</v>
      </c>
      <c r="B3237" s="150"/>
      <c r="C3237" s="21" t="s">
        <v>9526</v>
      </c>
      <c r="D3237" s="109" t="s">
        <v>8376</v>
      </c>
      <c r="E3237" s="109" t="s">
        <v>19354</v>
      </c>
      <c r="F3237" s="391" t="s">
        <v>9550</v>
      </c>
      <c r="G3237" s="23" t="s">
        <v>19355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6"/>
        <v>0</v>
      </c>
      <c r="O3237" s="268">
        <f t="shared" si="767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5"/>
        <v>0</v>
      </c>
      <c r="AD3237" s="196">
        <f t="shared" si="756"/>
        <v>0</v>
      </c>
      <c r="AE3237" s="196">
        <f t="shared" si="757"/>
        <v>0</v>
      </c>
      <c r="AF3237" s="2">
        <f t="shared" si="758"/>
        <v>0</v>
      </c>
      <c r="AG3237" s="2">
        <f t="shared" si="759"/>
        <v>0</v>
      </c>
    </row>
    <row r="3238" spans="1:33">
      <c r="A3238" s="20" t="s">
        <v>19923</v>
      </c>
      <c r="B3238" s="150"/>
      <c r="C3238" s="21" t="s">
        <v>9526</v>
      </c>
      <c r="D3238" s="109" t="s">
        <v>19350</v>
      </c>
      <c r="E3238" s="109" t="s">
        <v>19349</v>
      </c>
      <c r="F3238" s="391" t="s">
        <v>9550</v>
      </c>
      <c r="G3238" s="23" t="s">
        <v>19355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6"/>
        <v>0</v>
      </c>
      <c r="O3238" s="268">
        <f t="shared" si="767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5"/>
        <v>0</v>
      </c>
      <c r="AD3238" s="196">
        <f t="shared" si="756"/>
        <v>0</v>
      </c>
      <c r="AE3238" s="196">
        <f t="shared" si="757"/>
        <v>0</v>
      </c>
      <c r="AF3238" s="2">
        <f t="shared" si="758"/>
        <v>0</v>
      </c>
      <c r="AG3238" s="2">
        <f t="shared" si="759"/>
        <v>0</v>
      </c>
    </row>
    <row r="3239" spans="1:33">
      <c r="A3239" s="20" t="s">
        <v>8910</v>
      </c>
      <c r="B3239" s="150"/>
      <c r="C3239" s="21" t="s">
        <v>16505</v>
      </c>
      <c r="D3239" s="109" t="s">
        <v>16186</v>
      </c>
      <c r="E3239" s="109"/>
      <c r="F3239" s="391" t="s">
        <v>16506</v>
      </c>
      <c r="G3239" s="23" t="s">
        <v>15962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6"/>
        <v>0</v>
      </c>
      <c r="O3239" s="268">
        <f t="shared" si="767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si="755"/>
        <v>0</v>
      </c>
      <c r="AD3239" s="196">
        <f t="shared" si="756"/>
        <v>0</v>
      </c>
      <c r="AE3239" s="196">
        <f t="shared" si="757"/>
        <v>0</v>
      </c>
      <c r="AF3239" s="2">
        <f t="shared" si="758"/>
        <v>0</v>
      </c>
      <c r="AG3239" s="2">
        <f t="shared" si="759"/>
        <v>0</v>
      </c>
    </row>
    <row r="3240" spans="1:33">
      <c r="A3240" s="20" t="s">
        <v>17285</v>
      </c>
      <c r="B3240" s="150"/>
      <c r="C3240" s="21" t="s">
        <v>17310</v>
      </c>
      <c r="D3240" s="109" t="s">
        <v>5649</v>
      </c>
      <c r="E3240" s="109"/>
      <c r="F3240" s="391" t="s">
        <v>17311</v>
      </c>
      <c r="G3240" s="23" t="s">
        <v>13341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6"/>
        <v>0</v>
      </c>
      <c r="O3240" s="268">
        <f t="shared" si="767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39"/>
      <c r="Z3240" s="237"/>
      <c r="AA3240" s="279"/>
      <c r="AB3240" s="238"/>
      <c r="AC3240" s="196">
        <f t="shared" si="755"/>
        <v>0</v>
      </c>
      <c r="AD3240" s="196">
        <f t="shared" si="756"/>
        <v>0</v>
      </c>
      <c r="AE3240" s="196">
        <f t="shared" si="757"/>
        <v>0</v>
      </c>
      <c r="AF3240" s="2">
        <f t="shared" si="758"/>
        <v>0</v>
      </c>
      <c r="AG3240" s="2">
        <f t="shared" si="759"/>
        <v>0</v>
      </c>
    </row>
    <row r="3241" spans="1:33">
      <c r="A3241" s="20" t="s">
        <v>11848</v>
      </c>
      <c r="B3241" s="150"/>
      <c r="C3241" s="21" t="s">
        <v>16507</v>
      </c>
      <c r="D3241" s="109" t="s">
        <v>16508</v>
      </c>
      <c r="E3241" s="109"/>
      <c r="F3241" s="391" t="s">
        <v>16509</v>
      </c>
      <c r="G3241" s="23" t="s">
        <v>15962</v>
      </c>
      <c r="H3241" s="23"/>
      <c r="I3241" s="23"/>
      <c r="J3241" s="23"/>
      <c r="K3241" s="23"/>
      <c r="L3241" s="375" t="s">
        <v>7787</v>
      </c>
      <c r="M3241" s="351" t="s">
        <v>7787</v>
      </c>
      <c r="N3241" s="267">
        <f t="shared" si="766"/>
        <v>0</v>
      </c>
      <c r="O3241" s="268">
        <f t="shared" si="767"/>
        <v>0</v>
      </c>
      <c r="P3241" s="239"/>
      <c r="Q3241" s="239"/>
      <c r="R3241" s="239"/>
      <c r="S3241" s="239"/>
      <c r="T3241" s="239"/>
      <c r="U3241" s="240"/>
      <c r="V3241" s="240"/>
      <c r="W3241" s="240"/>
      <c r="X3241" s="278"/>
      <c r="Y3241" s="239"/>
      <c r="Z3241" s="237"/>
      <c r="AA3241" s="279"/>
      <c r="AB3241" s="238"/>
      <c r="AC3241" s="196">
        <f t="shared" ref="AC3241:AC3308" si="768">SUM(P3241:AA3241)</f>
        <v>0</v>
      </c>
      <c r="AD3241" s="196">
        <f t="shared" ref="AD3241:AD3308" si="769">SUM(P3241:AB3241)</f>
        <v>0</v>
      </c>
      <c r="AE3241" s="196">
        <f t="shared" ref="AE3241:AE3308" si="770">SUM(AC3241-AD3241)</f>
        <v>0</v>
      </c>
      <c r="AF3241" s="2">
        <f t="shared" ref="AF3241:AF3308" si="771">+AC3241</f>
        <v>0</v>
      </c>
      <c r="AG3241" s="2">
        <f t="shared" ref="AG3241:AG3308" si="772">+AC3241-AF3241</f>
        <v>0</v>
      </c>
    </row>
    <row r="3242" spans="1:33">
      <c r="A3242" s="20" t="s">
        <v>8567</v>
      </c>
      <c r="B3242" s="150"/>
      <c r="C3242" s="21" t="s">
        <v>16510</v>
      </c>
      <c r="D3242" s="109" t="s">
        <v>15161</v>
      </c>
      <c r="E3242" s="109"/>
      <c r="F3242" s="391" t="s">
        <v>16511</v>
      </c>
      <c r="G3242" s="23" t="s">
        <v>16142</v>
      </c>
      <c r="H3242" s="23"/>
      <c r="I3242" s="23"/>
      <c r="J3242" s="23"/>
      <c r="K3242" s="23"/>
      <c r="L3242" s="375" t="s">
        <v>7787</v>
      </c>
      <c r="M3242" s="351" t="s">
        <v>7787</v>
      </c>
      <c r="N3242" s="267">
        <f t="shared" si="766"/>
        <v>0</v>
      </c>
      <c r="O3242" s="268">
        <f t="shared" si="767"/>
        <v>0</v>
      </c>
      <c r="P3242" s="239"/>
      <c r="Q3242" s="239"/>
      <c r="R3242" s="239"/>
      <c r="S3242" s="239"/>
      <c r="T3242" s="239"/>
      <c r="U3242" s="240"/>
      <c r="V3242" s="240"/>
      <c r="W3242" s="240"/>
      <c r="X3242" s="278"/>
      <c r="Y3242" s="240"/>
      <c r="Z3242" s="237"/>
      <c r="AA3242" s="279"/>
      <c r="AB3242" s="238"/>
      <c r="AC3242" s="196">
        <f t="shared" si="768"/>
        <v>0</v>
      </c>
      <c r="AD3242" s="196">
        <f t="shared" si="769"/>
        <v>0</v>
      </c>
      <c r="AE3242" s="196">
        <f t="shared" si="770"/>
        <v>0</v>
      </c>
      <c r="AF3242" s="2">
        <f t="shared" si="771"/>
        <v>0</v>
      </c>
      <c r="AG3242" s="2">
        <f t="shared" si="772"/>
        <v>0</v>
      </c>
    </row>
    <row r="3243" spans="1:33">
      <c r="A3243" s="20" t="s">
        <v>9390</v>
      </c>
      <c r="B3243" s="150"/>
      <c r="C3243" s="21" t="s">
        <v>16512</v>
      </c>
      <c r="D3243" s="109" t="s">
        <v>16329</v>
      </c>
      <c r="E3243" s="109"/>
      <c r="F3243" s="391" t="s">
        <v>16513</v>
      </c>
      <c r="G3243" s="23" t="s">
        <v>16440</v>
      </c>
      <c r="H3243" s="23" t="s">
        <v>13301</v>
      </c>
      <c r="I3243" s="23" t="s">
        <v>13409</v>
      </c>
      <c r="J3243" s="23" t="s">
        <v>14099</v>
      </c>
      <c r="K3243" s="23" t="s">
        <v>24162</v>
      </c>
      <c r="L3243" s="375" t="s">
        <v>45</v>
      </c>
      <c r="M3243" s="351"/>
      <c r="N3243" s="267">
        <f t="shared" si="766"/>
        <v>0</v>
      </c>
      <c r="O3243" s="268">
        <f t="shared" si="767"/>
        <v>100</v>
      </c>
      <c r="P3243" s="239"/>
      <c r="Q3243" s="239"/>
      <c r="R3243" s="239"/>
      <c r="S3243" s="239"/>
      <c r="T3243" s="239"/>
      <c r="U3243" s="240">
        <f>1100-1000</f>
        <v>100</v>
      </c>
      <c r="V3243" s="240"/>
      <c r="W3243" s="240"/>
      <c r="X3243" s="278"/>
      <c r="Y3243" s="239"/>
      <c r="Z3243" s="237"/>
      <c r="AA3243" s="279"/>
      <c r="AB3243" s="238" t="s">
        <v>26619</v>
      </c>
      <c r="AC3243" s="196">
        <f t="shared" si="768"/>
        <v>100</v>
      </c>
      <c r="AD3243" s="196">
        <f t="shared" si="769"/>
        <v>100</v>
      </c>
      <c r="AE3243" s="196">
        <f t="shared" si="770"/>
        <v>0</v>
      </c>
      <c r="AF3243" s="2">
        <f t="shared" si="771"/>
        <v>100</v>
      </c>
      <c r="AG3243" s="2">
        <f t="shared" si="772"/>
        <v>0</v>
      </c>
    </row>
    <row r="3244" spans="1:33">
      <c r="A3244" s="20" t="s">
        <v>9381</v>
      </c>
      <c r="B3244" s="150"/>
      <c r="C3244" s="21" t="s">
        <v>16514</v>
      </c>
      <c r="D3244" s="109" t="s">
        <v>16329</v>
      </c>
      <c r="E3244" s="109"/>
      <c r="F3244" s="391" t="s">
        <v>16515</v>
      </c>
      <c r="G3244" s="23" t="s">
        <v>16440</v>
      </c>
      <c r="H3244" s="23" t="s">
        <v>16516</v>
      </c>
      <c r="I3244" s="23" t="s">
        <v>6133</v>
      </c>
      <c r="J3244" s="23" t="s">
        <v>13940</v>
      </c>
      <c r="K3244" s="23" t="s">
        <v>13249</v>
      </c>
      <c r="L3244" s="375"/>
      <c r="M3244" s="351" t="s">
        <v>7787</v>
      </c>
      <c r="N3244" s="267">
        <f t="shared" si="766"/>
        <v>0</v>
      </c>
      <c r="O3244" s="268">
        <f t="shared" si="767"/>
        <v>350</v>
      </c>
      <c r="P3244" s="239"/>
      <c r="Q3244" s="239"/>
      <c r="R3244" s="239">
        <f>4450-4000-100</f>
        <v>350</v>
      </c>
      <c r="S3244" s="239"/>
      <c r="T3244" s="239"/>
      <c r="U3244" s="240"/>
      <c r="V3244" s="240"/>
      <c r="W3244" s="240"/>
      <c r="X3244" s="278"/>
      <c r="Y3244" s="240"/>
      <c r="Z3244" s="237"/>
      <c r="AA3244" s="279"/>
      <c r="AB3244" s="238" t="s">
        <v>25103</v>
      </c>
      <c r="AC3244" s="196">
        <f t="shared" si="768"/>
        <v>350</v>
      </c>
      <c r="AD3244" s="196">
        <f t="shared" si="769"/>
        <v>350</v>
      </c>
      <c r="AE3244" s="196">
        <f t="shared" si="770"/>
        <v>0</v>
      </c>
      <c r="AF3244" s="2">
        <f t="shared" si="771"/>
        <v>350</v>
      </c>
      <c r="AG3244" s="2">
        <f t="shared" si="772"/>
        <v>0</v>
      </c>
    </row>
    <row r="3245" spans="1:33">
      <c r="A3245" s="20" t="s">
        <v>8840</v>
      </c>
      <c r="B3245" s="150"/>
      <c r="C3245" s="21" t="s">
        <v>16517</v>
      </c>
      <c r="D3245" s="109" t="s">
        <v>16186</v>
      </c>
      <c r="E3245" s="109"/>
      <c r="F3245" s="391" t="s">
        <v>16518</v>
      </c>
      <c r="G3245" s="23" t="s">
        <v>15962</v>
      </c>
      <c r="H3245" s="23"/>
      <c r="I3245" s="23"/>
      <c r="J3245" s="23"/>
      <c r="K3245" s="23"/>
      <c r="L3245" s="375"/>
      <c r="M3245" s="351"/>
      <c r="N3245" s="267">
        <f t="shared" si="766"/>
        <v>0</v>
      </c>
      <c r="O3245" s="268">
        <f t="shared" si="767"/>
        <v>0</v>
      </c>
      <c r="P3245" s="239"/>
      <c r="Q3245" s="239"/>
      <c r="R3245" s="239"/>
      <c r="S3245" s="239"/>
      <c r="T3245" s="239"/>
      <c r="U3245" s="240"/>
      <c r="V3245" s="240"/>
      <c r="W3245" s="240"/>
      <c r="X3245" s="278"/>
      <c r="Y3245" s="240"/>
      <c r="Z3245" s="237"/>
      <c r="AA3245" s="279"/>
      <c r="AB3245" s="238"/>
      <c r="AC3245" s="196">
        <f t="shared" si="768"/>
        <v>0</v>
      </c>
      <c r="AD3245" s="196">
        <f t="shared" si="769"/>
        <v>0</v>
      </c>
      <c r="AE3245" s="196">
        <f t="shared" si="770"/>
        <v>0</v>
      </c>
      <c r="AF3245" s="2">
        <f t="shared" si="771"/>
        <v>0</v>
      </c>
      <c r="AG3245" s="2">
        <f t="shared" si="772"/>
        <v>0</v>
      </c>
    </row>
    <row r="3246" spans="1:33">
      <c r="A3246" s="20" t="s">
        <v>9383</v>
      </c>
      <c r="B3246" s="150"/>
      <c r="C3246" s="21" t="s">
        <v>16519</v>
      </c>
      <c r="D3246" s="109" t="s">
        <v>16186</v>
      </c>
      <c r="E3246" s="109"/>
      <c r="F3246" s="391" t="s">
        <v>16520</v>
      </c>
      <c r="G3246" s="23" t="s">
        <v>15962</v>
      </c>
      <c r="H3246" s="23" t="s">
        <v>16234</v>
      </c>
      <c r="I3246" s="23"/>
      <c r="J3246" s="23"/>
      <c r="K3246" s="23"/>
      <c r="L3246" s="375" t="s">
        <v>27770</v>
      </c>
      <c r="M3246" s="351" t="s">
        <v>45</v>
      </c>
      <c r="N3246" s="267">
        <f t="shared" si="766"/>
        <v>0</v>
      </c>
      <c r="O3246" s="268">
        <f t="shared" si="767"/>
        <v>13700</v>
      </c>
      <c r="P3246" s="239"/>
      <c r="Q3246" s="239"/>
      <c r="R3246" s="239"/>
      <c r="S3246" s="239"/>
      <c r="T3246" s="239"/>
      <c r="U3246" s="239"/>
      <c r="V3246" s="240">
        <f>1500+2400+1100-3600+4200+1600-3600+4100+3700-3600-3600+1900+6500+1100</f>
        <v>13700</v>
      </c>
      <c r="W3246" s="240"/>
      <c r="X3246" s="278"/>
      <c r="Y3246" s="240"/>
      <c r="Z3246" s="237"/>
      <c r="AA3246" s="279"/>
      <c r="AB3246" s="238" t="s">
        <v>27753</v>
      </c>
      <c r="AC3246" s="196">
        <f t="shared" si="768"/>
        <v>13700</v>
      </c>
      <c r="AD3246" s="196">
        <f t="shared" si="769"/>
        <v>13700</v>
      </c>
      <c r="AE3246" s="196">
        <f t="shared" si="770"/>
        <v>0</v>
      </c>
      <c r="AF3246" s="2">
        <f t="shared" si="771"/>
        <v>13700</v>
      </c>
      <c r="AG3246" s="2">
        <f t="shared" si="772"/>
        <v>0</v>
      </c>
    </row>
    <row r="3247" spans="1:33">
      <c r="A3247" s="20" t="s">
        <v>11860</v>
      </c>
      <c r="B3247" s="150"/>
      <c r="C3247" s="21" t="s">
        <v>11799</v>
      </c>
      <c r="D3247" s="109" t="s">
        <v>7954</v>
      </c>
      <c r="E3247" s="109" t="s">
        <v>11800</v>
      </c>
      <c r="F3247" s="391" t="s">
        <v>11801</v>
      </c>
      <c r="G3247" s="23" t="s">
        <v>5512</v>
      </c>
      <c r="H3247" s="23"/>
      <c r="I3247" s="23"/>
      <c r="J3247" s="23"/>
      <c r="K3247" s="23"/>
      <c r="L3247" s="375" t="s">
        <v>7787</v>
      </c>
      <c r="M3247" s="351"/>
      <c r="N3247" s="267">
        <f t="shared" si="766"/>
        <v>0</v>
      </c>
      <c r="O3247" s="268">
        <f t="shared" si="767"/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37"/>
      <c r="Z3247" s="237"/>
      <c r="AA3247" s="279"/>
      <c r="AB3247" s="238"/>
      <c r="AC3247" s="196">
        <f t="shared" si="768"/>
        <v>0</v>
      </c>
      <c r="AD3247" s="196">
        <f t="shared" si="769"/>
        <v>0</v>
      </c>
      <c r="AE3247" s="196">
        <f t="shared" si="770"/>
        <v>0</v>
      </c>
      <c r="AF3247" s="2">
        <f t="shared" si="771"/>
        <v>0</v>
      </c>
      <c r="AG3247" s="2">
        <f t="shared" si="772"/>
        <v>0</v>
      </c>
    </row>
    <row r="3248" spans="1:33">
      <c r="A3248" s="20" t="s">
        <v>9384</v>
      </c>
      <c r="B3248" s="150"/>
      <c r="C3248" s="21" t="s">
        <v>25465</v>
      </c>
      <c r="D3248" s="109" t="s">
        <v>16186</v>
      </c>
      <c r="E3248" s="109"/>
      <c r="F3248" s="391" t="s">
        <v>16521</v>
      </c>
      <c r="G3248" s="23" t="s">
        <v>15962</v>
      </c>
      <c r="H3248" s="23" t="s">
        <v>16234</v>
      </c>
      <c r="I3248" s="23"/>
      <c r="J3248" s="23"/>
      <c r="K3248" s="23"/>
      <c r="L3248" s="375"/>
      <c r="M3248" s="351"/>
      <c r="N3248" s="267">
        <f t="shared" si="766"/>
        <v>0</v>
      </c>
      <c r="O3248" s="268">
        <f t="shared" si="767"/>
        <v>0</v>
      </c>
      <c r="P3248" s="239"/>
      <c r="Q3248" s="239"/>
      <c r="R3248" s="239"/>
      <c r="S3248" s="239"/>
      <c r="T3248" s="239"/>
      <c r="U3248" s="240"/>
      <c r="V3248" s="240"/>
      <c r="W3248" s="240"/>
      <c r="X3248" s="278"/>
      <c r="Y3248" s="240"/>
      <c r="Z3248" s="237"/>
      <c r="AA3248" s="279"/>
      <c r="AB3248" s="238"/>
      <c r="AC3248" s="196">
        <f t="shared" si="768"/>
        <v>0</v>
      </c>
      <c r="AD3248" s="196">
        <f t="shared" si="769"/>
        <v>0</v>
      </c>
      <c r="AE3248" s="196">
        <f t="shared" si="770"/>
        <v>0</v>
      </c>
      <c r="AF3248" s="2">
        <f t="shared" si="771"/>
        <v>0</v>
      </c>
      <c r="AG3248" s="2">
        <f t="shared" si="772"/>
        <v>0</v>
      </c>
    </row>
    <row r="3249" spans="1:33">
      <c r="A3249" s="20" t="s">
        <v>25436</v>
      </c>
      <c r="B3249" s="150"/>
      <c r="C3249" s="21" t="s">
        <v>25466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16234</v>
      </c>
      <c r="I3249" s="23"/>
      <c r="J3249" s="23"/>
      <c r="K3249" s="23"/>
      <c r="L3249" s="375" t="s">
        <v>45</v>
      </c>
      <c r="M3249" s="351" t="s">
        <v>45</v>
      </c>
      <c r="N3249" s="267">
        <f t="shared" ref="N3249" si="773">SUM(L3249:M3249)</f>
        <v>0</v>
      </c>
      <c r="O3249" s="268">
        <f t="shared" ref="O3249" si="774">SUM(P3249:Z3249)</f>
        <v>0</v>
      </c>
      <c r="P3249" s="239"/>
      <c r="Q3249" s="239"/>
      <c r="R3249" s="239"/>
      <c r="S3249" s="239"/>
      <c r="T3249" s="239"/>
      <c r="U3249" s="240"/>
      <c r="V3249" s="240"/>
      <c r="W3249" s="240"/>
      <c r="X3249" s="278"/>
      <c r="Y3249" s="240"/>
      <c r="Z3249" s="237"/>
      <c r="AA3249" s="279"/>
      <c r="AB3249" s="238"/>
      <c r="AC3249" s="196">
        <f t="shared" si="768"/>
        <v>0</v>
      </c>
      <c r="AD3249" s="196">
        <f t="shared" si="769"/>
        <v>0</v>
      </c>
      <c r="AE3249" s="196">
        <f t="shared" si="770"/>
        <v>0</v>
      </c>
      <c r="AF3249" s="2">
        <f t="shared" si="771"/>
        <v>0</v>
      </c>
      <c r="AG3249" s="2">
        <f t="shared" si="772"/>
        <v>0</v>
      </c>
    </row>
    <row r="3250" spans="1:33">
      <c r="A3250" s="20" t="s">
        <v>27078</v>
      </c>
      <c r="B3250" s="150"/>
      <c r="C3250" s="21" t="s">
        <v>26919</v>
      </c>
      <c r="D3250" s="109" t="s">
        <v>5649</v>
      </c>
      <c r="E3250" s="109"/>
      <c r="F3250" s="391" t="s">
        <v>9396</v>
      </c>
      <c r="G3250" s="23" t="s">
        <v>13341</v>
      </c>
      <c r="H3250" s="23" t="s">
        <v>26934</v>
      </c>
      <c r="I3250" s="23"/>
      <c r="J3250" s="23"/>
      <c r="K3250" s="23"/>
      <c r="L3250" s="375" t="s">
        <v>27989</v>
      </c>
      <c r="M3250" s="351" t="s">
        <v>45</v>
      </c>
      <c r="N3250" s="267">
        <f t="shared" ref="N3250" si="775">SUM(L3250:M3250)</f>
        <v>0</v>
      </c>
      <c r="O3250" s="268">
        <f t="shared" ref="O3250" si="776">SUM(P3250:Z3250)</f>
        <v>8700</v>
      </c>
      <c r="P3250" s="239"/>
      <c r="Q3250" s="239"/>
      <c r="R3250" s="239"/>
      <c r="S3250" s="239"/>
      <c r="T3250" s="239"/>
      <c r="U3250" s="240"/>
      <c r="V3250" s="240">
        <f>2900+7300+1300-3600+300+200-3600+900-3600+2000-3600+3100+1500+3300-3600+3800-3600+3700</f>
        <v>8700</v>
      </c>
      <c r="W3250" s="240"/>
      <c r="X3250" s="278"/>
      <c r="Y3250" s="240"/>
      <c r="Z3250" s="237"/>
      <c r="AA3250" s="279"/>
      <c r="AB3250" s="238" t="s">
        <v>27957</v>
      </c>
      <c r="AC3250" s="196"/>
      <c r="AD3250" s="196"/>
      <c r="AE3250" s="196"/>
    </row>
    <row r="3251" spans="1:33">
      <c r="A3251" s="20"/>
      <c r="B3251" s="150"/>
      <c r="C3251" s="21" t="s">
        <v>27623</v>
      </c>
      <c r="D3251" s="109" t="s">
        <v>5649</v>
      </c>
      <c r="E3251" s="109"/>
      <c r="F3251" s="391" t="s">
        <v>9396</v>
      </c>
      <c r="G3251" s="23" t="s">
        <v>13341</v>
      </c>
      <c r="H3251" s="23" t="s">
        <v>15071</v>
      </c>
      <c r="I3251" s="23"/>
      <c r="J3251" s="23"/>
      <c r="K3251" s="23"/>
      <c r="L3251" s="375" t="s">
        <v>27815</v>
      </c>
      <c r="M3251" s="351"/>
      <c r="N3251" s="267">
        <f t="shared" ref="N3251" si="777">SUM(L3251:M3251)</f>
        <v>0</v>
      </c>
      <c r="O3251" s="268">
        <f t="shared" ref="O3251" si="778">SUM(P3251:Z3251)</f>
        <v>300</v>
      </c>
      <c r="P3251" s="239"/>
      <c r="Q3251" s="239"/>
      <c r="R3251" s="239"/>
      <c r="S3251" s="239"/>
      <c r="T3251" s="239"/>
      <c r="U3251" s="240"/>
      <c r="V3251" s="240">
        <v>300</v>
      </c>
      <c r="W3251" s="240"/>
      <c r="X3251" s="278"/>
      <c r="Y3251" s="240"/>
      <c r="Z3251" s="237"/>
      <c r="AA3251" s="279"/>
      <c r="AB3251" s="238" t="s">
        <v>27810</v>
      </c>
      <c r="AC3251" s="196"/>
      <c r="AD3251" s="196"/>
      <c r="AE3251" s="196"/>
    </row>
    <row r="3252" spans="1:33">
      <c r="A3252" s="20" t="s">
        <v>8911</v>
      </c>
      <c r="B3252" s="150"/>
      <c r="C3252" s="21" t="s">
        <v>16522</v>
      </c>
      <c r="D3252" s="109" t="s">
        <v>16186</v>
      </c>
      <c r="E3252" s="109"/>
      <c r="F3252" s="391" t="s">
        <v>16523</v>
      </c>
      <c r="G3252" s="23" t="s">
        <v>15962</v>
      </c>
      <c r="H3252" s="23"/>
      <c r="I3252" s="23"/>
      <c r="J3252" s="23"/>
      <c r="K3252" s="23"/>
      <c r="L3252" s="375" t="s">
        <v>7787</v>
      </c>
      <c r="M3252" s="351" t="s">
        <v>7787</v>
      </c>
      <c r="N3252" s="267">
        <f t="shared" si="766"/>
        <v>0</v>
      </c>
      <c r="O3252" s="268">
        <f t="shared" si="767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7"/>
      <c r="Z3252" s="237"/>
      <c r="AA3252" s="279"/>
      <c r="AB3252" s="238"/>
      <c r="AC3252" s="196">
        <f t="shared" si="768"/>
        <v>0</v>
      </c>
      <c r="AD3252" s="196">
        <f t="shared" si="769"/>
        <v>0</v>
      </c>
      <c r="AE3252" s="196">
        <f t="shared" si="770"/>
        <v>0</v>
      </c>
      <c r="AF3252" s="2">
        <f t="shared" si="771"/>
        <v>0</v>
      </c>
      <c r="AG3252" s="2">
        <f t="shared" si="772"/>
        <v>0</v>
      </c>
    </row>
    <row r="3253" spans="1:33">
      <c r="A3253" s="20" t="s">
        <v>9133</v>
      </c>
      <c r="B3253" s="150"/>
      <c r="C3253" s="21" t="s">
        <v>16524</v>
      </c>
      <c r="D3253" s="109" t="s">
        <v>16186</v>
      </c>
      <c r="E3253" s="109" t="s">
        <v>16227</v>
      </c>
      <c r="F3253" s="391" t="s">
        <v>16523</v>
      </c>
      <c r="G3253" s="23" t="s">
        <v>15962</v>
      </c>
      <c r="H3253" s="23"/>
      <c r="I3253" s="23"/>
      <c r="J3253" s="23"/>
      <c r="K3253" s="23"/>
      <c r="L3253" s="375" t="s">
        <v>7787</v>
      </c>
      <c r="M3253" s="351"/>
      <c r="N3253" s="267">
        <f t="shared" si="766"/>
        <v>0</v>
      </c>
      <c r="O3253" s="268">
        <f t="shared" si="767"/>
        <v>0</v>
      </c>
      <c r="P3253" s="239"/>
      <c r="Q3253" s="239"/>
      <c r="R3253" s="239"/>
      <c r="S3253" s="239"/>
      <c r="T3253" s="239"/>
      <c r="U3253" s="240"/>
      <c r="V3253" s="240"/>
      <c r="W3253" s="240"/>
      <c r="X3253" s="278"/>
      <c r="Y3253" s="239"/>
      <c r="Z3253" s="237"/>
      <c r="AA3253" s="279"/>
      <c r="AB3253" s="238"/>
      <c r="AC3253" s="196">
        <f t="shared" si="768"/>
        <v>0</v>
      </c>
      <c r="AD3253" s="196">
        <f t="shared" si="769"/>
        <v>0</v>
      </c>
      <c r="AE3253" s="196">
        <f t="shared" si="770"/>
        <v>0</v>
      </c>
      <c r="AF3253" s="2">
        <f t="shared" si="771"/>
        <v>0</v>
      </c>
      <c r="AG3253" s="2">
        <f t="shared" si="772"/>
        <v>0</v>
      </c>
    </row>
    <row r="3254" spans="1:33">
      <c r="A3254" s="20" t="s">
        <v>9292</v>
      </c>
      <c r="B3254" s="150"/>
      <c r="C3254" s="21" t="s">
        <v>16525</v>
      </c>
      <c r="D3254" s="109" t="s">
        <v>16231</v>
      </c>
      <c r="E3254" s="109"/>
      <c r="F3254" s="391" t="s">
        <v>16526</v>
      </c>
      <c r="G3254" s="23" t="s">
        <v>16333</v>
      </c>
      <c r="H3254" s="23"/>
      <c r="I3254" s="23"/>
      <c r="J3254" s="23"/>
      <c r="K3254" s="23"/>
      <c r="L3254" s="375" t="s">
        <v>7787</v>
      </c>
      <c r="M3254" s="351" t="s">
        <v>7787</v>
      </c>
      <c r="N3254" s="267">
        <f t="shared" si="766"/>
        <v>0</v>
      </c>
      <c r="O3254" s="268">
        <f t="shared" si="767"/>
        <v>0</v>
      </c>
      <c r="P3254" s="239"/>
      <c r="Q3254" s="239"/>
      <c r="R3254" s="239"/>
      <c r="S3254" s="239"/>
      <c r="T3254" s="239"/>
      <c r="U3254" s="240"/>
      <c r="V3254" s="240"/>
      <c r="W3254" s="240"/>
      <c r="X3254" s="278"/>
      <c r="Y3254" s="237"/>
      <c r="Z3254" s="237"/>
      <c r="AA3254" s="279"/>
      <c r="AB3254" s="238"/>
      <c r="AC3254" s="196">
        <f t="shared" si="768"/>
        <v>0</v>
      </c>
      <c r="AD3254" s="196">
        <f t="shared" si="769"/>
        <v>0</v>
      </c>
      <c r="AE3254" s="196">
        <f t="shared" si="770"/>
        <v>0</v>
      </c>
      <c r="AF3254" s="2">
        <f t="shared" si="771"/>
        <v>0</v>
      </c>
      <c r="AG3254" s="2">
        <f t="shared" si="772"/>
        <v>0</v>
      </c>
    </row>
    <row r="3255" spans="1:33">
      <c r="A3255" s="20" t="s">
        <v>9131</v>
      </c>
      <c r="B3255" s="150"/>
      <c r="C3255" s="21" t="s">
        <v>16527</v>
      </c>
      <c r="D3255" s="109" t="s">
        <v>16329</v>
      </c>
      <c r="E3255" s="109"/>
      <c r="F3255" s="391" t="s">
        <v>16528</v>
      </c>
      <c r="G3255" s="23" t="s">
        <v>16291</v>
      </c>
      <c r="H3255" s="23" t="s">
        <v>17360</v>
      </c>
      <c r="I3255" s="23"/>
      <c r="J3255" s="23"/>
      <c r="K3255" s="23"/>
      <c r="L3255" s="375" t="s">
        <v>27685</v>
      </c>
      <c r="M3255" s="351" t="s">
        <v>7787</v>
      </c>
      <c r="N3255" s="267">
        <f t="shared" si="766"/>
        <v>0</v>
      </c>
      <c r="O3255" s="268">
        <f t="shared" si="767"/>
        <v>100</v>
      </c>
      <c r="P3255" s="239"/>
      <c r="Q3255" s="240"/>
      <c r="R3255" s="239"/>
      <c r="S3255" s="239"/>
      <c r="T3255" s="239"/>
      <c r="U3255" s="240">
        <f>200-100</f>
        <v>100</v>
      </c>
      <c r="V3255" s="240"/>
      <c r="W3255" s="240"/>
      <c r="X3255" s="278"/>
      <c r="Y3255" s="237"/>
      <c r="Z3255" s="237"/>
      <c r="AA3255" s="279"/>
      <c r="AB3255" s="238" t="s">
        <v>27688</v>
      </c>
      <c r="AC3255" s="196">
        <f t="shared" si="768"/>
        <v>100</v>
      </c>
      <c r="AD3255" s="196">
        <f t="shared" si="769"/>
        <v>100</v>
      </c>
      <c r="AE3255" s="196">
        <f t="shared" si="770"/>
        <v>0</v>
      </c>
      <c r="AF3255" s="2">
        <f t="shared" si="771"/>
        <v>100</v>
      </c>
      <c r="AG3255" s="2">
        <f t="shared" si="772"/>
        <v>0</v>
      </c>
    </row>
    <row r="3256" spans="1:33">
      <c r="A3256" s="20" t="s">
        <v>17724</v>
      </c>
      <c r="B3256" s="150"/>
      <c r="C3256" s="21" t="s">
        <v>17741</v>
      </c>
      <c r="D3256" s="109" t="s">
        <v>17742</v>
      </c>
      <c r="E3256" s="109" t="s">
        <v>20706</v>
      </c>
      <c r="F3256" s="391" t="s">
        <v>17790</v>
      </c>
      <c r="G3256" s="23" t="s">
        <v>13341</v>
      </c>
      <c r="H3256" s="23"/>
      <c r="I3256" s="23"/>
      <c r="J3256" s="23"/>
      <c r="K3256" s="23"/>
      <c r="L3256" s="375" t="s">
        <v>7787</v>
      </c>
      <c r="M3256" s="351" t="s">
        <v>7787</v>
      </c>
      <c r="N3256" s="267">
        <f t="shared" si="766"/>
        <v>0</v>
      </c>
      <c r="O3256" s="268">
        <f t="shared" si="767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0"/>
      <c r="Z3256" s="237"/>
      <c r="AA3256" s="279"/>
      <c r="AB3256" s="238"/>
      <c r="AC3256" s="196">
        <f t="shared" si="768"/>
        <v>0</v>
      </c>
      <c r="AD3256" s="196">
        <f t="shared" si="769"/>
        <v>0</v>
      </c>
      <c r="AE3256" s="196">
        <f t="shared" si="770"/>
        <v>0</v>
      </c>
      <c r="AF3256" s="2">
        <f t="shared" si="771"/>
        <v>0</v>
      </c>
      <c r="AG3256" s="2">
        <f t="shared" si="772"/>
        <v>0</v>
      </c>
    </row>
    <row r="3257" spans="1:33">
      <c r="A3257" s="20" t="s">
        <v>19206</v>
      </c>
      <c r="B3257" s="150"/>
      <c r="C3257" s="21" t="s">
        <v>17741</v>
      </c>
      <c r="D3257" s="109" t="s">
        <v>5979</v>
      </c>
      <c r="E3257" s="109" t="s">
        <v>9189</v>
      </c>
      <c r="F3257" s="391" t="s">
        <v>17790</v>
      </c>
      <c r="G3257" s="23" t="s">
        <v>13341</v>
      </c>
      <c r="H3257" s="23"/>
      <c r="I3257" s="23"/>
      <c r="J3257" s="23"/>
      <c r="K3257" s="23"/>
      <c r="L3257" s="375" t="s">
        <v>7787</v>
      </c>
      <c r="M3257" s="351"/>
      <c r="N3257" s="267">
        <f t="shared" si="766"/>
        <v>0</v>
      </c>
      <c r="O3257" s="268">
        <f t="shared" si="767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3"/>
      <c r="Z3257" s="237"/>
      <c r="AA3257" s="279"/>
      <c r="AB3257" s="238"/>
      <c r="AC3257" s="196">
        <f t="shared" si="768"/>
        <v>0</v>
      </c>
      <c r="AD3257" s="196">
        <f t="shared" si="769"/>
        <v>0</v>
      </c>
      <c r="AE3257" s="196">
        <f t="shared" si="770"/>
        <v>0</v>
      </c>
      <c r="AF3257" s="2">
        <f t="shared" si="771"/>
        <v>0</v>
      </c>
      <c r="AG3257" s="2">
        <f t="shared" si="772"/>
        <v>0</v>
      </c>
    </row>
    <row r="3258" spans="1:33">
      <c r="A3258" s="20" t="s">
        <v>21455</v>
      </c>
      <c r="B3258" s="150"/>
      <c r="C3258" s="21" t="s">
        <v>20705</v>
      </c>
      <c r="D3258" s="109" t="s">
        <v>5979</v>
      </c>
      <c r="E3258" s="109" t="s">
        <v>20704</v>
      </c>
      <c r="F3258" s="391" t="s">
        <v>17790</v>
      </c>
      <c r="G3258" s="23" t="s">
        <v>13341</v>
      </c>
      <c r="H3258" s="23" t="s">
        <v>17306</v>
      </c>
      <c r="I3258" s="23"/>
      <c r="J3258" s="23"/>
      <c r="K3258" s="23"/>
      <c r="L3258" s="375" t="s">
        <v>7787</v>
      </c>
      <c r="M3258" s="351" t="s">
        <v>7787</v>
      </c>
      <c r="N3258" s="267">
        <f t="shared" si="766"/>
        <v>0</v>
      </c>
      <c r="O3258" s="268">
        <f t="shared" si="767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40"/>
      <c r="Z3258" s="237"/>
      <c r="AA3258" s="279"/>
      <c r="AB3258" s="238"/>
      <c r="AC3258" s="196">
        <f t="shared" si="768"/>
        <v>0</v>
      </c>
      <c r="AD3258" s="196">
        <f t="shared" si="769"/>
        <v>0</v>
      </c>
      <c r="AE3258" s="196">
        <f t="shared" si="770"/>
        <v>0</v>
      </c>
      <c r="AF3258" s="2">
        <f t="shared" si="771"/>
        <v>0</v>
      </c>
      <c r="AG3258" s="2">
        <f t="shared" si="772"/>
        <v>0</v>
      </c>
    </row>
    <row r="3259" spans="1:33">
      <c r="A3259" s="20" t="s">
        <v>21456</v>
      </c>
      <c r="B3259" s="150"/>
      <c r="C3259" s="21" t="s">
        <v>20705</v>
      </c>
      <c r="D3259" s="109" t="s">
        <v>5979</v>
      </c>
      <c r="E3259" s="109" t="s">
        <v>20825</v>
      </c>
      <c r="F3259" s="391" t="s">
        <v>17790</v>
      </c>
      <c r="G3259" s="23" t="s">
        <v>13341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6"/>
        <v>0</v>
      </c>
      <c r="O3259" s="268">
        <f t="shared" si="767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43"/>
      <c r="Z3259" s="237"/>
      <c r="AA3259" s="279"/>
      <c r="AB3259" s="238"/>
      <c r="AC3259" s="196">
        <f t="shared" si="768"/>
        <v>0</v>
      </c>
      <c r="AD3259" s="196">
        <f t="shared" si="769"/>
        <v>0</v>
      </c>
      <c r="AE3259" s="196">
        <f t="shared" si="770"/>
        <v>0</v>
      </c>
      <c r="AF3259" s="2">
        <f t="shared" si="771"/>
        <v>0</v>
      </c>
      <c r="AG3259" s="2">
        <f t="shared" si="772"/>
        <v>0</v>
      </c>
    </row>
    <row r="3260" spans="1:33">
      <c r="A3260" s="20" t="s">
        <v>9225</v>
      </c>
      <c r="B3260" s="150"/>
      <c r="C3260" s="21" t="s">
        <v>16529</v>
      </c>
      <c r="D3260" s="109" t="s">
        <v>16279</v>
      </c>
      <c r="E3260" s="109"/>
      <c r="F3260" s="391" t="s">
        <v>16530</v>
      </c>
      <c r="G3260" s="23" t="s">
        <v>15962</v>
      </c>
      <c r="H3260" s="23"/>
      <c r="I3260" s="23"/>
      <c r="J3260" s="23"/>
      <c r="K3260" s="23"/>
      <c r="L3260" s="375" t="s">
        <v>7787</v>
      </c>
      <c r="M3260" s="351" t="s">
        <v>7787</v>
      </c>
      <c r="N3260" s="267">
        <f t="shared" si="766"/>
        <v>0</v>
      </c>
      <c r="O3260" s="268">
        <f t="shared" si="767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39"/>
      <c r="Z3260" s="237"/>
      <c r="AA3260" s="279"/>
      <c r="AB3260" s="238"/>
      <c r="AC3260" s="196">
        <f t="shared" si="768"/>
        <v>0</v>
      </c>
      <c r="AD3260" s="196">
        <f t="shared" si="769"/>
        <v>0</v>
      </c>
      <c r="AE3260" s="196">
        <f t="shared" si="770"/>
        <v>0</v>
      </c>
      <c r="AF3260" s="2">
        <f t="shared" si="771"/>
        <v>0</v>
      </c>
      <c r="AG3260" s="2">
        <f t="shared" si="772"/>
        <v>0</v>
      </c>
    </row>
    <row r="3261" spans="1:33">
      <c r="A3261" s="20" t="s">
        <v>11288</v>
      </c>
      <c r="B3261" s="150"/>
      <c r="C3261" s="21" t="s">
        <v>17485</v>
      </c>
      <c r="D3261" s="109" t="s">
        <v>16279</v>
      </c>
      <c r="E3261" s="109" t="s">
        <v>16531</v>
      </c>
      <c r="F3261" s="391" t="s">
        <v>16530</v>
      </c>
      <c r="G3261" s="23" t="s">
        <v>15962</v>
      </c>
      <c r="H3261" s="23"/>
      <c r="I3261" s="23"/>
      <c r="J3261" s="23"/>
      <c r="K3261" s="23"/>
      <c r="L3261" s="375" t="s">
        <v>7787</v>
      </c>
      <c r="M3261" s="351" t="s">
        <v>7787</v>
      </c>
      <c r="N3261" s="267">
        <f t="shared" si="766"/>
        <v>0</v>
      </c>
      <c r="O3261" s="268">
        <f t="shared" si="767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39"/>
      <c r="Z3261" s="237"/>
      <c r="AA3261" s="279"/>
      <c r="AB3261" s="238"/>
      <c r="AC3261" s="196">
        <f t="shared" si="768"/>
        <v>0</v>
      </c>
      <c r="AD3261" s="196">
        <f t="shared" si="769"/>
        <v>0</v>
      </c>
      <c r="AE3261" s="196">
        <f t="shared" si="770"/>
        <v>0</v>
      </c>
      <c r="AF3261" s="2">
        <f t="shared" si="771"/>
        <v>0</v>
      </c>
      <c r="AG3261" s="2">
        <f t="shared" si="772"/>
        <v>0</v>
      </c>
    </row>
    <row r="3262" spans="1:33">
      <c r="A3262" s="20" t="s">
        <v>17968</v>
      </c>
      <c r="B3262" s="150"/>
      <c r="C3262" s="21" t="s">
        <v>18202</v>
      </c>
      <c r="D3262" s="109" t="s">
        <v>5979</v>
      </c>
      <c r="E3262" s="109" t="s">
        <v>16531</v>
      </c>
      <c r="F3262" s="391" t="s">
        <v>9291</v>
      </c>
      <c r="G3262" s="23" t="s">
        <v>13341</v>
      </c>
      <c r="H3262" s="23" t="s">
        <v>23374</v>
      </c>
      <c r="I3262" s="23"/>
      <c r="J3262" s="23"/>
      <c r="K3262" s="23"/>
      <c r="L3262" s="375" t="s">
        <v>7787</v>
      </c>
      <c r="M3262" s="351" t="s">
        <v>7787</v>
      </c>
      <c r="N3262" s="267">
        <f t="shared" si="766"/>
        <v>0</v>
      </c>
      <c r="O3262" s="268">
        <f t="shared" si="767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40"/>
      <c r="Z3262" s="237"/>
      <c r="AA3262" s="279"/>
      <c r="AB3262" s="238"/>
      <c r="AC3262" s="196">
        <f t="shared" si="768"/>
        <v>0</v>
      </c>
      <c r="AD3262" s="196">
        <f t="shared" si="769"/>
        <v>0</v>
      </c>
      <c r="AE3262" s="196">
        <f t="shared" si="770"/>
        <v>0</v>
      </c>
      <c r="AF3262" s="2">
        <f t="shared" si="771"/>
        <v>0</v>
      </c>
      <c r="AG3262" s="2">
        <f t="shared" si="772"/>
        <v>0</v>
      </c>
    </row>
    <row r="3263" spans="1:33">
      <c r="A3263" s="20" t="s">
        <v>12230</v>
      </c>
      <c r="B3263" s="150"/>
      <c r="C3263" s="21" t="s">
        <v>16529</v>
      </c>
      <c r="D3263" s="109" t="s">
        <v>16279</v>
      </c>
      <c r="E3263" s="109" t="s">
        <v>16227</v>
      </c>
      <c r="F3263" s="391" t="s">
        <v>16530</v>
      </c>
      <c r="G3263" s="23" t="s">
        <v>15962</v>
      </c>
      <c r="H3263" s="23"/>
      <c r="I3263" s="23"/>
      <c r="J3263" s="23"/>
      <c r="K3263" s="23"/>
      <c r="L3263" s="375" t="s">
        <v>7787</v>
      </c>
      <c r="M3263" s="351"/>
      <c r="N3263" s="267">
        <f t="shared" si="766"/>
        <v>0</v>
      </c>
      <c r="O3263" s="268">
        <f t="shared" si="767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8"/>
        <v>0</v>
      </c>
      <c r="AD3263" s="196">
        <f t="shared" si="769"/>
        <v>0</v>
      </c>
      <c r="AE3263" s="196">
        <f t="shared" si="770"/>
        <v>0</v>
      </c>
      <c r="AF3263" s="2">
        <f t="shared" si="771"/>
        <v>0</v>
      </c>
      <c r="AG3263" s="2">
        <f t="shared" si="772"/>
        <v>0</v>
      </c>
    </row>
    <row r="3264" spans="1:33">
      <c r="A3264" s="20" t="s">
        <v>8977</v>
      </c>
      <c r="B3264" s="150"/>
      <c r="C3264" s="21" t="s">
        <v>16532</v>
      </c>
      <c r="D3264" s="109" t="s">
        <v>16329</v>
      </c>
      <c r="E3264" s="109" t="s">
        <v>45</v>
      </c>
      <c r="F3264" s="391" t="s">
        <v>16533</v>
      </c>
      <c r="G3264" s="23" t="s">
        <v>16183</v>
      </c>
      <c r="H3264" s="23"/>
      <c r="I3264" s="23"/>
      <c r="J3264" s="23"/>
      <c r="K3264" s="23"/>
      <c r="L3264" s="375" t="s">
        <v>7787</v>
      </c>
      <c r="M3264" s="351" t="s">
        <v>7787</v>
      </c>
      <c r="N3264" s="267">
        <f t="shared" si="766"/>
        <v>0</v>
      </c>
      <c r="O3264" s="268">
        <f t="shared" si="767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39"/>
      <c r="Z3264" s="237"/>
      <c r="AA3264" s="279"/>
      <c r="AB3264" s="238"/>
      <c r="AC3264" s="196">
        <f t="shared" si="768"/>
        <v>0</v>
      </c>
      <c r="AD3264" s="196">
        <f t="shared" si="769"/>
        <v>0</v>
      </c>
      <c r="AE3264" s="196">
        <f t="shared" si="770"/>
        <v>0</v>
      </c>
      <c r="AF3264" s="2">
        <f t="shared" si="771"/>
        <v>0</v>
      </c>
      <c r="AG3264" s="2">
        <f t="shared" si="772"/>
        <v>0</v>
      </c>
    </row>
    <row r="3265" spans="1:33">
      <c r="A3265" s="20" t="s">
        <v>12229</v>
      </c>
      <c r="B3265" s="150"/>
      <c r="C3265" s="21" t="s">
        <v>16534</v>
      </c>
      <c r="D3265" s="109" t="s">
        <v>16279</v>
      </c>
      <c r="E3265" s="109" t="s">
        <v>16227</v>
      </c>
      <c r="F3265" s="391" t="s">
        <v>16535</v>
      </c>
      <c r="G3265" s="23" t="s">
        <v>15962</v>
      </c>
      <c r="H3265" s="23"/>
      <c r="I3265" s="23"/>
      <c r="J3265" s="23"/>
      <c r="K3265" s="23"/>
      <c r="L3265" s="375" t="s">
        <v>7787</v>
      </c>
      <c r="M3265" s="351"/>
      <c r="N3265" s="267">
        <f t="shared" si="766"/>
        <v>0</v>
      </c>
      <c r="O3265" s="268">
        <f t="shared" si="767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39"/>
      <c r="Z3265" s="237"/>
      <c r="AA3265" s="279"/>
      <c r="AB3265" s="238"/>
      <c r="AC3265" s="196">
        <f t="shared" si="768"/>
        <v>0</v>
      </c>
      <c r="AD3265" s="196">
        <f t="shared" si="769"/>
        <v>0</v>
      </c>
      <c r="AE3265" s="196">
        <f t="shared" si="770"/>
        <v>0</v>
      </c>
      <c r="AF3265" s="2">
        <f t="shared" si="771"/>
        <v>0</v>
      </c>
      <c r="AG3265" s="2">
        <f t="shared" si="772"/>
        <v>0</v>
      </c>
    </row>
    <row r="3266" spans="1:33">
      <c r="A3266" s="20" t="s">
        <v>8980</v>
      </c>
      <c r="B3266" s="150"/>
      <c r="C3266" s="21" t="s">
        <v>16534</v>
      </c>
      <c r="D3266" s="109" t="s">
        <v>16279</v>
      </c>
      <c r="E3266" s="109"/>
      <c r="F3266" s="391" t="s">
        <v>16535</v>
      </c>
      <c r="G3266" s="23" t="s">
        <v>15962</v>
      </c>
      <c r="H3266" s="23"/>
      <c r="I3266" s="23"/>
      <c r="J3266" s="23"/>
      <c r="K3266" s="23"/>
      <c r="L3266" s="375" t="s">
        <v>7787</v>
      </c>
      <c r="M3266" s="351" t="s">
        <v>7787</v>
      </c>
      <c r="N3266" s="267">
        <f t="shared" si="766"/>
        <v>0</v>
      </c>
      <c r="O3266" s="268">
        <f t="shared" si="767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40"/>
      <c r="Z3266" s="237"/>
      <c r="AA3266" s="279"/>
      <c r="AB3266" s="238"/>
      <c r="AC3266" s="196">
        <f t="shared" si="768"/>
        <v>0</v>
      </c>
      <c r="AD3266" s="196">
        <f t="shared" si="769"/>
        <v>0</v>
      </c>
      <c r="AE3266" s="196">
        <f t="shared" si="770"/>
        <v>0</v>
      </c>
      <c r="AF3266" s="2">
        <f t="shared" si="771"/>
        <v>0</v>
      </c>
      <c r="AG3266" s="2">
        <f t="shared" si="772"/>
        <v>0</v>
      </c>
    </row>
    <row r="3267" spans="1:33">
      <c r="A3267" s="20" t="s">
        <v>11850</v>
      </c>
      <c r="B3267" s="150"/>
      <c r="C3267" s="21" t="s">
        <v>16534</v>
      </c>
      <c r="D3267" s="109" t="s">
        <v>16279</v>
      </c>
      <c r="E3267" s="109"/>
      <c r="F3267" s="391" t="s">
        <v>16535</v>
      </c>
      <c r="G3267" s="23" t="s">
        <v>16536</v>
      </c>
      <c r="H3267" s="23"/>
      <c r="I3267" s="23"/>
      <c r="J3267" s="23"/>
      <c r="K3267" s="23"/>
      <c r="L3267" s="375"/>
      <c r="M3267" s="351" t="s">
        <v>7787</v>
      </c>
      <c r="N3267" s="267">
        <f t="shared" si="766"/>
        <v>0</v>
      </c>
      <c r="O3267" s="268">
        <f t="shared" si="767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40"/>
      <c r="Z3267" s="237"/>
      <c r="AA3267" s="279"/>
      <c r="AB3267" s="238"/>
      <c r="AC3267" s="196">
        <f t="shared" si="768"/>
        <v>0</v>
      </c>
      <c r="AD3267" s="196">
        <f t="shared" si="769"/>
        <v>0</v>
      </c>
      <c r="AE3267" s="196">
        <f t="shared" si="770"/>
        <v>0</v>
      </c>
      <c r="AF3267" s="2">
        <f t="shared" si="771"/>
        <v>0</v>
      </c>
      <c r="AG3267" s="2">
        <f t="shared" si="772"/>
        <v>0</v>
      </c>
    </row>
    <row r="3268" spans="1:33">
      <c r="A3268" s="20" t="s">
        <v>11851</v>
      </c>
      <c r="B3268" s="150"/>
      <c r="C3268" s="21" t="s">
        <v>11833</v>
      </c>
      <c r="D3268" s="109" t="s">
        <v>16279</v>
      </c>
      <c r="E3268" s="109"/>
      <c r="F3268" s="391" t="s">
        <v>16535</v>
      </c>
      <c r="G3268" s="23" t="s">
        <v>16536</v>
      </c>
      <c r="H3268" s="23"/>
      <c r="I3268" s="23"/>
      <c r="J3268" s="23"/>
      <c r="K3268" s="23"/>
      <c r="L3268" s="375"/>
      <c r="M3268" s="351"/>
      <c r="N3268" s="267">
        <f t="shared" si="766"/>
        <v>0</v>
      </c>
      <c r="O3268" s="268">
        <f t="shared" si="767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9"/>
      <c r="Z3268" s="237"/>
      <c r="AA3268" s="279"/>
      <c r="AB3268" s="238"/>
      <c r="AC3268" s="196">
        <f t="shared" si="768"/>
        <v>0</v>
      </c>
      <c r="AD3268" s="196">
        <f t="shared" si="769"/>
        <v>0</v>
      </c>
      <c r="AE3268" s="196">
        <f t="shared" si="770"/>
        <v>0</v>
      </c>
      <c r="AF3268" s="2">
        <f t="shared" si="771"/>
        <v>0</v>
      </c>
      <c r="AG3268" s="2">
        <f t="shared" si="772"/>
        <v>0</v>
      </c>
    </row>
    <row r="3269" spans="1:33">
      <c r="A3269" s="20" t="s">
        <v>11399</v>
      </c>
      <c r="B3269" s="150"/>
      <c r="C3269" s="21" t="s">
        <v>16537</v>
      </c>
      <c r="D3269" s="109" t="s">
        <v>16279</v>
      </c>
      <c r="E3269" s="109"/>
      <c r="F3269" s="391" t="s">
        <v>16535</v>
      </c>
      <c r="G3269" s="23" t="s">
        <v>15962</v>
      </c>
      <c r="H3269" s="23"/>
      <c r="I3269" s="23"/>
      <c r="J3269" s="23"/>
      <c r="K3269" s="23"/>
      <c r="L3269" s="375" t="s">
        <v>7787</v>
      </c>
      <c r="M3269" s="351" t="s">
        <v>7787</v>
      </c>
      <c r="N3269" s="267">
        <f t="shared" si="766"/>
        <v>0</v>
      </c>
      <c r="O3269" s="268">
        <f t="shared" si="767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37"/>
      <c r="Z3269" s="237"/>
      <c r="AA3269" s="279"/>
      <c r="AB3269" s="238"/>
      <c r="AC3269" s="196">
        <f t="shared" si="768"/>
        <v>0</v>
      </c>
      <c r="AD3269" s="196">
        <f t="shared" si="769"/>
        <v>0</v>
      </c>
      <c r="AE3269" s="196">
        <f t="shared" si="770"/>
        <v>0</v>
      </c>
      <c r="AF3269" s="2">
        <f t="shared" si="771"/>
        <v>0</v>
      </c>
      <c r="AG3269" s="2">
        <f t="shared" si="772"/>
        <v>0</v>
      </c>
    </row>
    <row r="3270" spans="1:33">
      <c r="A3270" s="20" t="s">
        <v>9386</v>
      </c>
      <c r="B3270" s="150"/>
      <c r="C3270" s="21" t="s">
        <v>16538</v>
      </c>
      <c r="D3270" s="109" t="s">
        <v>16329</v>
      </c>
      <c r="E3270" s="109"/>
      <c r="F3270" s="391" t="s">
        <v>16539</v>
      </c>
      <c r="G3270" s="23" t="s">
        <v>16183</v>
      </c>
      <c r="H3270" s="23"/>
      <c r="I3270" s="23"/>
      <c r="J3270" s="23"/>
      <c r="K3270" s="23"/>
      <c r="L3270" s="375" t="s">
        <v>7787</v>
      </c>
      <c r="M3270" s="351" t="s">
        <v>7787</v>
      </c>
      <c r="N3270" s="267">
        <f t="shared" si="766"/>
        <v>0</v>
      </c>
      <c r="O3270" s="268">
        <f t="shared" si="767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37"/>
      <c r="Z3270" s="237"/>
      <c r="AA3270" s="279"/>
      <c r="AB3270" s="238"/>
      <c r="AC3270" s="196">
        <f t="shared" si="768"/>
        <v>0</v>
      </c>
      <c r="AD3270" s="196">
        <f t="shared" si="769"/>
        <v>0</v>
      </c>
      <c r="AE3270" s="196">
        <f t="shared" si="770"/>
        <v>0</v>
      </c>
      <c r="AF3270" s="2">
        <f t="shared" si="771"/>
        <v>0</v>
      </c>
      <c r="AG3270" s="2">
        <f t="shared" si="772"/>
        <v>0</v>
      </c>
    </row>
    <row r="3271" spans="1:33">
      <c r="A3271" s="20" t="s">
        <v>10034</v>
      </c>
      <c r="B3271" s="150"/>
      <c r="C3271" s="21" t="s">
        <v>16540</v>
      </c>
      <c r="D3271" s="109" t="s">
        <v>16503</v>
      </c>
      <c r="E3271" s="109"/>
      <c r="F3271" s="391" t="s">
        <v>16541</v>
      </c>
      <c r="G3271" s="23" t="s">
        <v>16542</v>
      </c>
      <c r="H3271" s="23" t="s">
        <v>16070</v>
      </c>
      <c r="I3271" s="23"/>
      <c r="J3271" s="23"/>
      <c r="K3271" s="23"/>
      <c r="L3271" s="375" t="s">
        <v>7787</v>
      </c>
      <c r="M3271" s="351" t="s">
        <v>7787</v>
      </c>
      <c r="N3271" s="267">
        <f t="shared" si="766"/>
        <v>0</v>
      </c>
      <c r="O3271" s="268">
        <f t="shared" si="767"/>
        <v>0</v>
      </c>
      <c r="P3271" s="239"/>
      <c r="Q3271" s="239"/>
      <c r="R3271" s="239"/>
      <c r="S3271" s="239"/>
      <c r="T3271" s="239"/>
      <c r="U3271" s="240"/>
      <c r="V3271" s="240"/>
      <c r="W3271" s="240"/>
      <c r="X3271" s="278"/>
      <c r="Y3271" s="240"/>
      <c r="Z3271" s="237"/>
      <c r="AA3271" s="279"/>
      <c r="AB3271" s="238"/>
      <c r="AC3271" s="196">
        <f t="shared" si="768"/>
        <v>0</v>
      </c>
      <c r="AD3271" s="196">
        <f t="shared" si="769"/>
        <v>0</v>
      </c>
      <c r="AE3271" s="196">
        <f t="shared" si="770"/>
        <v>0</v>
      </c>
      <c r="AF3271" s="2">
        <f t="shared" si="771"/>
        <v>0</v>
      </c>
      <c r="AG3271" s="2">
        <f t="shared" si="772"/>
        <v>0</v>
      </c>
    </row>
    <row r="3272" spans="1:33">
      <c r="A3272" s="20" t="s">
        <v>10035</v>
      </c>
      <c r="B3272" s="150"/>
      <c r="C3272" s="21" t="s">
        <v>16540</v>
      </c>
      <c r="D3272" s="109" t="s">
        <v>16543</v>
      </c>
      <c r="E3272" s="109" t="s">
        <v>26166</v>
      </c>
      <c r="F3272" s="391" t="s">
        <v>16541</v>
      </c>
      <c r="G3272" s="23" t="s">
        <v>27229</v>
      </c>
      <c r="H3272" s="23" t="s">
        <v>19223</v>
      </c>
      <c r="I3272" s="23" t="s">
        <v>16468</v>
      </c>
      <c r="J3272" s="23" t="s">
        <v>16544</v>
      </c>
      <c r="K3272" s="23" t="s">
        <v>16545</v>
      </c>
      <c r="L3272" s="375" t="s">
        <v>7787</v>
      </c>
      <c r="M3272" s="351" t="s">
        <v>7787</v>
      </c>
      <c r="N3272" s="267">
        <f t="shared" si="766"/>
        <v>0</v>
      </c>
      <c r="O3272" s="268">
        <f t="shared" si="767"/>
        <v>0</v>
      </c>
      <c r="P3272" s="239"/>
      <c r="Q3272" s="239"/>
      <c r="R3272" s="239"/>
      <c r="S3272" s="239"/>
      <c r="T3272" s="239"/>
      <c r="U3272" s="240"/>
      <c r="V3272" s="240"/>
      <c r="W3272" s="240"/>
      <c r="X3272" s="278"/>
      <c r="Y3272" s="237"/>
      <c r="Z3272" s="237"/>
      <c r="AA3272" s="279"/>
      <c r="AB3272" s="238"/>
      <c r="AC3272" s="196">
        <f t="shared" si="768"/>
        <v>0</v>
      </c>
      <c r="AD3272" s="196">
        <f t="shared" si="769"/>
        <v>0</v>
      </c>
      <c r="AE3272" s="196">
        <f t="shared" si="770"/>
        <v>0</v>
      </c>
      <c r="AF3272" s="2">
        <f t="shared" si="771"/>
        <v>0</v>
      </c>
      <c r="AG3272" s="2">
        <f t="shared" si="772"/>
        <v>0</v>
      </c>
    </row>
    <row r="3273" spans="1:33">
      <c r="A3273" s="20" t="s">
        <v>12005</v>
      </c>
      <c r="B3273" s="150"/>
      <c r="C3273" s="21" t="s">
        <v>16540</v>
      </c>
      <c r="D3273" s="109" t="s">
        <v>16329</v>
      </c>
      <c r="E3273" s="109" t="s">
        <v>27236</v>
      </c>
      <c r="F3273" s="391" t="s">
        <v>16541</v>
      </c>
      <c r="G3273" s="23" t="s">
        <v>16546</v>
      </c>
      <c r="H3273" s="23" t="s">
        <v>13912</v>
      </c>
      <c r="I3273" s="23" t="s">
        <v>23321</v>
      </c>
      <c r="J3273" s="23"/>
      <c r="K3273" s="23"/>
      <c r="L3273" s="375" t="s">
        <v>7787</v>
      </c>
      <c r="M3273" s="351" t="s">
        <v>7787</v>
      </c>
      <c r="N3273" s="267">
        <f t="shared" si="766"/>
        <v>0</v>
      </c>
      <c r="O3273" s="268">
        <f t="shared" si="767"/>
        <v>150</v>
      </c>
      <c r="P3273" s="239">
        <v>150</v>
      </c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 t="s">
        <v>27239</v>
      </c>
      <c r="AC3273" s="196">
        <f t="shared" si="768"/>
        <v>150</v>
      </c>
      <c r="AD3273" s="196">
        <f t="shared" si="769"/>
        <v>150</v>
      </c>
      <c r="AE3273" s="196">
        <f t="shared" si="770"/>
        <v>0</v>
      </c>
      <c r="AF3273" s="2">
        <f t="shared" si="771"/>
        <v>150</v>
      </c>
      <c r="AG3273" s="2">
        <f t="shared" si="772"/>
        <v>0</v>
      </c>
    </row>
    <row r="3274" spans="1:33">
      <c r="A3274" s="20"/>
      <c r="B3274" s="150"/>
      <c r="C3274" s="21" t="s">
        <v>27843</v>
      </c>
      <c r="D3274" s="109" t="s">
        <v>22713</v>
      </c>
      <c r="E3274" s="109" t="s">
        <v>27846</v>
      </c>
      <c r="F3274" s="391" t="s">
        <v>25556</v>
      </c>
      <c r="G3274" s="23" t="s">
        <v>27844</v>
      </c>
      <c r="H3274" s="23" t="s">
        <v>27845</v>
      </c>
      <c r="I3274" s="23" t="s">
        <v>27711</v>
      </c>
      <c r="J3274" s="23"/>
      <c r="K3274" s="23"/>
      <c r="L3274" s="375" t="s">
        <v>7787</v>
      </c>
      <c r="M3274" s="351" t="s">
        <v>7787</v>
      </c>
      <c r="N3274" s="267">
        <f t="shared" ref="N3274" si="779">SUM(L3274:M3274)</f>
        <v>0</v>
      </c>
      <c r="O3274" s="268">
        <f t="shared" ref="O3274" si="780">SUM(P3274:Z3274)</f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ref="AC3274" si="781">SUM(P3274:AA3274)</f>
        <v>0</v>
      </c>
      <c r="AD3274" s="196">
        <f t="shared" ref="AD3274" si="782">SUM(P3274:AB3274)</f>
        <v>0</v>
      </c>
      <c r="AE3274" s="196">
        <f t="shared" ref="AE3274" si="783">SUM(AC3274-AD3274)</f>
        <v>0</v>
      </c>
      <c r="AF3274" s="2">
        <f t="shared" ref="AF3274" si="784">+AC3274</f>
        <v>0</v>
      </c>
      <c r="AG3274" s="2">
        <f t="shared" ref="AG3274" si="785">+AC3274-AF3274</f>
        <v>0</v>
      </c>
    </row>
    <row r="3275" spans="1:33">
      <c r="A3275" s="20" t="s">
        <v>18413</v>
      </c>
      <c r="B3275" s="150"/>
      <c r="C3275" s="21" t="s">
        <v>10087</v>
      </c>
      <c r="D3275" s="109" t="s">
        <v>18481</v>
      </c>
      <c r="E3275" s="109" t="s">
        <v>18482</v>
      </c>
      <c r="F3275" s="391" t="s">
        <v>9768</v>
      </c>
      <c r="G3275" s="23" t="s">
        <v>16546</v>
      </c>
      <c r="H3275" s="23"/>
      <c r="I3275" s="23"/>
      <c r="J3275" s="23"/>
      <c r="K3275" s="23"/>
      <c r="L3275" s="375" t="s">
        <v>7787</v>
      </c>
      <c r="M3275" s="351"/>
      <c r="N3275" s="267">
        <f t="shared" si="766"/>
        <v>0</v>
      </c>
      <c r="O3275" s="268">
        <f t="shared" si="767"/>
        <v>0</v>
      </c>
      <c r="P3275" s="239"/>
      <c r="Q3275" s="239"/>
      <c r="R3275" s="239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8"/>
        <v>0</v>
      </c>
      <c r="AD3275" s="196">
        <f t="shared" si="769"/>
        <v>0</v>
      </c>
      <c r="AE3275" s="196">
        <f t="shared" si="770"/>
        <v>0</v>
      </c>
      <c r="AF3275" s="2">
        <f t="shared" si="771"/>
        <v>0</v>
      </c>
      <c r="AG3275" s="2">
        <f t="shared" si="772"/>
        <v>0</v>
      </c>
    </row>
    <row r="3276" spans="1:33">
      <c r="A3276" s="20" t="s">
        <v>18516</v>
      </c>
      <c r="B3276" s="150"/>
      <c r="C3276" s="21" t="s">
        <v>10087</v>
      </c>
      <c r="D3276" s="109" t="s">
        <v>18481</v>
      </c>
      <c r="E3276" s="109" t="s">
        <v>18483</v>
      </c>
      <c r="F3276" s="391" t="s">
        <v>9768</v>
      </c>
      <c r="G3276" s="23" t="s">
        <v>16546</v>
      </c>
      <c r="H3276" s="23"/>
      <c r="I3276" s="23"/>
      <c r="J3276" s="23"/>
      <c r="K3276" s="23"/>
      <c r="L3276" s="375" t="s">
        <v>7787</v>
      </c>
      <c r="M3276" s="351"/>
      <c r="N3276" s="267">
        <f t="shared" si="766"/>
        <v>0</v>
      </c>
      <c r="O3276" s="268">
        <f t="shared" si="767"/>
        <v>0</v>
      </c>
      <c r="P3276" s="239"/>
      <c r="Q3276" s="239"/>
      <c r="R3276" s="239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8"/>
        <v>0</v>
      </c>
      <c r="AD3276" s="196">
        <f t="shared" si="769"/>
        <v>0</v>
      </c>
      <c r="AE3276" s="196">
        <f t="shared" si="770"/>
        <v>0</v>
      </c>
      <c r="AF3276" s="2">
        <f t="shared" si="771"/>
        <v>0</v>
      </c>
      <c r="AG3276" s="2">
        <f t="shared" si="772"/>
        <v>0</v>
      </c>
    </row>
    <row r="3277" spans="1:33">
      <c r="A3277" s="20" t="s">
        <v>9382</v>
      </c>
      <c r="B3277" s="150"/>
      <c r="C3277" s="21" t="s">
        <v>16547</v>
      </c>
      <c r="D3277" s="109" t="s">
        <v>16329</v>
      </c>
      <c r="E3277" s="109"/>
      <c r="F3277" s="391" t="s">
        <v>16548</v>
      </c>
      <c r="G3277" s="23" t="s">
        <v>16440</v>
      </c>
      <c r="H3277" s="23"/>
      <c r="I3277" s="23"/>
      <c r="J3277" s="23"/>
      <c r="K3277" s="23"/>
      <c r="L3277" s="375" t="s">
        <v>7787</v>
      </c>
      <c r="M3277" s="351"/>
      <c r="N3277" s="267">
        <f t="shared" si="766"/>
        <v>0</v>
      </c>
      <c r="O3277" s="268">
        <f t="shared" si="767"/>
        <v>0</v>
      </c>
      <c r="P3277" s="239"/>
      <c r="Q3277" s="239"/>
      <c r="R3277" s="240"/>
      <c r="S3277" s="239"/>
      <c r="T3277" s="239"/>
      <c r="U3277" s="240"/>
      <c r="V3277" s="240"/>
      <c r="W3277" s="240"/>
      <c r="X3277" s="278"/>
      <c r="Y3277" s="240"/>
      <c r="Z3277" s="237"/>
      <c r="AA3277" s="279"/>
      <c r="AB3277" s="238"/>
      <c r="AC3277" s="196">
        <f t="shared" si="768"/>
        <v>0</v>
      </c>
      <c r="AD3277" s="196">
        <f t="shared" si="769"/>
        <v>0</v>
      </c>
      <c r="AE3277" s="196">
        <f t="shared" si="770"/>
        <v>0</v>
      </c>
      <c r="AF3277" s="2">
        <f t="shared" si="771"/>
        <v>0</v>
      </c>
      <c r="AG3277" s="2">
        <f t="shared" si="772"/>
        <v>0</v>
      </c>
    </row>
    <row r="3278" spans="1:33">
      <c r="A3278" s="20" t="s">
        <v>9642</v>
      </c>
      <c r="B3278" s="150"/>
      <c r="C3278" s="21" t="s">
        <v>16549</v>
      </c>
      <c r="D3278" s="109" t="s">
        <v>16231</v>
      </c>
      <c r="E3278" s="109"/>
      <c r="F3278" s="391" t="s">
        <v>16550</v>
      </c>
      <c r="G3278" s="23" t="s">
        <v>16333</v>
      </c>
      <c r="H3278" s="23" t="s">
        <v>16551</v>
      </c>
      <c r="I3278" s="23"/>
      <c r="J3278" s="23"/>
      <c r="K3278" s="23"/>
      <c r="L3278" s="375" t="s">
        <v>7787</v>
      </c>
      <c r="M3278" s="351" t="s">
        <v>7787</v>
      </c>
      <c r="N3278" s="267">
        <f t="shared" si="766"/>
        <v>0</v>
      </c>
      <c r="O3278" s="268">
        <f t="shared" si="767"/>
        <v>0</v>
      </c>
      <c r="P3278" s="239"/>
      <c r="Q3278" s="239"/>
      <c r="R3278" s="239"/>
      <c r="S3278" s="239"/>
      <c r="T3278" s="239"/>
      <c r="U3278" s="240"/>
      <c r="V3278" s="240"/>
      <c r="W3278" s="240"/>
      <c r="X3278" s="278"/>
      <c r="Y3278" s="240"/>
      <c r="Z3278" s="237"/>
      <c r="AA3278" s="279"/>
      <c r="AB3278" s="238"/>
      <c r="AC3278" s="196">
        <f t="shared" si="768"/>
        <v>0</v>
      </c>
      <c r="AD3278" s="196">
        <f t="shared" si="769"/>
        <v>0</v>
      </c>
      <c r="AE3278" s="196">
        <f t="shared" si="770"/>
        <v>0</v>
      </c>
      <c r="AF3278" s="2">
        <f t="shared" si="771"/>
        <v>0</v>
      </c>
      <c r="AG3278" s="2">
        <f t="shared" si="772"/>
        <v>0</v>
      </c>
    </row>
    <row r="3279" spans="1:33">
      <c r="A3279" s="20" t="s">
        <v>18403</v>
      </c>
      <c r="B3279" s="150"/>
      <c r="C3279" s="21" t="s">
        <v>18382</v>
      </c>
      <c r="D3279" s="109" t="s">
        <v>4071</v>
      </c>
      <c r="E3279" s="109"/>
      <c r="F3279" s="391" t="s">
        <v>18383</v>
      </c>
      <c r="G3279" s="23" t="s">
        <v>5563</v>
      </c>
      <c r="H3279" s="23"/>
      <c r="I3279" s="23"/>
      <c r="J3279" s="23"/>
      <c r="K3279" s="23"/>
      <c r="L3279" s="375"/>
      <c r="M3279" s="351" t="s">
        <v>7787</v>
      </c>
      <c r="N3279" s="267">
        <f t="shared" ref="N3279:N3344" si="786">SUM(L3279:M3279)</f>
        <v>0</v>
      </c>
      <c r="O3279" s="268">
        <f t="shared" ref="O3279:O3344" si="787">SUM(P3279:Z3279)</f>
        <v>0</v>
      </c>
      <c r="P3279" s="239"/>
      <c r="Q3279" s="239"/>
      <c r="R3279" s="239"/>
      <c r="S3279" s="239"/>
      <c r="T3279" s="239"/>
      <c r="U3279" s="240"/>
      <c r="V3279" s="240"/>
      <c r="W3279" s="240"/>
      <c r="X3279" s="278"/>
      <c r="Y3279" s="237"/>
      <c r="Z3279" s="237"/>
      <c r="AA3279" s="279"/>
      <c r="AB3279" s="238"/>
      <c r="AC3279" s="196">
        <f t="shared" si="768"/>
        <v>0</v>
      </c>
      <c r="AD3279" s="196">
        <f t="shared" si="769"/>
        <v>0</v>
      </c>
      <c r="AE3279" s="196">
        <f t="shared" si="770"/>
        <v>0</v>
      </c>
      <c r="AF3279" s="2">
        <f t="shared" si="771"/>
        <v>0</v>
      </c>
      <c r="AG3279" s="2">
        <f t="shared" si="772"/>
        <v>0</v>
      </c>
    </row>
    <row r="3280" spans="1:33">
      <c r="A3280" s="20" t="s">
        <v>9644</v>
      </c>
      <c r="B3280" s="150"/>
      <c r="C3280" s="21" t="s">
        <v>16552</v>
      </c>
      <c r="D3280" s="109" t="s">
        <v>16231</v>
      </c>
      <c r="E3280" s="109"/>
      <c r="F3280" s="391" t="s">
        <v>16553</v>
      </c>
      <c r="G3280" s="23" t="s">
        <v>16188</v>
      </c>
      <c r="H3280" s="23"/>
      <c r="I3280" s="23"/>
      <c r="J3280" s="23"/>
      <c r="K3280" s="23"/>
      <c r="L3280" s="375" t="s">
        <v>7787</v>
      </c>
      <c r="M3280" s="351" t="s">
        <v>7787</v>
      </c>
      <c r="N3280" s="267">
        <f t="shared" si="786"/>
        <v>0</v>
      </c>
      <c r="O3280" s="268">
        <f t="shared" si="787"/>
        <v>0</v>
      </c>
      <c r="P3280" s="239"/>
      <c r="Q3280" s="239"/>
      <c r="R3280" s="240"/>
      <c r="S3280" s="239"/>
      <c r="T3280" s="239"/>
      <c r="U3280" s="240"/>
      <c r="V3280" s="240"/>
      <c r="W3280" s="240"/>
      <c r="X3280" s="278"/>
      <c r="Y3280" s="237"/>
      <c r="Z3280" s="237"/>
      <c r="AA3280" s="279"/>
      <c r="AB3280" s="238"/>
      <c r="AC3280" s="196">
        <f t="shared" si="768"/>
        <v>0</v>
      </c>
      <c r="AD3280" s="196">
        <f t="shared" si="769"/>
        <v>0</v>
      </c>
      <c r="AE3280" s="196">
        <f t="shared" si="770"/>
        <v>0</v>
      </c>
      <c r="AF3280" s="2">
        <f t="shared" si="771"/>
        <v>0</v>
      </c>
      <c r="AG3280" s="2">
        <f t="shared" si="772"/>
        <v>0</v>
      </c>
    </row>
    <row r="3281" spans="1:33">
      <c r="A3281" s="20" t="s">
        <v>9775</v>
      </c>
      <c r="B3281" s="150"/>
      <c r="C3281" s="21" t="s">
        <v>16554</v>
      </c>
      <c r="D3281" s="109" t="s">
        <v>16313</v>
      </c>
      <c r="E3281" s="109"/>
      <c r="F3281" s="391" t="s">
        <v>16555</v>
      </c>
      <c r="G3281" s="23" t="s">
        <v>16291</v>
      </c>
      <c r="H3281" s="23" t="s">
        <v>16183</v>
      </c>
      <c r="I3281" s="23"/>
      <c r="J3281" s="23"/>
      <c r="K3281" s="23"/>
      <c r="L3281" s="375" t="s">
        <v>7787</v>
      </c>
      <c r="M3281" s="351" t="s">
        <v>7787</v>
      </c>
      <c r="N3281" s="267">
        <f t="shared" si="786"/>
        <v>0</v>
      </c>
      <c r="O3281" s="268">
        <f t="shared" si="787"/>
        <v>0</v>
      </c>
      <c r="P3281" s="239"/>
      <c r="Q3281" s="239"/>
      <c r="R3281" s="239"/>
      <c r="S3281" s="239"/>
      <c r="T3281" s="239"/>
      <c r="U3281" s="240"/>
      <c r="V3281" s="240"/>
      <c r="W3281" s="240"/>
      <c r="X3281" s="278"/>
      <c r="Y3281" s="239"/>
      <c r="Z3281" s="237"/>
      <c r="AA3281" s="279"/>
      <c r="AB3281" s="238"/>
      <c r="AC3281" s="196">
        <f t="shared" si="768"/>
        <v>0</v>
      </c>
      <c r="AD3281" s="196">
        <f t="shared" si="769"/>
        <v>0</v>
      </c>
      <c r="AE3281" s="196">
        <f t="shared" si="770"/>
        <v>0</v>
      </c>
      <c r="AF3281" s="2">
        <f t="shared" si="771"/>
        <v>0</v>
      </c>
      <c r="AG3281" s="2">
        <f t="shared" si="772"/>
        <v>0</v>
      </c>
    </row>
    <row r="3282" spans="1:33">
      <c r="A3282" s="20" t="s">
        <v>9737</v>
      </c>
      <c r="B3282" s="150"/>
      <c r="C3282" s="21" t="s">
        <v>16556</v>
      </c>
      <c r="D3282" s="109" t="s">
        <v>16503</v>
      </c>
      <c r="E3282" s="109"/>
      <c r="F3282" s="391" t="s">
        <v>16541</v>
      </c>
      <c r="G3282" s="23" t="s">
        <v>16183</v>
      </c>
      <c r="H3282" s="23" t="s">
        <v>16285</v>
      </c>
      <c r="I3282" s="23" t="s">
        <v>16557</v>
      </c>
      <c r="J3282" s="23" t="s">
        <v>14533</v>
      </c>
      <c r="K3282" s="23" t="s">
        <v>16630</v>
      </c>
      <c r="L3282" s="375" t="s">
        <v>27523</v>
      </c>
      <c r="M3282" s="351" t="s">
        <v>27515</v>
      </c>
      <c r="N3282" s="267">
        <f t="shared" si="786"/>
        <v>0</v>
      </c>
      <c r="O3282" s="268">
        <f t="shared" si="787"/>
        <v>0</v>
      </c>
      <c r="P3282" s="239"/>
      <c r="Q3282" s="239"/>
      <c r="R3282" s="241"/>
      <c r="S3282" s="239"/>
      <c r="T3282" s="239"/>
      <c r="U3282" s="240"/>
      <c r="V3282" s="241"/>
      <c r="W3282" s="240"/>
      <c r="X3282" s="278"/>
      <c r="Y3282" s="239"/>
      <c r="Z3282" s="237"/>
      <c r="AA3282" s="239"/>
      <c r="AB3282" s="238"/>
      <c r="AC3282" s="196">
        <f t="shared" si="768"/>
        <v>0</v>
      </c>
      <c r="AD3282" s="196">
        <f t="shared" si="769"/>
        <v>0</v>
      </c>
      <c r="AE3282" s="196">
        <f t="shared" si="770"/>
        <v>0</v>
      </c>
      <c r="AF3282" s="2">
        <f t="shared" si="771"/>
        <v>0</v>
      </c>
      <c r="AG3282" s="2">
        <f t="shared" si="772"/>
        <v>0</v>
      </c>
    </row>
    <row r="3283" spans="1:33">
      <c r="A3283" s="20" t="s">
        <v>12920</v>
      </c>
      <c r="B3283" s="150"/>
      <c r="C3283" s="21" t="s">
        <v>16556</v>
      </c>
      <c r="D3283" s="109" t="s">
        <v>16503</v>
      </c>
      <c r="E3283" s="109"/>
      <c r="F3283" s="391" t="s">
        <v>25360</v>
      </c>
      <c r="G3283" s="23" t="s">
        <v>6133</v>
      </c>
      <c r="H3283" s="23" t="s">
        <v>14844</v>
      </c>
      <c r="I3283" s="23" t="s">
        <v>13934</v>
      </c>
      <c r="J3283" s="23" t="s">
        <v>14533</v>
      </c>
      <c r="K3283" s="23" t="s">
        <v>16630</v>
      </c>
      <c r="L3283" s="375" t="s">
        <v>45</v>
      </c>
      <c r="M3283" s="351"/>
      <c r="N3283" s="267">
        <f t="shared" si="786"/>
        <v>0</v>
      </c>
      <c r="O3283" s="268">
        <f t="shared" si="787"/>
        <v>0</v>
      </c>
      <c r="P3283" s="239"/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si="768"/>
        <v>0</v>
      </c>
      <c r="AD3283" s="196">
        <f t="shared" si="769"/>
        <v>0</v>
      </c>
      <c r="AE3283" s="196">
        <f t="shared" si="770"/>
        <v>0</v>
      </c>
      <c r="AF3283" s="2">
        <f t="shared" si="771"/>
        <v>0</v>
      </c>
      <c r="AG3283" s="2">
        <f t="shared" si="772"/>
        <v>0</v>
      </c>
    </row>
    <row r="3284" spans="1:33">
      <c r="A3284" s="20" t="s">
        <v>27079</v>
      </c>
      <c r="B3284" s="150"/>
      <c r="C3284" s="21" t="s">
        <v>9767</v>
      </c>
      <c r="D3284" s="109" t="s">
        <v>3935</v>
      </c>
      <c r="E3284" s="109" t="s">
        <v>26337</v>
      </c>
      <c r="F3284" s="391" t="s">
        <v>9768</v>
      </c>
      <c r="G3284" s="23" t="s">
        <v>6133</v>
      </c>
      <c r="H3284" s="23" t="s">
        <v>14844</v>
      </c>
      <c r="I3284" s="23" t="s">
        <v>13934</v>
      </c>
      <c r="J3284" s="23" t="s">
        <v>14533</v>
      </c>
      <c r="K3284" s="23" t="s">
        <v>16630</v>
      </c>
      <c r="L3284" s="375"/>
      <c r="M3284" s="351" t="s">
        <v>45</v>
      </c>
      <c r="N3284" s="267">
        <f t="shared" ref="N3284" si="788">SUM(L3284:M3284)</f>
        <v>0</v>
      </c>
      <c r="O3284" s="268">
        <f t="shared" ref="O3284" si="789">SUM(P3284:Z3284)</f>
        <v>0</v>
      </c>
      <c r="P3284" s="239"/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si="768"/>
        <v>0</v>
      </c>
      <c r="AD3284" s="196">
        <f t="shared" si="769"/>
        <v>0</v>
      </c>
      <c r="AE3284" s="196">
        <f t="shared" si="770"/>
        <v>0</v>
      </c>
      <c r="AF3284" s="2">
        <f t="shared" si="771"/>
        <v>0</v>
      </c>
      <c r="AG3284" s="2">
        <f t="shared" si="772"/>
        <v>0</v>
      </c>
    </row>
    <row r="3285" spans="1:33">
      <c r="A3285" s="20" t="s">
        <v>27130</v>
      </c>
      <c r="B3285" s="150"/>
      <c r="C3285" s="21" t="s">
        <v>27211</v>
      </c>
      <c r="D3285" s="109" t="s">
        <v>27212</v>
      </c>
      <c r="E3285" s="109" t="s">
        <v>27213</v>
      </c>
      <c r="F3285" s="391" t="s">
        <v>25556</v>
      </c>
      <c r="G3285" s="23" t="s">
        <v>10645</v>
      </c>
      <c r="H3285" s="23" t="s">
        <v>8671</v>
      </c>
      <c r="I3285" s="23" t="s">
        <v>26151</v>
      </c>
      <c r="J3285" s="23" t="s">
        <v>25402</v>
      </c>
      <c r="K3285" s="23" t="s">
        <v>25401</v>
      </c>
      <c r="L3285" s="375" t="s">
        <v>7787</v>
      </c>
      <c r="M3285" s="351" t="s">
        <v>7787</v>
      </c>
      <c r="N3285" s="267">
        <f t="shared" ref="N3285" si="790">SUM(L3285:M3285)</f>
        <v>0</v>
      </c>
      <c r="O3285" s="268">
        <f t="shared" ref="O3285" si="791">SUM(P3285:Z3285)</f>
        <v>6700</v>
      </c>
      <c r="P3285" s="239">
        <f>14400-6500-3000+3600-6000+7200-3000</f>
        <v>6700</v>
      </c>
      <c r="Q3285" s="239"/>
      <c r="R3285" s="239"/>
      <c r="S3285" s="239"/>
      <c r="T3285" s="239"/>
      <c r="U3285" s="240"/>
      <c r="V3285" s="240"/>
      <c r="W3285" s="240"/>
      <c r="X3285" s="278"/>
      <c r="Y3285" s="237"/>
      <c r="Z3285" s="237"/>
      <c r="AA3285" s="279"/>
      <c r="AB3285" s="238"/>
      <c r="AC3285" s="196">
        <f t="shared" ref="AC3285" si="792">SUM(P3285:AA3285)</f>
        <v>6700</v>
      </c>
      <c r="AD3285" s="196">
        <f t="shared" ref="AD3285" si="793">SUM(P3285:AB3285)</f>
        <v>6700</v>
      </c>
      <c r="AE3285" s="196">
        <f t="shared" ref="AE3285" si="794">SUM(AC3285-AD3285)</f>
        <v>0</v>
      </c>
      <c r="AF3285" s="2">
        <f t="shared" ref="AF3285" si="795">+AC3285</f>
        <v>6700</v>
      </c>
      <c r="AG3285" s="2">
        <f t="shared" ref="AG3285" si="796">+AC3285-AF3285</f>
        <v>0</v>
      </c>
    </row>
    <row r="3286" spans="1:33">
      <c r="A3286" s="20" t="s">
        <v>18759</v>
      </c>
      <c r="B3286" s="150"/>
      <c r="C3286" s="21" t="s">
        <v>9767</v>
      </c>
      <c r="D3286" s="109" t="s">
        <v>8090</v>
      </c>
      <c r="E3286" s="109"/>
      <c r="F3286" s="391" t="s">
        <v>13026</v>
      </c>
      <c r="G3286" s="23" t="s">
        <v>16689</v>
      </c>
      <c r="H3286" s="23"/>
      <c r="I3286" s="23"/>
      <c r="J3286" s="23"/>
      <c r="K3286" s="23"/>
      <c r="L3286" s="375"/>
      <c r="M3286" s="351"/>
      <c r="N3286" s="267">
        <f t="shared" si="786"/>
        <v>0</v>
      </c>
      <c r="O3286" s="268">
        <f t="shared" si="787"/>
        <v>0</v>
      </c>
      <c r="P3286" s="239"/>
      <c r="Q3286" s="239"/>
      <c r="R3286" s="239"/>
      <c r="S3286" s="239"/>
      <c r="T3286" s="239"/>
      <c r="U3286" s="240"/>
      <c r="V3286" s="240"/>
      <c r="W3286" s="240"/>
      <c r="X3286" s="278"/>
      <c r="Y3286" s="237"/>
      <c r="Z3286" s="237"/>
      <c r="AA3286" s="279"/>
      <c r="AB3286" s="238"/>
      <c r="AC3286" s="196">
        <f t="shared" si="768"/>
        <v>0</v>
      </c>
      <c r="AD3286" s="196">
        <f t="shared" si="769"/>
        <v>0</v>
      </c>
      <c r="AE3286" s="196">
        <f t="shared" si="770"/>
        <v>0</v>
      </c>
      <c r="AF3286" s="2">
        <f t="shared" si="771"/>
        <v>0</v>
      </c>
      <c r="AG3286" s="2">
        <f t="shared" si="772"/>
        <v>0</v>
      </c>
    </row>
    <row r="3287" spans="1:33">
      <c r="A3287" s="20" t="s">
        <v>9858</v>
      </c>
      <c r="B3287" s="150"/>
      <c r="C3287" s="21" t="s">
        <v>9864</v>
      </c>
      <c r="D3287" s="109" t="s">
        <v>16503</v>
      </c>
      <c r="E3287" s="109"/>
      <c r="F3287" s="391" t="s">
        <v>16559</v>
      </c>
      <c r="G3287" s="23" t="s">
        <v>16285</v>
      </c>
      <c r="H3287" s="23" t="s">
        <v>15621</v>
      </c>
      <c r="I3287" s="23" t="s">
        <v>16360</v>
      </c>
      <c r="J3287" s="23"/>
      <c r="K3287" s="23"/>
      <c r="L3287" s="375" t="s">
        <v>7787</v>
      </c>
      <c r="M3287" s="351" t="s">
        <v>7787</v>
      </c>
      <c r="N3287" s="267">
        <f t="shared" si="786"/>
        <v>0</v>
      </c>
      <c r="O3287" s="268">
        <f t="shared" si="787"/>
        <v>1600</v>
      </c>
      <c r="P3287" s="239"/>
      <c r="Q3287" s="239">
        <f>3600-500-100-500-100-200-300-500</f>
        <v>1400</v>
      </c>
      <c r="R3287" s="239"/>
      <c r="S3287" s="239"/>
      <c r="T3287" s="239"/>
      <c r="U3287" s="239">
        <f>300-100</f>
        <v>200</v>
      </c>
      <c r="V3287" s="240"/>
      <c r="W3287" s="240"/>
      <c r="X3287" s="278"/>
      <c r="Y3287" s="237"/>
      <c r="Z3287" s="237"/>
      <c r="AA3287" s="279"/>
      <c r="AB3287" s="238" t="s">
        <v>27599</v>
      </c>
      <c r="AC3287" s="196">
        <f t="shared" si="768"/>
        <v>1600</v>
      </c>
      <c r="AD3287" s="196">
        <f t="shared" si="769"/>
        <v>1600</v>
      </c>
      <c r="AE3287" s="196">
        <f t="shared" si="770"/>
        <v>0</v>
      </c>
      <c r="AF3287" s="2">
        <f t="shared" si="771"/>
        <v>1600</v>
      </c>
      <c r="AG3287" s="2">
        <f t="shared" si="772"/>
        <v>0</v>
      </c>
    </row>
    <row r="3288" spans="1:33">
      <c r="A3288" s="20" t="s">
        <v>9510</v>
      </c>
      <c r="B3288" s="150"/>
      <c r="C3288" s="21" t="s">
        <v>16560</v>
      </c>
      <c r="D3288" s="109" t="s">
        <v>16329</v>
      </c>
      <c r="E3288" s="109"/>
      <c r="F3288" s="391" t="s">
        <v>16561</v>
      </c>
      <c r="G3288" s="23" t="s">
        <v>16183</v>
      </c>
      <c r="H3288" s="23" t="s">
        <v>16291</v>
      </c>
      <c r="I3288" s="23"/>
      <c r="J3288" s="23"/>
      <c r="K3288" s="23"/>
      <c r="L3288" s="375" t="s">
        <v>7787</v>
      </c>
      <c r="M3288" s="351" t="s">
        <v>7787</v>
      </c>
      <c r="N3288" s="267">
        <f t="shared" si="786"/>
        <v>0</v>
      </c>
      <c r="O3288" s="268">
        <f t="shared" si="787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37"/>
      <c r="Z3288" s="237"/>
      <c r="AA3288" s="279"/>
      <c r="AB3288" s="238"/>
      <c r="AC3288" s="196">
        <f t="shared" si="768"/>
        <v>0</v>
      </c>
      <c r="AD3288" s="196">
        <f t="shared" si="769"/>
        <v>0</v>
      </c>
      <c r="AE3288" s="196">
        <f t="shared" si="770"/>
        <v>0</v>
      </c>
      <c r="AF3288" s="2">
        <f t="shared" si="771"/>
        <v>0</v>
      </c>
      <c r="AG3288" s="2">
        <f t="shared" si="772"/>
        <v>0</v>
      </c>
    </row>
    <row r="3289" spans="1:33">
      <c r="A3289" s="20" t="s">
        <v>11985</v>
      </c>
      <c r="B3289" s="150"/>
      <c r="C3289" s="21" t="s">
        <v>16560</v>
      </c>
      <c r="D3289" s="109" t="s">
        <v>16329</v>
      </c>
      <c r="E3289" s="109" t="s">
        <v>16562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/>
      <c r="N3289" s="267">
        <f t="shared" si="786"/>
        <v>0</v>
      </c>
      <c r="O3289" s="268">
        <f t="shared" si="787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39"/>
      <c r="Z3289" s="237"/>
      <c r="AA3289" s="279"/>
      <c r="AB3289" s="238"/>
      <c r="AC3289" s="196">
        <f t="shared" si="768"/>
        <v>0</v>
      </c>
      <c r="AD3289" s="196">
        <f t="shared" si="769"/>
        <v>0</v>
      </c>
      <c r="AE3289" s="196">
        <f t="shared" si="770"/>
        <v>0</v>
      </c>
      <c r="AF3289" s="2">
        <f t="shared" si="771"/>
        <v>0</v>
      </c>
      <c r="AG3289" s="2">
        <f t="shared" si="772"/>
        <v>0</v>
      </c>
    </row>
    <row r="3290" spans="1:33">
      <c r="A3290" s="20" t="s">
        <v>12090</v>
      </c>
      <c r="B3290" s="150"/>
      <c r="C3290" s="21" t="s">
        <v>16560</v>
      </c>
      <c r="D3290" s="109" t="s">
        <v>16329</v>
      </c>
      <c r="E3290" s="109" t="s">
        <v>16563</v>
      </c>
      <c r="F3290" s="391" t="s">
        <v>16561</v>
      </c>
      <c r="G3290" s="23" t="s">
        <v>16183</v>
      </c>
      <c r="H3290" s="23"/>
      <c r="I3290" s="23"/>
      <c r="J3290" s="23"/>
      <c r="K3290" s="23"/>
      <c r="L3290" s="375" t="s">
        <v>7787</v>
      </c>
      <c r="M3290" s="351" t="s">
        <v>7787</v>
      </c>
      <c r="N3290" s="267">
        <f t="shared" si="786"/>
        <v>0</v>
      </c>
      <c r="O3290" s="268">
        <f t="shared" si="787"/>
        <v>0</v>
      </c>
      <c r="P3290" s="239"/>
      <c r="Q3290" s="239"/>
      <c r="R3290" s="239"/>
      <c r="S3290" s="239"/>
      <c r="T3290" s="239"/>
      <c r="U3290" s="240"/>
      <c r="V3290" s="239"/>
      <c r="W3290" s="240"/>
      <c r="X3290" s="278"/>
      <c r="Y3290" s="240"/>
      <c r="Z3290" s="237"/>
      <c r="AA3290" s="279"/>
      <c r="AB3290" s="238"/>
      <c r="AC3290" s="196">
        <f t="shared" si="768"/>
        <v>0</v>
      </c>
      <c r="AD3290" s="196">
        <f t="shared" si="769"/>
        <v>0</v>
      </c>
      <c r="AE3290" s="196">
        <f t="shared" si="770"/>
        <v>0</v>
      </c>
      <c r="AF3290" s="2">
        <f t="shared" si="771"/>
        <v>0</v>
      </c>
      <c r="AG3290" s="2">
        <f t="shared" si="772"/>
        <v>0</v>
      </c>
    </row>
    <row r="3291" spans="1:33">
      <c r="A3291" s="20" t="s">
        <v>12091</v>
      </c>
      <c r="B3291" s="150"/>
      <c r="C3291" s="21" t="s">
        <v>16560</v>
      </c>
      <c r="D3291" s="109" t="s">
        <v>16329</v>
      </c>
      <c r="E3291" s="109" t="s">
        <v>16564</v>
      </c>
      <c r="F3291" s="391" t="s">
        <v>16561</v>
      </c>
      <c r="G3291" s="23" t="s">
        <v>16183</v>
      </c>
      <c r="H3291" s="23"/>
      <c r="I3291" s="23"/>
      <c r="J3291" s="23"/>
      <c r="K3291" s="23"/>
      <c r="L3291" s="375" t="s">
        <v>7787</v>
      </c>
      <c r="M3291" s="351" t="s">
        <v>7787</v>
      </c>
      <c r="N3291" s="267">
        <f t="shared" si="786"/>
        <v>0</v>
      </c>
      <c r="O3291" s="268">
        <f t="shared" si="787"/>
        <v>0</v>
      </c>
      <c r="P3291" s="239"/>
      <c r="Q3291" s="239"/>
      <c r="R3291" s="239"/>
      <c r="S3291" s="239"/>
      <c r="T3291" s="239"/>
      <c r="U3291" s="240"/>
      <c r="V3291" s="239"/>
      <c r="W3291" s="240"/>
      <c r="X3291" s="278"/>
      <c r="Y3291" s="237"/>
      <c r="Z3291" s="237"/>
      <c r="AA3291" s="279"/>
      <c r="AB3291" s="238"/>
      <c r="AC3291" s="196">
        <f t="shared" si="768"/>
        <v>0</v>
      </c>
      <c r="AD3291" s="196">
        <f t="shared" si="769"/>
        <v>0</v>
      </c>
      <c r="AE3291" s="196">
        <f t="shared" si="770"/>
        <v>0</v>
      </c>
      <c r="AF3291" s="2">
        <f t="shared" si="771"/>
        <v>0</v>
      </c>
      <c r="AG3291" s="2">
        <f t="shared" si="772"/>
        <v>0</v>
      </c>
    </row>
    <row r="3292" spans="1:33">
      <c r="A3292" s="20" t="s">
        <v>10458</v>
      </c>
      <c r="B3292" s="150"/>
      <c r="C3292" s="21" t="s">
        <v>16560</v>
      </c>
      <c r="D3292" s="109" t="s">
        <v>16565</v>
      </c>
      <c r="E3292" s="109" t="s">
        <v>16566</v>
      </c>
      <c r="F3292" s="391" t="s">
        <v>16561</v>
      </c>
      <c r="G3292" s="23" t="s">
        <v>16291</v>
      </c>
      <c r="H3292" s="23"/>
      <c r="I3292" s="23"/>
      <c r="J3292" s="23"/>
      <c r="K3292" s="23"/>
      <c r="L3292" s="375" t="s">
        <v>7787</v>
      </c>
      <c r="M3292" s="351"/>
      <c r="N3292" s="267">
        <f t="shared" si="786"/>
        <v>0</v>
      </c>
      <c r="O3292" s="268">
        <f t="shared" si="787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37"/>
      <c r="Z3292" s="237"/>
      <c r="AA3292" s="279"/>
      <c r="AB3292" s="238"/>
      <c r="AC3292" s="196">
        <f t="shared" si="768"/>
        <v>0</v>
      </c>
      <c r="AD3292" s="196">
        <f t="shared" si="769"/>
        <v>0</v>
      </c>
      <c r="AE3292" s="196">
        <f t="shared" si="770"/>
        <v>0</v>
      </c>
      <c r="AF3292" s="2">
        <f t="shared" si="771"/>
        <v>0</v>
      </c>
      <c r="AG3292" s="2">
        <f t="shared" si="772"/>
        <v>0</v>
      </c>
    </row>
    <row r="3293" spans="1:33">
      <c r="A3293" s="20" t="s">
        <v>10459</v>
      </c>
      <c r="B3293" s="150"/>
      <c r="C3293" s="21" t="s">
        <v>16560</v>
      </c>
      <c r="D3293" s="109" t="s">
        <v>16565</v>
      </c>
      <c r="E3293" s="109" t="s">
        <v>16567</v>
      </c>
      <c r="F3293" s="391" t="s">
        <v>16561</v>
      </c>
      <c r="G3293" s="23" t="s">
        <v>16291</v>
      </c>
      <c r="H3293" s="23"/>
      <c r="I3293" s="23"/>
      <c r="J3293" s="23"/>
      <c r="K3293" s="23"/>
      <c r="L3293" s="375" t="s">
        <v>7787</v>
      </c>
      <c r="M3293" s="351"/>
      <c r="N3293" s="267">
        <f t="shared" si="786"/>
        <v>0</v>
      </c>
      <c r="O3293" s="268">
        <f t="shared" si="787"/>
        <v>0</v>
      </c>
      <c r="P3293" s="239"/>
      <c r="Q3293" s="239"/>
      <c r="R3293" s="239"/>
      <c r="S3293" s="239"/>
      <c r="T3293" s="239"/>
      <c r="U3293" s="240"/>
      <c r="V3293" s="240"/>
      <c r="W3293" s="240"/>
      <c r="X3293" s="278"/>
      <c r="Y3293" s="240"/>
      <c r="Z3293" s="237"/>
      <c r="AA3293" s="279"/>
      <c r="AB3293" s="238"/>
      <c r="AC3293" s="196">
        <f t="shared" si="768"/>
        <v>0</v>
      </c>
      <c r="AD3293" s="196">
        <f t="shared" si="769"/>
        <v>0</v>
      </c>
      <c r="AE3293" s="196">
        <f t="shared" si="770"/>
        <v>0</v>
      </c>
      <c r="AF3293" s="2">
        <f t="shared" si="771"/>
        <v>0</v>
      </c>
      <c r="AG3293" s="2">
        <f t="shared" si="772"/>
        <v>0</v>
      </c>
    </row>
    <row r="3294" spans="1:33">
      <c r="A3294" s="20" t="s">
        <v>9977</v>
      </c>
      <c r="B3294" s="150"/>
      <c r="C3294" s="21" t="s">
        <v>16568</v>
      </c>
      <c r="D3294" s="109" t="s">
        <v>16329</v>
      </c>
      <c r="E3294" s="109"/>
      <c r="F3294" s="391" t="s">
        <v>16569</v>
      </c>
      <c r="G3294" s="23" t="s">
        <v>16570</v>
      </c>
      <c r="H3294" s="23" t="s">
        <v>16571</v>
      </c>
      <c r="I3294" s="23" t="s">
        <v>16188</v>
      </c>
      <c r="J3294" s="23"/>
      <c r="K3294" s="23"/>
      <c r="L3294" s="375" t="s">
        <v>7787</v>
      </c>
      <c r="M3294" s="351" t="s">
        <v>7787</v>
      </c>
      <c r="N3294" s="267">
        <f t="shared" si="786"/>
        <v>0</v>
      </c>
      <c r="O3294" s="268">
        <f t="shared" si="787"/>
        <v>0</v>
      </c>
      <c r="P3294" s="239"/>
      <c r="Q3294" s="239"/>
      <c r="R3294" s="239"/>
      <c r="S3294" s="239"/>
      <c r="T3294" s="239"/>
      <c r="U3294" s="240"/>
      <c r="V3294" s="240"/>
      <c r="W3294" s="240"/>
      <c r="X3294" s="278"/>
      <c r="Y3294" s="237"/>
      <c r="Z3294" s="237"/>
      <c r="AA3294" s="239"/>
      <c r="AB3294" s="238"/>
      <c r="AC3294" s="196">
        <f t="shared" si="768"/>
        <v>0</v>
      </c>
      <c r="AD3294" s="196">
        <f t="shared" si="769"/>
        <v>0</v>
      </c>
      <c r="AE3294" s="196">
        <f t="shared" si="770"/>
        <v>0</v>
      </c>
      <c r="AF3294" s="2">
        <f t="shared" si="771"/>
        <v>0</v>
      </c>
      <c r="AG3294" s="2">
        <f t="shared" si="772"/>
        <v>0</v>
      </c>
    </row>
    <row r="3295" spans="1:33">
      <c r="A3295" s="20" t="s">
        <v>9732</v>
      </c>
      <c r="B3295" s="150"/>
      <c r="C3295" s="21" t="s">
        <v>16572</v>
      </c>
      <c r="D3295" s="109" t="s">
        <v>15167</v>
      </c>
      <c r="E3295" s="109" t="s">
        <v>19107</v>
      </c>
      <c r="F3295" s="391" t="s">
        <v>21359</v>
      </c>
      <c r="G3295" s="23" t="s">
        <v>13970</v>
      </c>
      <c r="H3295" s="23"/>
      <c r="I3295" s="23"/>
      <c r="J3295" s="23"/>
      <c r="K3295" s="23"/>
      <c r="L3295" s="375" t="s">
        <v>7787</v>
      </c>
      <c r="M3295" s="351" t="s">
        <v>7787</v>
      </c>
      <c r="N3295" s="267">
        <f t="shared" si="786"/>
        <v>0</v>
      </c>
      <c r="O3295" s="268">
        <f t="shared" si="787"/>
        <v>0</v>
      </c>
      <c r="P3295" s="239"/>
      <c r="Q3295" s="239"/>
      <c r="R3295" s="241"/>
      <c r="S3295" s="239"/>
      <c r="T3295" s="241"/>
      <c r="U3295" s="240"/>
      <c r="V3295" s="240"/>
      <c r="W3295" s="240"/>
      <c r="X3295" s="278"/>
      <c r="Y3295" s="241"/>
      <c r="Z3295" s="237"/>
      <c r="AA3295" s="279"/>
      <c r="AB3295" s="238"/>
      <c r="AC3295" s="196">
        <f t="shared" si="768"/>
        <v>0</v>
      </c>
      <c r="AD3295" s="196">
        <f t="shared" si="769"/>
        <v>0</v>
      </c>
      <c r="AE3295" s="196">
        <f t="shared" si="770"/>
        <v>0</v>
      </c>
      <c r="AF3295" s="2">
        <f t="shared" si="771"/>
        <v>0</v>
      </c>
      <c r="AG3295" s="2">
        <f t="shared" si="772"/>
        <v>0</v>
      </c>
    </row>
    <row r="3296" spans="1:33">
      <c r="A3296" s="20" t="s">
        <v>9732</v>
      </c>
      <c r="B3296" s="150"/>
      <c r="C3296" s="21" t="s">
        <v>9696</v>
      </c>
      <c r="D3296" s="109" t="s">
        <v>3096</v>
      </c>
      <c r="E3296" s="109" t="s">
        <v>19107</v>
      </c>
      <c r="F3296" s="391" t="s">
        <v>21359</v>
      </c>
      <c r="G3296" s="23" t="s">
        <v>14844</v>
      </c>
      <c r="H3296" s="23" t="s">
        <v>13214</v>
      </c>
      <c r="I3296" s="23"/>
      <c r="J3296" s="23"/>
      <c r="K3296" s="23"/>
      <c r="L3296" s="375"/>
      <c r="M3296" s="351"/>
      <c r="N3296" s="267">
        <f t="shared" si="786"/>
        <v>0</v>
      </c>
      <c r="O3296" s="268">
        <f t="shared" si="787"/>
        <v>0</v>
      </c>
      <c r="P3296" s="239"/>
      <c r="Q3296" s="239"/>
      <c r="R3296" s="241"/>
      <c r="S3296" s="239"/>
      <c r="T3296" s="239"/>
      <c r="U3296" s="240"/>
      <c r="V3296" s="240"/>
      <c r="W3296" s="240"/>
      <c r="X3296" s="278"/>
      <c r="Y3296" s="241"/>
      <c r="Z3296" s="237"/>
      <c r="AA3296" s="279"/>
      <c r="AB3296" s="238"/>
      <c r="AC3296" s="196">
        <f t="shared" si="768"/>
        <v>0</v>
      </c>
      <c r="AD3296" s="196">
        <f t="shared" si="769"/>
        <v>0</v>
      </c>
      <c r="AE3296" s="196">
        <f t="shared" si="770"/>
        <v>0</v>
      </c>
      <c r="AF3296" s="2">
        <f t="shared" si="771"/>
        <v>0</v>
      </c>
      <c r="AG3296" s="2">
        <f t="shared" si="772"/>
        <v>0</v>
      </c>
    </row>
    <row r="3297" spans="1:33">
      <c r="A3297" s="20" t="s">
        <v>9776</v>
      </c>
      <c r="B3297" s="150"/>
      <c r="C3297" s="21" t="s">
        <v>16573</v>
      </c>
      <c r="D3297" s="109" t="s">
        <v>16189</v>
      </c>
      <c r="E3297" s="109"/>
      <c r="F3297" s="391" t="s">
        <v>16574</v>
      </c>
      <c r="G3297" s="23" t="s">
        <v>16333</v>
      </c>
      <c r="H3297" s="23"/>
      <c r="I3297" s="23"/>
      <c r="J3297" s="23"/>
      <c r="K3297" s="23"/>
      <c r="L3297" s="375" t="s">
        <v>7787</v>
      </c>
      <c r="M3297" s="351" t="s">
        <v>7787</v>
      </c>
      <c r="N3297" s="267">
        <f t="shared" si="786"/>
        <v>0</v>
      </c>
      <c r="O3297" s="268">
        <f t="shared" si="787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40"/>
      <c r="Z3297" s="237"/>
      <c r="AA3297" s="279"/>
      <c r="AB3297" s="238"/>
      <c r="AC3297" s="196">
        <f t="shared" si="768"/>
        <v>0</v>
      </c>
      <c r="AD3297" s="196">
        <f t="shared" si="769"/>
        <v>0</v>
      </c>
      <c r="AE3297" s="196">
        <f t="shared" si="770"/>
        <v>0</v>
      </c>
      <c r="AF3297" s="2">
        <f t="shared" si="771"/>
        <v>0</v>
      </c>
      <c r="AG3297" s="2">
        <f t="shared" si="772"/>
        <v>0</v>
      </c>
    </row>
    <row r="3298" spans="1:33">
      <c r="A3298" s="20" t="s">
        <v>9511</v>
      </c>
      <c r="B3298" s="150"/>
      <c r="C3298" s="21" t="s">
        <v>16575</v>
      </c>
      <c r="D3298" s="109" t="s">
        <v>16186</v>
      </c>
      <c r="E3298" s="109"/>
      <c r="F3298" s="391" t="s">
        <v>16576</v>
      </c>
      <c r="G3298" s="23" t="s">
        <v>13341</v>
      </c>
      <c r="H3298" s="23"/>
      <c r="I3298" s="23"/>
      <c r="J3298" s="23"/>
      <c r="K3298" s="23"/>
      <c r="L3298" s="375" t="s">
        <v>7787</v>
      </c>
      <c r="M3298" s="351" t="s">
        <v>7787</v>
      </c>
      <c r="N3298" s="267">
        <f t="shared" si="786"/>
        <v>0</v>
      </c>
      <c r="O3298" s="268">
        <f t="shared" si="787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8"/>
        <v>0</v>
      </c>
      <c r="AD3298" s="196">
        <f t="shared" si="769"/>
        <v>0</v>
      </c>
      <c r="AE3298" s="196">
        <f t="shared" si="770"/>
        <v>0</v>
      </c>
      <c r="AF3298" s="2">
        <f t="shared" si="771"/>
        <v>0</v>
      </c>
      <c r="AG3298" s="2">
        <f t="shared" si="772"/>
        <v>0</v>
      </c>
    </row>
    <row r="3299" spans="1:33">
      <c r="A3299" s="20" t="s">
        <v>10758</v>
      </c>
      <c r="B3299" s="150"/>
      <c r="C3299" s="21" t="s">
        <v>16577</v>
      </c>
      <c r="D3299" s="109" t="s">
        <v>16578</v>
      </c>
      <c r="E3299" s="109"/>
      <c r="F3299" s="391" t="s">
        <v>16579</v>
      </c>
      <c r="G3299" s="23" t="s">
        <v>16580</v>
      </c>
      <c r="H3299" s="23"/>
      <c r="I3299" s="23"/>
      <c r="J3299" s="23"/>
      <c r="K3299" s="23"/>
      <c r="L3299" s="375"/>
      <c r="M3299" s="351" t="s">
        <v>7787</v>
      </c>
      <c r="N3299" s="267">
        <f t="shared" si="786"/>
        <v>0</v>
      </c>
      <c r="O3299" s="268">
        <f t="shared" si="787"/>
        <v>0</v>
      </c>
      <c r="P3299" s="239"/>
      <c r="Q3299" s="239"/>
      <c r="R3299" s="239"/>
      <c r="S3299" s="239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8"/>
        <v>0</v>
      </c>
      <c r="AD3299" s="196">
        <f t="shared" si="769"/>
        <v>0</v>
      </c>
      <c r="AE3299" s="196">
        <f t="shared" si="770"/>
        <v>0</v>
      </c>
      <c r="AF3299" s="2">
        <f t="shared" si="771"/>
        <v>0</v>
      </c>
      <c r="AG3299" s="2">
        <f t="shared" si="772"/>
        <v>0</v>
      </c>
    </row>
    <row r="3300" spans="1:33">
      <c r="A3300" s="20" t="s">
        <v>9509</v>
      </c>
      <c r="B3300" s="150"/>
      <c r="C3300" s="21" t="s">
        <v>16581</v>
      </c>
      <c r="D3300" s="109" t="s">
        <v>16189</v>
      </c>
      <c r="E3300" s="109" t="s">
        <v>17524</v>
      </c>
      <c r="F3300" s="391" t="s">
        <v>16582</v>
      </c>
      <c r="G3300" s="23" t="s">
        <v>15962</v>
      </c>
      <c r="H3300" s="23" t="s">
        <v>16583</v>
      </c>
      <c r="I3300" s="23"/>
      <c r="J3300" s="23"/>
      <c r="K3300" s="23"/>
      <c r="L3300" s="375" t="s">
        <v>7787</v>
      </c>
      <c r="M3300" s="351" t="s">
        <v>7787</v>
      </c>
      <c r="N3300" s="267">
        <f t="shared" si="786"/>
        <v>0</v>
      </c>
      <c r="O3300" s="268">
        <f t="shared" si="787"/>
        <v>0</v>
      </c>
      <c r="P3300" s="239"/>
      <c r="Q3300" s="239"/>
      <c r="R3300" s="239"/>
      <c r="S3300" s="239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8"/>
        <v>0</v>
      </c>
      <c r="AD3300" s="196">
        <f t="shared" si="769"/>
        <v>0</v>
      </c>
      <c r="AE3300" s="196">
        <f t="shared" si="770"/>
        <v>0</v>
      </c>
      <c r="AF3300" s="2">
        <f t="shared" si="771"/>
        <v>0</v>
      </c>
      <c r="AG3300" s="2">
        <f t="shared" si="772"/>
        <v>0</v>
      </c>
    </row>
    <row r="3301" spans="1:33">
      <c r="A3301" s="20" t="s">
        <v>12647</v>
      </c>
      <c r="B3301" s="150"/>
      <c r="C3301" s="21" t="s">
        <v>16584</v>
      </c>
      <c r="D3301" s="109" t="s">
        <v>16578</v>
      </c>
      <c r="E3301" s="109"/>
      <c r="F3301" s="391" t="s">
        <v>16585</v>
      </c>
      <c r="G3301" s="23" t="s">
        <v>16142</v>
      </c>
      <c r="H3301" s="23" t="s">
        <v>13339</v>
      </c>
      <c r="I3301" s="23"/>
      <c r="J3301" s="23"/>
      <c r="K3301" s="23"/>
      <c r="L3301" s="375" t="s">
        <v>7787</v>
      </c>
      <c r="M3301" s="351"/>
      <c r="N3301" s="267">
        <f t="shared" si="786"/>
        <v>0</v>
      </c>
      <c r="O3301" s="268">
        <f t="shared" si="787"/>
        <v>0</v>
      </c>
      <c r="P3301" s="239"/>
      <c r="Q3301" s="239"/>
      <c r="R3301" s="241"/>
      <c r="S3301" s="241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8"/>
        <v>0</v>
      </c>
      <c r="AD3301" s="196">
        <f t="shared" si="769"/>
        <v>0</v>
      </c>
      <c r="AE3301" s="196">
        <f t="shared" si="770"/>
        <v>0</v>
      </c>
      <c r="AF3301" s="2">
        <f t="shared" si="771"/>
        <v>0</v>
      </c>
      <c r="AG3301" s="2">
        <f t="shared" si="772"/>
        <v>0</v>
      </c>
    </row>
    <row r="3302" spans="1:33">
      <c r="A3302" s="20" t="s">
        <v>9735</v>
      </c>
      <c r="B3302" s="150"/>
      <c r="C3302" s="21" t="s">
        <v>16584</v>
      </c>
      <c r="D3302" s="109" t="s">
        <v>16363</v>
      </c>
      <c r="E3302" s="109"/>
      <c r="F3302" s="391" t="s">
        <v>16585</v>
      </c>
      <c r="G3302" s="23" t="s">
        <v>16142</v>
      </c>
      <c r="H3302" s="23"/>
      <c r="I3302" s="23"/>
      <c r="J3302" s="23"/>
      <c r="K3302" s="23"/>
      <c r="L3302" s="375" t="s">
        <v>7787</v>
      </c>
      <c r="M3302" s="351" t="s">
        <v>7787</v>
      </c>
      <c r="N3302" s="267">
        <f t="shared" si="786"/>
        <v>0</v>
      </c>
      <c r="O3302" s="268">
        <f t="shared" si="787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79"/>
      <c r="AB3302" s="238"/>
      <c r="AC3302" s="196">
        <f t="shared" si="768"/>
        <v>0</v>
      </c>
      <c r="AD3302" s="196">
        <f t="shared" si="769"/>
        <v>0</v>
      </c>
      <c r="AE3302" s="196">
        <f t="shared" si="770"/>
        <v>0</v>
      </c>
      <c r="AF3302" s="2">
        <f t="shared" si="771"/>
        <v>0</v>
      </c>
      <c r="AG3302" s="2">
        <f t="shared" si="772"/>
        <v>0</v>
      </c>
    </row>
    <row r="3303" spans="1:33">
      <c r="A3303" s="20" t="s">
        <v>11023</v>
      </c>
      <c r="B3303" s="150"/>
      <c r="C3303" s="21" t="s">
        <v>9781</v>
      </c>
      <c r="D3303" s="109" t="s">
        <v>16251</v>
      </c>
      <c r="E3303" s="109"/>
      <c r="F3303" s="391" t="s">
        <v>16586</v>
      </c>
      <c r="G3303" s="23" t="s">
        <v>16587</v>
      </c>
      <c r="H3303" s="23" t="s">
        <v>16588</v>
      </c>
      <c r="I3303" s="23" t="s">
        <v>13970</v>
      </c>
      <c r="J3303" s="23"/>
      <c r="K3303" s="23"/>
      <c r="L3303" s="375" t="s">
        <v>7787</v>
      </c>
      <c r="M3303" s="351" t="s">
        <v>7787</v>
      </c>
      <c r="N3303" s="267">
        <f t="shared" si="786"/>
        <v>0</v>
      </c>
      <c r="O3303" s="268">
        <f t="shared" si="787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37"/>
      <c r="Z3303" s="237"/>
      <c r="AA3303" s="279"/>
      <c r="AB3303" s="238"/>
      <c r="AC3303" s="196">
        <f t="shared" si="768"/>
        <v>0</v>
      </c>
      <c r="AD3303" s="196">
        <f t="shared" si="769"/>
        <v>0</v>
      </c>
      <c r="AE3303" s="196">
        <f t="shared" si="770"/>
        <v>0</v>
      </c>
      <c r="AF3303" s="2">
        <f t="shared" si="771"/>
        <v>0</v>
      </c>
      <c r="AG3303" s="2">
        <f t="shared" si="772"/>
        <v>0</v>
      </c>
    </row>
    <row r="3304" spans="1:33">
      <c r="A3304" s="20" t="s">
        <v>9772</v>
      </c>
      <c r="B3304" s="150"/>
      <c r="C3304" s="21" t="s">
        <v>9781</v>
      </c>
      <c r="D3304" s="109" t="s">
        <v>16589</v>
      </c>
      <c r="E3304" s="109"/>
      <c r="F3304" s="391" t="s">
        <v>16586</v>
      </c>
      <c r="G3304" s="23" t="s">
        <v>16183</v>
      </c>
      <c r="H3304" s="23" t="s">
        <v>16590</v>
      </c>
      <c r="I3304" s="23"/>
      <c r="J3304" s="23"/>
      <c r="K3304" s="23"/>
      <c r="L3304" s="375" t="s">
        <v>7787</v>
      </c>
      <c r="M3304" s="351" t="s">
        <v>7787</v>
      </c>
      <c r="N3304" s="267">
        <f t="shared" si="786"/>
        <v>0</v>
      </c>
      <c r="O3304" s="268">
        <f t="shared" si="787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37"/>
      <c r="Z3304" s="237"/>
      <c r="AA3304" s="239"/>
      <c r="AB3304" s="238"/>
      <c r="AC3304" s="196">
        <f t="shared" si="768"/>
        <v>0</v>
      </c>
      <c r="AD3304" s="196">
        <f t="shared" si="769"/>
        <v>0</v>
      </c>
      <c r="AE3304" s="196">
        <f t="shared" si="770"/>
        <v>0</v>
      </c>
      <c r="AF3304" s="2">
        <f t="shared" si="771"/>
        <v>0</v>
      </c>
      <c r="AG3304" s="2">
        <f t="shared" si="772"/>
        <v>0</v>
      </c>
    </row>
    <row r="3305" spans="1:33">
      <c r="A3305" s="20" t="s">
        <v>10041</v>
      </c>
      <c r="B3305" s="150"/>
      <c r="C3305" s="21" t="s">
        <v>10156</v>
      </c>
      <c r="D3305" s="109" t="s">
        <v>16589</v>
      </c>
      <c r="E3305" s="109" t="s">
        <v>15965</v>
      </c>
      <c r="F3305" s="391" t="s">
        <v>16591</v>
      </c>
      <c r="G3305" s="23" t="s">
        <v>16587</v>
      </c>
      <c r="H3305" s="23"/>
      <c r="I3305" s="23"/>
      <c r="J3305" s="23"/>
      <c r="K3305" s="23"/>
      <c r="L3305" s="375"/>
      <c r="M3305" s="351"/>
      <c r="N3305" s="267">
        <f t="shared" si="786"/>
        <v>0</v>
      </c>
      <c r="O3305" s="268">
        <f t="shared" si="787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40"/>
      <c r="Z3305" s="237"/>
      <c r="AA3305" s="279"/>
      <c r="AB3305" s="238"/>
      <c r="AC3305" s="196">
        <f t="shared" si="768"/>
        <v>0</v>
      </c>
      <c r="AD3305" s="196">
        <f t="shared" si="769"/>
        <v>0</v>
      </c>
      <c r="AE3305" s="196">
        <f t="shared" si="770"/>
        <v>0</v>
      </c>
      <c r="AF3305" s="2">
        <f t="shared" si="771"/>
        <v>0</v>
      </c>
      <c r="AG3305" s="2">
        <f t="shared" si="772"/>
        <v>0</v>
      </c>
    </row>
    <row r="3306" spans="1:33">
      <c r="A3306" s="20" t="s">
        <v>10033</v>
      </c>
      <c r="B3306" s="150"/>
      <c r="C3306" s="21" t="s">
        <v>16592</v>
      </c>
      <c r="D3306" s="109" t="s">
        <v>16186</v>
      </c>
      <c r="E3306" s="109"/>
      <c r="F3306" s="391" t="s">
        <v>16593</v>
      </c>
      <c r="G3306" s="23" t="s">
        <v>16304</v>
      </c>
      <c r="H3306" s="23"/>
      <c r="I3306" s="23"/>
      <c r="J3306" s="23"/>
      <c r="K3306" s="23"/>
      <c r="L3306" s="375" t="s">
        <v>7787</v>
      </c>
      <c r="M3306" s="351" t="s">
        <v>7787</v>
      </c>
      <c r="N3306" s="267">
        <f t="shared" si="786"/>
        <v>0</v>
      </c>
      <c r="O3306" s="268">
        <f t="shared" si="787"/>
        <v>0</v>
      </c>
      <c r="P3306" s="239"/>
      <c r="Q3306" s="239"/>
      <c r="R3306" s="239"/>
      <c r="S3306" s="239"/>
      <c r="T3306" s="239"/>
      <c r="U3306" s="240"/>
      <c r="V3306" s="240"/>
      <c r="W3306" s="240"/>
      <c r="X3306" s="278"/>
      <c r="Y3306" s="237"/>
      <c r="Z3306" s="237"/>
      <c r="AA3306" s="279"/>
      <c r="AB3306" s="238"/>
      <c r="AC3306" s="196">
        <f t="shared" si="768"/>
        <v>0</v>
      </c>
      <c r="AD3306" s="196">
        <f t="shared" si="769"/>
        <v>0</v>
      </c>
      <c r="AE3306" s="196">
        <f t="shared" si="770"/>
        <v>0</v>
      </c>
      <c r="AF3306" s="2">
        <f t="shared" si="771"/>
        <v>0</v>
      </c>
      <c r="AG3306" s="2">
        <f t="shared" si="772"/>
        <v>0</v>
      </c>
    </row>
    <row r="3307" spans="1:33">
      <c r="A3307" s="20" t="s">
        <v>9643</v>
      </c>
      <c r="B3307" s="150"/>
      <c r="C3307" s="21" t="s">
        <v>16594</v>
      </c>
      <c r="D3307" s="109" t="s">
        <v>16329</v>
      </c>
      <c r="E3307" s="109"/>
      <c r="F3307" s="391" t="s">
        <v>16595</v>
      </c>
      <c r="G3307" s="23" t="s">
        <v>16183</v>
      </c>
      <c r="H3307" s="23"/>
      <c r="I3307" s="23"/>
      <c r="J3307" s="23"/>
      <c r="K3307" s="23"/>
      <c r="L3307" s="375" t="s">
        <v>7787</v>
      </c>
      <c r="M3307" s="351"/>
      <c r="N3307" s="267">
        <f t="shared" si="786"/>
        <v>0</v>
      </c>
      <c r="O3307" s="268">
        <f t="shared" si="787"/>
        <v>0</v>
      </c>
      <c r="P3307" s="239"/>
      <c r="Q3307" s="239"/>
      <c r="R3307" s="239"/>
      <c r="S3307" s="239"/>
      <c r="T3307" s="239"/>
      <c r="U3307" s="240"/>
      <c r="V3307" s="240"/>
      <c r="W3307" s="240"/>
      <c r="X3307" s="278"/>
      <c r="Y3307" s="237"/>
      <c r="Z3307" s="237"/>
      <c r="AA3307" s="279"/>
      <c r="AB3307" s="238"/>
      <c r="AC3307" s="196">
        <f t="shared" si="768"/>
        <v>0</v>
      </c>
      <c r="AD3307" s="196">
        <f t="shared" si="769"/>
        <v>0</v>
      </c>
      <c r="AE3307" s="196">
        <f t="shared" si="770"/>
        <v>0</v>
      </c>
      <c r="AF3307" s="2">
        <f t="shared" si="771"/>
        <v>0</v>
      </c>
      <c r="AG3307" s="2">
        <f t="shared" si="772"/>
        <v>0</v>
      </c>
    </row>
    <row r="3308" spans="1:33">
      <c r="A3308" s="20" t="s">
        <v>9771</v>
      </c>
      <c r="B3308" s="150"/>
      <c r="C3308" s="21" t="s">
        <v>16596</v>
      </c>
      <c r="D3308" s="109" t="s">
        <v>16329</v>
      </c>
      <c r="E3308" s="109"/>
      <c r="F3308" s="391" t="s">
        <v>16595</v>
      </c>
      <c r="G3308" s="23" t="s">
        <v>16183</v>
      </c>
      <c r="H3308" s="23" t="s">
        <v>16291</v>
      </c>
      <c r="I3308" s="23"/>
      <c r="J3308" s="23"/>
      <c r="K3308" s="23"/>
      <c r="L3308" s="375"/>
      <c r="M3308" s="351" t="s">
        <v>7787</v>
      </c>
      <c r="N3308" s="267">
        <f t="shared" si="786"/>
        <v>0</v>
      </c>
      <c r="O3308" s="268">
        <f t="shared" si="787"/>
        <v>0</v>
      </c>
      <c r="P3308" s="239"/>
      <c r="Q3308" s="239"/>
      <c r="R3308" s="239"/>
      <c r="S3308" s="239"/>
      <c r="T3308" s="239"/>
      <c r="U3308" s="240"/>
      <c r="V3308" s="239"/>
      <c r="W3308" s="240"/>
      <c r="X3308" s="278"/>
      <c r="Y3308" s="237"/>
      <c r="Z3308" s="237"/>
      <c r="AA3308" s="279"/>
      <c r="AB3308" s="238"/>
      <c r="AC3308" s="196">
        <f t="shared" si="768"/>
        <v>0</v>
      </c>
      <c r="AD3308" s="196">
        <f t="shared" si="769"/>
        <v>0</v>
      </c>
      <c r="AE3308" s="196">
        <f t="shared" si="770"/>
        <v>0</v>
      </c>
      <c r="AF3308" s="2">
        <f t="shared" si="771"/>
        <v>0</v>
      </c>
      <c r="AG3308" s="2">
        <f t="shared" si="772"/>
        <v>0</v>
      </c>
    </row>
    <row r="3309" spans="1:33">
      <c r="A3309" s="20" t="s">
        <v>10588</v>
      </c>
      <c r="B3309" s="150"/>
      <c r="C3309" s="21" t="s">
        <v>16596</v>
      </c>
      <c r="D3309" s="109" t="s">
        <v>16565</v>
      </c>
      <c r="E3309" s="109" t="s">
        <v>16567</v>
      </c>
      <c r="F3309" s="391" t="s">
        <v>16595</v>
      </c>
      <c r="G3309" s="23" t="s">
        <v>16291</v>
      </c>
      <c r="H3309" s="23"/>
      <c r="I3309" s="23"/>
      <c r="J3309" s="23"/>
      <c r="K3309" s="23"/>
      <c r="L3309" s="375" t="s">
        <v>7787</v>
      </c>
      <c r="M3309" s="351"/>
      <c r="N3309" s="267">
        <f t="shared" si="786"/>
        <v>0</v>
      </c>
      <c r="O3309" s="268">
        <f t="shared" si="787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ref="AC3309:AC3372" si="797">SUM(P3309:AA3309)</f>
        <v>0</v>
      </c>
      <c r="AD3309" s="196">
        <f t="shared" ref="AD3309:AD3372" si="798">SUM(P3309:AB3309)</f>
        <v>0</v>
      </c>
      <c r="AE3309" s="196">
        <f t="shared" ref="AE3309:AE3372" si="799">SUM(AC3309-AD3309)</f>
        <v>0</v>
      </c>
      <c r="AF3309" s="2">
        <f t="shared" ref="AF3309:AF3372" si="800">+AC3309</f>
        <v>0</v>
      </c>
      <c r="AG3309" s="2">
        <f t="shared" ref="AG3309:AG3372" si="801">+AC3309-AF3309</f>
        <v>0</v>
      </c>
    </row>
    <row r="3310" spans="1:33">
      <c r="A3310" s="20" t="s">
        <v>10589</v>
      </c>
      <c r="B3310" s="150"/>
      <c r="C3310" s="21" t="s">
        <v>16596</v>
      </c>
      <c r="D3310" s="109" t="s">
        <v>16565</v>
      </c>
      <c r="E3310" s="109" t="s">
        <v>16566</v>
      </c>
      <c r="F3310" s="391" t="s">
        <v>16595</v>
      </c>
      <c r="G3310" s="23" t="s">
        <v>16291</v>
      </c>
      <c r="H3310" s="23"/>
      <c r="I3310" s="23"/>
      <c r="J3310" s="23"/>
      <c r="K3310" s="23"/>
      <c r="L3310" s="375" t="s">
        <v>7787</v>
      </c>
      <c r="M3310" s="351"/>
      <c r="N3310" s="267">
        <f t="shared" si="786"/>
        <v>0</v>
      </c>
      <c r="O3310" s="268">
        <f t="shared" si="787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7"/>
        <v>0</v>
      </c>
      <c r="AD3310" s="196">
        <f t="shared" si="798"/>
        <v>0</v>
      </c>
      <c r="AE3310" s="196">
        <f t="shared" si="799"/>
        <v>0</v>
      </c>
      <c r="AF3310" s="2">
        <f t="shared" si="800"/>
        <v>0</v>
      </c>
      <c r="AG3310" s="2">
        <f t="shared" si="801"/>
        <v>0</v>
      </c>
    </row>
    <row r="3311" spans="1:33">
      <c r="A3311" s="20" t="s">
        <v>2791</v>
      </c>
      <c r="B3311" s="150"/>
      <c r="C3311" s="21" t="s">
        <v>836</v>
      </c>
      <c r="D3311" s="109" t="s">
        <v>16376</v>
      </c>
      <c r="E3311" s="109" t="s">
        <v>15965</v>
      </c>
      <c r="F3311" s="391" t="s">
        <v>16597</v>
      </c>
      <c r="G3311" s="23"/>
      <c r="H3311" s="23"/>
      <c r="I3311" s="23"/>
      <c r="J3311" s="23"/>
      <c r="K3311" s="23"/>
      <c r="L3311" s="350"/>
      <c r="M3311" s="351"/>
      <c r="N3311" s="267">
        <f t="shared" si="786"/>
        <v>0</v>
      </c>
      <c r="O3311" s="268">
        <f t="shared" si="787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79"/>
      <c r="AB3311" s="238"/>
      <c r="AC3311" s="196">
        <f t="shared" si="797"/>
        <v>0</v>
      </c>
      <c r="AD3311" s="196">
        <f t="shared" si="798"/>
        <v>0</v>
      </c>
      <c r="AE3311" s="196">
        <f t="shared" si="799"/>
        <v>0</v>
      </c>
      <c r="AF3311" s="2">
        <f t="shared" si="800"/>
        <v>0</v>
      </c>
      <c r="AG3311" s="2">
        <f t="shared" si="801"/>
        <v>0</v>
      </c>
    </row>
    <row r="3312" spans="1:33">
      <c r="A3312" s="20" t="s">
        <v>2789</v>
      </c>
      <c r="B3312" s="162" t="s">
        <v>5885</v>
      </c>
      <c r="C3312" s="21" t="s">
        <v>836</v>
      </c>
      <c r="D3312" s="109" t="s">
        <v>15161</v>
      </c>
      <c r="E3312" s="109"/>
      <c r="F3312" s="391" t="s">
        <v>16597</v>
      </c>
      <c r="G3312" s="23" t="s">
        <v>16070</v>
      </c>
      <c r="H3312" s="23" t="s">
        <v>16141</v>
      </c>
      <c r="I3312" s="23" t="s">
        <v>13486</v>
      </c>
      <c r="J3312" s="23"/>
      <c r="K3312" s="23"/>
      <c r="L3312" s="375"/>
      <c r="M3312" s="351" t="s">
        <v>7787</v>
      </c>
      <c r="N3312" s="267">
        <f t="shared" si="786"/>
        <v>0</v>
      </c>
      <c r="O3312" s="268">
        <f t="shared" si="787"/>
        <v>0</v>
      </c>
      <c r="P3312" s="239"/>
      <c r="Q3312" s="239"/>
      <c r="R3312" s="239"/>
      <c r="S3312" s="239"/>
      <c r="T3312" s="239"/>
      <c r="U3312" s="240"/>
      <c r="V3312" s="240"/>
      <c r="W3312" s="240"/>
      <c r="X3312" s="278"/>
      <c r="Y3312" s="237"/>
      <c r="Z3312" s="237"/>
      <c r="AA3312" s="279"/>
      <c r="AB3312" s="238"/>
      <c r="AC3312" s="196">
        <f t="shared" si="797"/>
        <v>0</v>
      </c>
      <c r="AD3312" s="196">
        <f t="shared" si="798"/>
        <v>0</v>
      </c>
      <c r="AE3312" s="196">
        <f t="shared" si="799"/>
        <v>0</v>
      </c>
      <c r="AF3312" s="2">
        <f t="shared" si="800"/>
        <v>0</v>
      </c>
      <c r="AG3312" s="2">
        <f t="shared" si="801"/>
        <v>0</v>
      </c>
    </row>
    <row r="3313" spans="1:33">
      <c r="A3313" s="20" t="s">
        <v>2790</v>
      </c>
      <c r="B3313" s="150"/>
      <c r="C3313" s="21" t="s">
        <v>836</v>
      </c>
      <c r="D3313" s="109" t="s">
        <v>15167</v>
      </c>
      <c r="E3313" s="109"/>
      <c r="F3313" s="391" t="s">
        <v>16597</v>
      </c>
      <c r="G3313" s="23" t="s">
        <v>16598</v>
      </c>
      <c r="H3313" s="23"/>
      <c r="I3313" s="23"/>
      <c r="J3313" s="23"/>
      <c r="K3313" s="23"/>
      <c r="L3313" s="375" t="s">
        <v>7787</v>
      </c>
      <c r="M3313" s="351" t="s">
        <v>7787</v>
      </c>
      <c r="N3313" s="267">
        <f t="shared" si="786"/>
        <v>0</v>
      </c>
      <c r="O3313" s="268">
        <f t="shared" si="787"/>
        <v>0</v>
      </c>
      <c r="P3313" s="239"/>
      <c r="Q3313" s="239"/>
      <c r="R3313" s="239"/>
      <c r="S3313" s="239"/>
      <c r="T3313" s="239"/>
      <c r="U3313" s="240"/>
      <c r="V3313" s="240"/>
      <c r="W3313" s="240"/>
      <c r="X3313" s="278"/>
      <c r="Y3313" s="237"/>
      <c r="Z3313" s="237"/>
      <c r="AA3313" s="239"/>
      <c r="AB3313" s="238"/>
      <c r="AC3313" s="196">
        <f t="shared" si="797"/>
        <v>0</v>
      </c>
      <c r="AD3313" s="196">
        <f t="shared" si="798"/>
        <v>0</v>
      </c>
      <c r="AE3313" s="196">
        <f t="shared" si="799"/>
        <v>0</v>
      </c>
      <c r="AF3313" s="2">
        <f t="shared" si="800"/>
        <v>0</v>
      </c>
      <c r="AG3313" s="2">
        <f t="shared" si="801"/>
        <v>0</v>
      </c>
    </row>
    <row r="3314" spans="1:33">
      <c r="A3314" s="20" t="s">
        <v>10828</v>
      </c>
      <c r="B3314" s="150"/>
      <c r="C3314" s="21" t="s">
        <v>10871</v>
      </c>
      <c r="D3314" s="109" t="s">
        <v>16186</v>
      </c>
      <c r="E3314" s="109"/>
      <c r="F3314" s="391" t="s">
        <v>16599</v>
      </c>
      <c r="G3314" s="23" t="s">
        <v>16600</v>
      </c>
      <c r="H3314" s="23"/>
      <c r="I3314" s="23"/>
      <c r="J3314" s="23"/>
      <c r="K3314" s="23"/>
      <c r="L3314" s="375"/>
      <c r="M3314" s="351" t="s">
        <v>7787</v>
      </c>
      <c r="N3314" s="267">
        <f t="shared" si="786"/>
        <v>0</v>
      </c>
      <c r="O3314" s="268">
        <f t="shared" si="787"/>
        <v>0</v>
      </c>
      <c r="P3314" s="239"/>
      <c r="Q3314" s="239"/>
      <c r="R3314" s="239"/>
      <c r="S3314" s="239"/>
      <c r="T3314" s="239"/>
      <c r="U3314" s="240"/>
      <c r="V3314" s="239"/>
      <c r="W3314" s="240"/>
      <c r="X3314" s="278"/>
      <c r="Y3314" s="237"/>
      <c r="Z3314" s="237"/>
      <c r="AA3314" s="279"/>
      <c r="AB3314" s="238"/>
      <c r="AC3314" s="196">
        <f t="shared" si="797"/>
        <v>0</v>
      </c>
      <c r="AD3314" s="196">
        <f t="shared" si="798"/>
        <v>0</v>
      </c>
      <c r="AE3314" s="196">
        <f t="shared" si="799"/>
        <v>0</v>
      </c>
      <c r="AF3314" s="2">
        <f t="shared" si="800"/>
        <v>0</v>
      </c>
      <c r="AG3314" s="2">
        <f t="shared" si="801"/>
        <v>0</v>
      </c>
    </row>
    <row r="3315" spans="1:33">
      <c r="A3315" s="20" t="s">
        <v>13097</v>
      </c>
      <c r="B3315" s="150"/>
      <c r="C3315" s="21" t="s">
        <v>10871</v>
      </c>
      <c r="D3315" s="109" t="s">
        <v>16186</v>
      </c>
      <c r="E3315" s="109"/>
      <c r="F3315" s="391" t="s">
        <v>16601</v>
      </c>
      <c r="G3315" s="23" t="s">
        <v>15163</v>
      </c>
      <c r="H3315" s="23"/>
      <c r="I3315" s="23"/>
      <c r="J3315" s="23"/>
      <c r="K3315" s="23"/>
      <c r="L3315" s="375"/>
      <c r="M3315" s="351"/>
      <c r="N3315" s="267">
        <f t="shared" si="786"/>
        <v>0</v>
      </c>
      <c r="O3315" s="268">
        <f t="shared" si="787"/>
        <v>0</v>
      </c>
      <c r="P3315" s="239"/>
      <c r="Q3315" s="239"/>
      <c r="R3315" s="239"/>
      <c r="S3315" s="239"/>
      <c r="T3315" s="239"/>
      <c r="U3315" s="240"/>
      <c r="V3315" s="239"/>
      <c r="W3315" s="240"/>
      <c r="X3315" s="278"/>
      <c r="Y3315" s="237"/>
      <c r="Z3315" s="237"/>
      <c r="AA3315" s="279"/>
      <c r="AB3315" s="238"/>
      <c r="AC3315" s="196">
        <f t="shared" si="797"/>
        <v>0</v>
      </c>
      <c r="AD3315" s="196">
        <f t="shared" si="798"/>
        <v>0</v>
      </c>
      <c r="AE3315" s="196">
        <f t="shared" si="799"/>
        <v>0</v>
      </c>
      <c r="AF3315" s="2">
        <f t="shared" si="800"/>
        <v>0</v>
      </c>
      <c r="AG3315" s="2">
        <f t="shared" si="801"/>
        <v>0</v>
      </c>
    </row>
    <row r="3316" spans="1:33">
      <c r="A3316" s="20" t="s">
        <v>10593</v>
      </c>
      <c r="B3316" s="150"/>
      <c r="C3316" s="21" t="s">
        <v>16602</v>
      </c>
      <c r="D3316" s="109" t="s">
        <v>16186</v>
      </c>
      <c r="E3316" s="109"/>
      <c r="F3316" s="391" t="s">
        <v>16603</v>
      </c>
      <c r="G3316" s="23" t="s">
        <v>16304</v>
      </c>
      <c r="H3316" s="23" t="s">
        <v>13301</v>
      </c>
      <c r="I3316" s="23" t="s">
        <v>24411</v>
      </c>
      <c r="J3316" s="23"/>
      <c r="K3316" s="23"/>
      <c r="L3316" s="375" t="s">
        <v>27862</v>
      </c>
      <c r="M3316" s="351"/>
      <c r="N3316" s="267">
        <f t="shared" si="786"/>
        <v>0</v>
      </c>
      <c r="O3316" s="268">
        <f t="shared" si="787"/>
        <v>150</v>
      </c>
      <c r="P3316" s="239"/>
      <c r="Q3316" s="239"/>
      <c r="R3316" s="239"/>
      <c r="S3316" s="239"/>
      <c r="T3316" s="239"/>
      <c r="U3316" s="240">
        <f>300-250+600-500</f>
        <v>150</v>
      </c>
      <c r="V3316" s="239"/>
      <c r="W3316" s="240"/>
      <c r="X3316" s="278"/>
      <c r="Y3316" s="239"/>
      <c r="Z3316" s="237"/>
      <c r="AA3316" s="279"/>
      <c r="AB3316" s="238" t="s">
        <v>27856</v>
      </c>
      <c r="AC3316" s="196">
        <f t="shared" si="797"/>
        <v>150</v>
      </c>
      <c r="AD3316" s="196">
        <f t="shared" si="798"/>
        <v>150</v>
      </c>
      <c r="AE3316" s="196">
        <f t="shared" si="799"/>
        <v>0</v>
      </c>
      <c r="AF3316" s="2">
        <f t="shared" si="800"/>
        <v>150</v>
      </c>
      <c r="AG3316" s="2">
        <f t="shared" si="801"/>
        <v>0</v>
      </c>
    </row>
    <row r="3317" spans="1:33">
      <c r="A3317" s="20" t="s">
        <v>10040</v>
      </c>
      <c r="B3317" s="150"/>
      <c r="C3317" s="21" t="s">
        <v>16604</v>
      </c>
      <c r="D3317" s="109" t="s">
        <v>16186</v>
      </c>
      <c r="E3317" s="109"/>
      <c r="F3317" s="391" t="s">
        <v>23050</v>
      </c>
      <c r="G3317" s="23" t="s">
        <v>16304</v>
      </c>
      <c r="H3317" s="23" t="s">
        <v>16183</v>
      </c>
      <c r="I3317" s="23" t="s">
        <v>13240</v>
      </c>
      <c r="J3317" s="23" t="s">
        <v>13975</v>
      </c>
      <c r="K3317" s="23"/>
      <c r="L3317" s="375" t="s">
        <v>45</v>
      </c>
      <c r="M3317" s="351"/>
      <c r="N3317" s="267">
        <f t="shared" si="786"/>
        <v>0</v>
      </c>
      <c r="O3317" s="268">
        <f t="shared" si="787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40"/>
      <c r="Z3317" s="237"/>
      <c r="AA3317" s="279"/>
      <c r="AB3317" s="238"/>
      <c r="AC3317" s="196">
        <f t="shared" si="797"/>
        <v>0</v>
      </c>
      <c r="AD3317" s="196">
        <f t="shared" si="798"/>
        <v>0</v>
      </c>
      <c r="AE3317" s="196">
        <f t="shared" si="799"/>
        <v>0</v>
      </c>
      <c r="AF3317" s="2">
        <f t="shared" si="800"/>
        <v>0</v>
      </c>
      <c r="AG3317" s="2">
        <f t="shared" si="801"/>
        <v>0</v>
      </c>
    </row>
    <row r="3318" spans="1:33">
      <c r="A3318" s="20" t="s">
        <v>10205</v>
      </c>
      <c r="B3318" s="150"/>
      <c r="C3318" s="21" t="s">
        <v>16605</v>
      </c>
      <c r="D3318" s="109" t="s">
        <v>16186</v>
      </c>
      <c r="E3318" s="109"/>
      <c r="F3318" s="391" t="s">
        <v>16606</v>
      </c>
      <c r="G3318" s="23" t="s">
        <v>16304</v>
      </c>
      <c r="H3318" s="23"/>
      <c r="I3318" s="23"/>
      <c r="J3318" s="23"/>
      <c r="K3318" s="23"/>
      <c r="L3318" s="375" t="s">
        <v>7787</v>
      </c>
      <c r="M3318" s="351" t="s">
        <v>7787</v>
      </c>
      <c r="N3318" s="267">
        <f t="shared" si="786"/>
        <v>0</v>
      </c>
      <c r="O3318" s="268">
        <f t="shared" si="787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40"/>
      <c r="AB3318" s="238"/>
      <c r="AC3318" s="196">
        <f t="shared" si="797"/>
        <v>0</v>
      </c>
      <c r="AD3318" s="196">
        <f t="shared" si="798"/>
        <v>0</v>
      </c>
      <c r="AE3318" s="196">
        <f t="shared" si="799"/>
        <v>0</v>
      </c>
      <c r="AF3318" s="2">
        <f t="shared" si="800"/>
        <v>0</v>
      </c>
      <c r="AG3318" s="2">
        <f t="shared" si="801"/>
        <v>0</v>
      </c>
    </row>
    <row r="3319" spans="1:33">
      <c r="A3319" s="20" t="s">
        <v>10398</v>
      </c>
      <c r="B3319" s="150"/>
      <c r="C3319" s="21" t="s">
        <v>16607</v>
      </c>
      <c r="D3319" s="109" t="s">
        <v>16186</v>
      </c>
      <c r="E3319" s="109"/>
      <c r="F3319" s="391" t="s">
        <v>16608</v>
      </c>
      <c r="G3319" s="23" t="s">
        <v>15966</v>
      </c>
      <c r="H3319" s="23"/>
      <c r="I3319" s="23"/>
      <c r="J3319" s="23"/>
      <c r="K3319" s="23"/>
      <c r="L3319" s="375" t="s">
        <v>7787</v>
      </c>
      <c r="M3319" s="351" t="s">
        <v>7787</v>
      </c>
      <c r="N3319" s="267">
        <f t="shared" si="786"/>
        <v>0</v>
      </c>
      <c r="O3319" s="268">
        <f t="shared" si="787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7"/>
        <v>0</v>
      </c>
      <c r="AD3319" s="196">
        <f t="shared" si="798"/>
        <v>0</v>
      </c>
      <c r="AE3319" s="196">
        <f t="shared" si="799"/>
        <v>0</v>
      </c>
      <c r="AF3319" s="2">
        <f t="shared" si="800"/>
        <v>0</v>
      </c>
      <c r="AG3319" s="2">
        <f t="shared" si="801"/>
        <v>0</v>
      </c>
    </row>
    <row r="3320" spans="1:33">
      <c r="A3320" s="20" t="s">
        <v>10452</v>
      </c>
      <c r="B3320" s="150"/>
      <c r="C3320" s="21" t="s">
        <v>16609</v>
      </c>
      <c r="D3320" s="109" t="s">
        <v>16186</v>
      </c>
      <c r="E3320" s="109"/>
      <c r="F3320" s="391" t="s">
        <v>16610</v>
      </c>
      <c r="G3320" s="23" t="s">
        <v>16304</v>
      </c>
      <c r="H3320" s="23"/>
      <c r="I3320" s="23"/>
      <c r="J3320" s="23"/>
      <c r="K3320" s="23"/>
      <c r="L3320" s="375" t="s">
        <v>7787</v>
      </c>
      <c r="M3320" s="351"/>
      <c r="N3320" s="267">
        <f t="shared" si="786"/>
        <v>0</v>
      </c>
      <c r="O3320" s="268">
        <f t="shared" si="787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7"/>
        <v>0</v>
      </c>
      <c r="AD3320" s="196">
        <f t="shared" si="798"/>
        <v>0</v>
      </c>
      <c r="AE3320" s="196">
        <f t="shared" si="799"/>
        <v>0</v>
      </c>
      <c r="AF3320" s="2">
        <f t="shared" si="800"/>
        <v>0</v>
      </c>
      <c r="AG3320" s="2">
        <f t="shared" si="801"/>
        <v>0</v>
      </c>
    </row>
    <row r="3321" spans="1:33">
      <c r="A3321" s="20" t="s">
        <v>10457</v>
      </c>
      <c r="B3321" s="150"/>
      <c r="C3321" s="21" t="s">
        <v>16611</v>
      </c>
      <c r="D3321" s="109" t="s">
        <v>16251</v>
      </c>
      <c r="E3321" s="109"/>
      <c r="F3321" s="391" t="s">
        <v>16612</v>
      </c>
      <c r="G3321" s="23" t="s">
        <v>16613</v>
      </c>
      <c r="H3321" s="23"/>
      <c r="I3321" s="23"/>
      <c r="J3321" s="23"/>
      <c r="K3321" s="23"/>
      <c r="L3321" s="375"/>
      <c r="M3321" s="351"/>
      <c r="N3321" s="267">
        <f t="shared" si="786"/>
        <v>0</v>
      </c>
      <c r="O3321" s="268">
        <f t="shared" si="787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79"/>
      <c r="AB3321" s="238"/>
      <c r="AC3321" s="196">
        <f t="shared" si="797"/>
        <v>0</v>
      </c>
      <c r="AD3321" s="196">
        <f t="shared" si="798"/>
        <v>0</v>
      </c>
      <c r="AE3321" s="196">
        <f t="shared" si="799"/>
        <v>0</v>
      </c>
      <c r="AF3321" s="2">
        <f t="shared" si="800"/>
        <v>0</v>
      </c>
      <c r="AG3321" s="2">
        <f t="shared" si="801"/>
        <v>0</v>
      </c>
    </row>
    <row r="3322" spans="1:33">
      <c r="A3322" s="20" t="s">
        <v>10594</v>
      </c>
      <c r="B3322" s="150"/>
      <c r="C3322" s="21" t="s">
        <v>16611</v>
      </c>
      <c r="D3322" s="109" t="s">
        <v>16329</v>
      </c>
      <c r="E3322" s="109"/>
      <c r="F3322" s="391" t="s">
        <v>16612</v>
      </c>
      <c r="G3322" s="23" t="s">
        <v>16183</v>
      </c>
      <c r="H3322" s="23" t="s">
        <v>15802</v>
      </c>
      <c r="I3322" s="23"/>
      <c r="J3322" s="23"/>
      <c r="K3322" s="23"/>
      <c r="L3322" s="375" t="s">
        <v>7787</v>
      </c>
      <c r="M3322" s="351" t="s">
        <v>7787</v>
      </c>
      <c r="N3322" s="267">
        <f t="shared" si="786"/>
        <v>0</v>
      </c>
      <c r="O3322" s="268">
        <f t="shared" si="787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37"/>
      <c r="Z3322" s="237"/>
      <c r="AA3322" s="279"/>
      <c r="AB3322" s="238"/>
      <c r="AC3322" s="196">
        <f t="shared" si="797"/>
        <v>0</v>
      </c>
      <c r="AD3322" s="196">
        <f t="shared" si="798"/>
        <v>0</v>
      </c>
      <c r="AE3322" s="196">
        <f t="shared" si="799"/>
        <v>0</v>
      </c>
      <c r="AF3322" s="2">
        <f t="shared" si="800"/>
        <v>0</v>
      </c>
      <c r="AG3322" s="2">
        <f t="shared" si="801"/>
        <v>0</v>
      </c>
    </row>
    <row r="3323" spans="1:33">
      <c r="A3323" s="20" t="s">
        <v>10399</v>
      </c>
      <c r="B3323" s="150"/>
      <c r="C3323" s="21" t="s">
        <v>16614</v>
      </c>
      <c r="D3323" s="109" t="s">
        <v>16186</v>
      </c>
      <c r="E3323" s="109"/>
      <c r="F3323" s="391" t="s">
        <v>16615</v>
      </c>
      <c r="G3323" s="23" t="s">
        <v>16304</v>
      </c>
      <c r="H3323" s="23" t="s">
        <v>17306</v>
      </c>
      <c r="I3323" s="23"/>
      <c r="J3323" s="23"/>
      <c r="K3323" s="23"/>
      <c r="L3323" s="375" t="s">
        <v>7787</v>
      </c>
      <c r="M3323" s="351" t="s">
        <v>7787</v>
      </c>
      <c r="N3323" s="267">
        <f t="shared" si="786"/>
        <v>0</v>
      </c>
      <c r="O3323" s="268">
        <f t="shared" si="787"/>
        <v>0</v>
      </c>
      <c r="P3323" s="239"/>
      <c r="Q3323" s="239"/>
      <c r="R3323" s="239"/>
      <c r="S3323" s="239"/>
      <c r="T3323" s="239"/>
      <c r="U3323" s="240"/>
      <c r="V3323" s="240"/>
      <c r="W3323" s="240"/>
      <c r="X3323" s="278"/>
      <c r="Y3323" s="237"/>
      <c r="Z3323" s="237"/>
      <c r="AA3323" s="240"/>
      <c r="AB3323" s="238"/>
      <c r="AC3323" s="196">
        <f t="shared" si="797"/>
        <v>0</v>
      </c>
      <c r="AD3323" s="196">
        <f t="shared" si="798"/>
        <v>0</v>
      </c>
      <c r="AE3323" s="196">
        <f t="shared" si="799"/>
        <v>0</v>
      </c>
      <c r="AF3323" s="2">
        <f t="shared" si="800"/>
        <v>0</v>
      </c>
      <c r="AG3323" s="2">
        <f t="shared" si="801"/>
        <v>0</v>
      </c>
    </row>
    <row r="3324" spans="1:33">
      <c r="A3324" s="20" t="s">
        <v>2792</v>
      </c>
      <c r="B3324" s="150"/>
      <c r="C3324" s="21" t="s">
        <v>837</v>
      </c>
      <c r="D3324" s="109" t="s">
        <v>15161</v>
      </c>
      <c r="E3324" s="109"/>
      <c r="F3324" s="391" t="s">
        <v>16616</v>
      </c>
      <c r="G3324" s="23"/>
      <c r="H3324" s="23"/>
      <c r="I3324" s="23"/>
      <c r="J3324" s="23"/>
      <c r="K3324" s="23"/>
      <c r="L3324" s="350"/>
      <c r="M3324" s="351"/>
      <c r="N3324" s="267">
        <f t="shared" si="786"/>
        <v>0</v>
      </c>
      <c r="O3324" s="268">
        <f t="shared" si="787"/>
        <v>0</v>
      </c>
      <c r="P3324" s="239"/>
      <c r="Q3324" s="239"/>
      <c r="R3324" s="239"/>
      <c r="S3324" s="239"/>
      <c r="T3324" s="239"/>
      <c r="U3324" s="240"/>
      <c r="V3324" s="240"/>
      <c r="W3324" s="240"/>
      <c r="X3324" s="278"/>
      <c r="Y3324" s="240"/>
      <c r="Z3324" s="237"/>
      <c r="AA3324" s="279"/>
      <c r="AB3324" s="238" t="s">
        <v>18255</v>
      </c>
      <c r="AC3324" s="196">
        <f t="shared" si="797"/>
        <v>0</v>
      </c>
      <c r="AD3324" s="196">
        <f t="shared" si="798"/>
        <v>0</v>
      </c>
      <c r="AE3324" s="196">
        <f t="shared" si="799"/>
        <v>0</v>
      </c>
      <c r="AF3324" s="2">
        <f t="shared" si="800"/>
        <v>0</v>
      </c>
      <c r="AG3324" s="2">
        <f t="shared" si="801"/>
        <v>0</v>
      </c>
    </row>
    <row r="3325" spans="1:33">
      <c r="A3325" s="20" t="s">
        <v>11021</v>
      </c>
      <c r="B3325" s="150"/>
      <c r="C3325" s="21" t="s">
        <v>16617</v>
      </c>
      <c r="D3325" s="109" t="s">
        <v>16189</v>
      </c>
      <c r="E3325" s="109"/>
      <c r="F3325" s="391" t="s">
        <v>16618</v>
      </c>
      <c r="G3325" s="23" t="s">
        <v>16232</v>
      </c>
      <c r="H3325" s="23" t="s">
        <v>16619</v>
      </c>
      <c r="I3325" s="23"/>
      <c r="J3325" s="23"/>
      <c r="K3325" s="23"/>
      <c r="L3325" s="375" t="s">
        <v>7787</v>
      </c>
      <c r="M3325" s="351" t="s">
        <v>7787</v>
      </c>
      <c r="N3325" s="267">
        <f t="shared" si="786"/>
        <v>0</v>
      </c>
      <c r="O3325" s="268">
        <f t="shared" si="787"/>
        <v>0</v>
      </c>
      <c r="P3325" s="239"/>
      <c r="Q3325" s="239"/>
      <c r="R3325" s="239"/>
      <c r="S3325" s="239"/>
      <c r="T3325" s="239"/>
      <c r="U3325" s="279"/>
      <c r="V3325" s="240"/>
      <c r="W3325" s="240"/>
      <c r="X3325" s="278"/>
      <c r="Y3325" s="237"/>
      <c r="Z3325" s="237"/>
      <c r="AA3325" s="279"/>
      <c r="AB3325" s="238"/>
      <c r="AC3325" s="196">
        <f t="shared" si="797"/>
        <v>0</v>
      </c>
      <c r="AD3325" s="196">
        <f t="shared" si="798"/>
        <v>0</v>
      </c>
      <c r="AE3325" s="196">
        <f t="shared" si="799"/>
        <v>0</v>
      </c>
      <c r="AF3325" s="2">
        <f t="shared" si="800"/>
        <v>0</v>
      </c>
      <c r="AG3325" s="2">
        <f t="shared" si="801"/>
        <v>0</v>
      </c>
    </row>
    <row r="3326" spans="1:33">
      <c r="A3326" s="20" t="s">
        <v>12844</v>
      </c>
      <c r="B3326" s="150"/>
      <c r="C3326" s="21" t="s">
        <v>16620</v>
      </c>
      <c r="D3326" s="109" t="s">
        <v>16186</v>
      </c>
      <c r="E3326" s="109"/>
      <c r="F3326" s="391" t="s">
        <v>16621</v>
      </c>
      <c r="G3326" s="23" t="s">
        <v>16304</v>
      </c>
      <c r="H3326" s="23" t="s">
        <v>16622</v>
      </c>
      <c r="I3326" s="23" t="s">
        <v>16623</v>
      </c>
      <c r="J3326" s="23"/>
      <c r="K3326" s="23"/>
      <c r="L3326" s="375" t="s">
        <v>7787</v>
      </c>
      <c r="M3326" s="351"/>
      <c r="N3326" s="267">
        <f t="shared" si="786"/>
        <v>0</v>
      </c>
      <c r="O3326" s="268">
        <f t="shared" si="787"/>
        <v>0</v>
      </c>
      <c r="P3326" s="239"/>
      <c r="Q3326" s="239"/>
      <c r="R3326" s="239"/>
      <c r="S3326" s="239"/>
      <c r="T3326" s="239"/>
      <c r="U3326" s="239"/>
      <c r="V3326" s="240"/>
      <c r="W3326" s="240"/>
      <c r="X3326" s="278"/>
      <c r="Y3326" s="237"/>
      <c r="Z3326" s="237"/>
      <c r="AA3326" s="279"/>
      <c r="AB3326" s="238"/>
      <c r="AC3326" s="196">
        <f t="shared" si="797"/>
        <v>0</v>
      </c>
      <c r="AD3326" s="196">
        <f t="shared" si="798"/>
        <v>0</v>
      </c>
      <c r="AE3326" s="196">
        <f t="shared" si="799"/>
        <v>0</v>
      </c>
      <c r="AF3326" s="2">
        <f t="shared" si="800"/>
        <v>0</v>
      </c>
      <c r="AG3326" s="2">
        <f t="shared" si="801"/>
        <v>0</v>
      </c>
    </row>
    <row r="3327" spans="1:33">
      <c r="A3327" s="20" t="s">
        <v>10595</v>
      </c>
      <c r="B3327" s="150"/>
      <c r="C3327" s="21" t="s">
        <v>16624</v>
      </c>
      <c r="D3327" s="109" t="s">
        <v>16329</v>
      </c>
      <c r="E3327" s="109"/>
      <c r="F3327" s="391" t="s">
        <v>16625</v>
      </c>
      <c r="G3327" s="23" t="s">
        <v>16183</v>
      </c>
      <c r="H3327" s="23"/>
      <c r="I3327" s="23"/>
      <c r="J3327" s="23"/>
      <c r="K3327" s="23"/>
      <c r="L3327" s="375" t="s">
        <v>7787</v>
      </c>
      <c r="M3327" s="351" t="s">
        <v>7787</v>
      </c>
      <c r="N3327" s="267">
        <f t="shared" si="786"/>
        <v>0</v>
      </c>
      <c r="O3327" s="268">
        <f t="shared" si="787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39"/>
      <c r="Z3327" s="237"/>
      <c r="AA3327" s="279"/>
      <c r="AB3327" s="238"/>
      <c r="AC3327" s="196">
        <f t="shared" si="797"/>
        <v>0</v>
      </c>
      <c r="AD3327" s="196">
        <f t="shared" si="798"/>
        <v>0</v>
      </c>
      <c r="AE3327" s="196">
        <f t="shared" si="799"/>
        <v>0</v>
      </c>
      <c r="AF3327" s="2">
        <f t="shared" si="800"/>
        <v>0</v>
      </c>
      <c r="AG3327" s="2">
        <f t="shared" si="801"/>
        <v>0</v>
      </c>
    </row>
    <row r="3328" spans="1:33">
      <c r="A3328" s="20" t="s">
        <v>11988</v>
      </c>
      <c r="B3328" s="150"/>
      <c r="C3328" s="21" t="s">
        <v>16624</v>
      </c>
      <c r="D3328" s="109" t="s">
        <v>16329</v>
      </c>
      <c r="E3328" s="109" t="s">
        <v>16562</v>
      </c>
      <c r="F3328" s="391" t="s">
        <v>16625</v>
      </c>
      <c r="G3328" s="23" t="s">
        <v>16183</v>
      </c>
      <c r="H3328" s="23"/>
      <c r="I3328" s="23"/>
      <c r="J3328" s="23"/>
      <c r="K3328" s="23"/>
      <c r="L3328" s="375"/>
      <c r="M3328" s="351" t="s">
        <v>7787</v>
      </c>
      <c r="N3328" s="267">
        <f t="shared" si="786"/>
        <v>0</v>
      </c>
      <c r="O3328" s="268">
        <f t="shared" si="787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37"/>
      <c r="Z3328" s="237"/>
      <c r="AA3328" s="279"/>
      <c r="AB3328" s="238"/>
      <c r="AC3328" s="196">
        <f t="shared" si="797"/>
        <v>0</v>
      </c>
      <c r="AD3328" s="196">
        <f t="shared" si="798"/>
        <v>0</v>
      </c>
      <c r="AE3328" s="196">
        <f t="shared" si="799"/>
        <v>0</v>
      </c>
      <c r="AF3328" s="2">
        <f t="shared" si="800"/>
        <v>0</v>
      </c>
      <c r="AG3328" s="2">
        <f t="shared" si="801"/>
        <v>0</v>
      </c>
    </row>
    <row r="3329" spans="1:33">
      <c r="A3329" s="20" t="s">
        <v>12104</v>
      </c>
      <c r="B3329" s="150"/>
      <c r="C3329" s="21" t="s">
        <v>16624</v>
      </c>
      <c r="D3329" s="109" t="s">
        <v>16329</v>
      </c>
      <c r="E3329" s="109" t="s">
        <v>16563</v>
      </c>
      <c r="F3329" s="391" t="s">
        <v>16625</v>
      </c>
      <c r="G3329" s="23" t="s">
        <v>16183</v>
      </c>
      <c r="H3329" s="23"/>
      <c r="I3329" s="23"/>
      <c r="J3329" s="23"/>
      <c r="K3329" s="23"/>
      <c r="L3329" s="375"/>
      <c r="M3329" s="351"/>
      <c r="N3329" s="267">
        <f t="shared" si="786"/>
        <v>0</v>
      </c>
      <c r="O3329" s="268">
        <f t="shared" si="787"/>
        <v>0</v>
      </c>
      <c r="P3329" s="239"/>
      <c r="Q3329" s="239"/>
      <c r="R3329" s="239"/>
      <c r="S3329" s="239"/>
      <c r="T3329" s="239"/>
      <c r="U3329" s="240"/>
      <c r="V3329" s="240"/>
      <c r="W3329" s="240"/>
      <c r="X3329" s="278"/>
      <c r="Y3329" s="240"/>
      <c r="Z3329" s="237"/>
      <c r="AA3329" s="279"/>
      <c r="AB3329" s="238"/>
      <c r="AC3329" s="196">
        <f t="shared" si="797"/>
        <v>0</v>
      </c>
      <c r="AD3329" s="196">
        <f t="shared" si="798"/>
        <v>0</v>
      </c>
      <c r="AE3329" s="196">
        <f t="shared" si="799"/>
        <v>0</v>
      </c>
      <c r="AF3329" s="2">
        <f t="shared" si="800"/>
        <v>0</v>
      </c>
      <c r="AG3329" s="2">
        <f t="shared" si="801"/>
        <v>0</v>
      </c>
    </row>
    <row r="3330" spans="1:33">
      <c r="A3330" s="20" t="s">
        <v>11295</v>
      </c>
      <c r="B3330" s="150"/>
      <c r="C3330" s="21" t="s">
        <v>16626</v>
      </c>
      <c r="D3330" s="109" t="s">
        <v>16329</v>
      </c>
      <c r="E3330" s="109"/>
      <c r="F3330" s="391" t="s">
        <v>16627</v>
      </c>
      <c r="G3330" s="23" t="s">
        <v>16571</v>
      </c>
      <c r="H3330" s="23"/>
      <c r="I3330" s="23"/>
      <c r="J3330" s="23"/>
      <c r="K3330" s="23"/>
      <c r="L3330" s="375" t="s">
        <v>7787</v>
      </c>
      <c r="M3330" s="351" t="s">
        <v>7787</v>
      </c>
      <c r="N3330" s="267">
        <f t="shared" si="786"/>
        <v>0</v>
      </c>
      <c r="O3330" s="268">
        <f t="shared" si="787"/>
        <v>0</v>
      </c>
      <c r="P3330" s="239"/>
      <c r="Q3330" s="239"/>
      <c r="R3330" s="239"/>
      <c r="S3330" s="239"/>
      <c r="T3330" s="239"/>
      <c r="U3330" s="240"/>
      <c r="V3330" s="240"/>
      <c r="W3330" s="240"/>
      <c r="X3330" s="278"/>
      <c r="Y3330" s="239"/>
      <c r="Z3330" s="237"/>
      <c r="AA3330" s="279"/>
      <c r="AB3330" s="238"/>
      <c r="AC3330" s="196">
        <f t="shared" si="797"/>
        <v>0</v>
      </c>
      <c r="AD3330" s="196">
        <f t="shared" si="798"/>
        <v>0</v>
      </c>
      <c r="AE3330" s="196">
        <f t="shared" si="799"/>
        <v>0</v>
      </c>
      <c r="AF3330" s="2">
        <f t="shared" si="800"/>
        <v>0</v>
      </c>
      <c r="AG3330" s="2">
        <f t="shared" si="801"/>
        <v>0</v>
      </c>
    </row>
    <row r="3331" spans="1:33">
      <c r="A3331" s="20" t="s">
        <v>10596</v>
      </c>
      <c r="B3331" s="150"/>
      <c r="C3331" s="21" t="s">
        <v>16628</v>
      </c>
      <c r="D3331" s="109" t="s">
        <v>16329</v>
      </c>
      <c r="E3331" s="109"/>
      <c r="F3331" s="391" t="s">
        <v>16629</v>
      </c>
      <c r="G3331" s="23" t="s">
        <v>16183</v>
      </c>
      <c r="H3331" s="23" t="s">
        <v>16630</v>
      </c>
      <c r="I3331" s="23" t="s">
        <v>16291</v>
      </c>
      <c r="J3331" s="23" t="s">
        <v>16385</v>
      </c>
      <c r="K3331" s="23" t="s">
        <v>21959</v>
      </c>
      <c r="L3331" s="375" t="s">
        <v>7787</v>
      </c>
      <c r="M3331" s="351" t="s">
        <v>7787</v>
      </c>
      <c r="N3331" s="267">
        <f t="shared" si="786"/>
        <v>0</v>
      </c>
      <c r="O3331" s="268">
        <f t="shared" si="787"/>
        <v>0</v>
      </c>
      <c r="P3331" s="239"/>
      <c r="Q3331" s="239"/>
      <c r="R3331" s="239"/>
      <c r="S3331" s="239"/>
      <c r="T3331" s="239"/>
      <c r="U3331" s="240"/>
      <c r="V3331" s="239"/>
      <c r="W3331" s="240"/>
      <c r="X3331" s="278"/>
      <c r="Y3331" s="237"/>
      <c r="Z3331" s="237"/>
      <c r="AA3331" s="279"/>
      <c r="AB3331" s="238"/>
      <c r="AC3331" s="196">
        <f t="shared" si="797"/>
        <v>0</v>
      </c>
      <c r="AD3331" s="196">
        <f t="shared" si="798"/>
        <v>0</v>
      </c>
      <c r="AE3331" s="196">
        <f t="shared" si="799"/>
        <v>0</v>
      </c>
      <c r="AF3331" s="2">
        <f t="shared" si="800"/>
        <v>0</v>
      </c>
      <c r="AG3331" s="2">
        <f t="shared" si="801"/>
        <v>0</v>
      </c>
    </row>
    <row r="3332" spans="1:33">
      <c r="A3332" s="20" t="s">
        <v>13098</v>
      </c>
      <c r="B3332" s="150"/>
      <c r="C3332" s="21" t="s">
        <v>16628</v>
      </c>
      <c r="D3332" s="109" t="s">
        <v>16329</v>
      </c>
      <c r="E3332" s="109" t="s">
        <v>16631</v>
      </c>
      <c r="F3332" s="391" t="s">
        <v>16629</v>
      </c>
      <c r="G3332" s="23" t="s">
        <v>16183</v>
      </c>
      <c r="H3332" s="23" t="s">
        <v>16630</v>
      </c>
      <c r="I3332" s="23" t="s">
        <v>16291</v>
      </c>
      <c r="J3332" s="23" t="s">
        <v>16385</v>
      </c>
      <c r="K3332" s="23"/>
      <c r="L3332" s="375" t="s">
        <v>7787</v>
      </c>
      <c r="M3332" s="351" t="s">
        <v>7787</v>
      </c>
      <c r="N3332" s="267">
        <f t="shared" si="786"/>
        <v>0</v>
      </c>
      <c r="O3332" s="268">
        <f t="shared" si="787"/>
        <v>0</v>
      </c>
      <c r="P3332" s="239"/>
      <c r="Q3332" s="239"/>
      <c r="R3332" s="239"/>
      <c r="S3332" s="239"/>
      <c r="T3332" s="239"/>
      <c r="U3332" s="240"/>
      <c r="V3332" s="240"/>
      <c r="W3332" s="240"/>
      <c r="X3332" s="278"/>
      <c r="Y3332" s="239"/>
      <c r="Z3332" s="237"/>
      <c r="AA3332" s="279"/>
      <c r="AB3332" s="238"/>
      <c r="AC3332" s="196">
        <f t="shared" si="797"/>
        <v>0</v>
      </c>
      <c r="AD3332" s="196">
        <f t="shared" si="798"/>
        <v>0</v>
      </c>
      <c r="AE3332" s="196">
        <f t="shared" si="799"/>
        <v>0</v>
      </c>
      <c r="AF3332" s="2">
        <f t="shared" si="800"/>
        <v>0</v>
      </c>
      <c r="AG3332" s="2">
        <f t="shared" si="801"/>
        <v>0</v>
      </c>
    </row>
    <row r="3333" spans="1:33">
      <c r="A3333" s="20" t="s">
        <v>10837</v>
      </c>
      <c r="B3333" s="150"/>
      <c r="C3333" s="21" t="s">
        <v>10938</v>
      </c>
      <c r="D3333" s="109" t="s">
        <v>16186</v>
      </c>
      <c r="E3333" s="109"/>
      <c r="F3333" s="391" t="s">
        <v>16632</v>
      </c>
      <c r="G3333" s="23" t="s">
        <v>16558</v>
      </c>
      <c r="H3333" s="23"/>
      <c r="I3333" s="23"/>
      <c r="J3333" s="23"/>
      <c r="K3333" s="23"/>
      <c r="L3333" s="375" t="s">
        <v>7787</v>
      </c>
      <c r="M3333" s="351" t="s">
        <v>7787</v>
      </c>
      <c r="N3333" s="267">
        <f t="shared" si="786"/>
        <v>0</v>
      </c>
      <c r="O3333" s="268">
        <f t="shared" si="787"/>
        <v>0</v>
      </c>
      <c r="P3333" s="239"/>
      <c r="Q3333" s="239"/>
      <c r="R3333" s="239"/>
      <c r="S3333" s="239"/>
      <c r="T3333" s="239"/>
      <c r="U3333" s="240"/>
      <c r="V3333" s="240"/>
      <c r="W3333" s="240"/>
      <c r="X3333" s="278"/>
      <c r="Y3333" s="237"/>
      <c r="Z3333" s="237"/>
      <c r="AA3333" s="279"/>
      <c r="AB3333" s="238"/>
      <c r="AC3333" s="196">
        <f t="shared" si="797"/>
        <v>0</v>
      </c>
      <c r="AD3333" s="196">
        <f t="shared" si="798"/>
        <v>0</v>
      </c>
      <c r="AE3333" s="196">
        <f t="shared" si="799"/>
        <v>0</v>
      </c>
      <c r="AF3333" s="2">
        <f t="shared" si="800"/>
        <v>0</v>
      </c>
      <c r="AG3333" s="2">
        <f t="shared" si="801"/>
        <v>0</v>
      </c>
    </row>
    <row r="3334" spans="1:33">
      <c r="A3334" s="20" t="s">
        <v>17280</v>
      </c>
      <c r="B3334" s="150"/>
      <c r="C3334" s="21" t="s">
        <v>17238</v>
      </c>
      <c r="D3334" s="109" t="s">
        <v>8554</v>
      </c>
      <c r="E3334" s="109"/>
      <c r="F3334" s="391" t="s">
        <v>19449</v>
      </c>
      <c r="G3334" s="23" t="s">
        <v>13571</v>
      </c>
      <c r="H3334" s="23"/>
      <c r="I3334" s="23"/>
      <c r="J3334" s="23"/>
      <c r="K3334" s="23"/>
      <c r="L3334" s="375" t="s">
        <v>45</v>
      </c>
      <c r="M3334" s="351"/>
      <c r="N3334" s="267">
        <f t="shared" si="786"/>
        <v>0</v>
      </c>
      <c r="O3334" s="268">
        <f t="shared" si="787"/>
        <v>250</v>
      </c>
      <c r="P3334" s="239"/>
      <c r="Q3334" s="239"/>
      <c r="R3334" s="239"/>
      <c r="S3334" s="239"/>
      <c r="T3334" s="239"/>
      <c r="U3334" s="240">
        <f>50+200</f>
        <v>250</v>
      </c>
      <c r="V3334" s="240"/>
      <c r="W3334" s="240"/>
      <c r="X3334" s="278"/>
      <c r="Y3334" s="237"/>
      <c r="Z3334" s="237"/>
      <c r="AA3334" s="279"/>
      <c r="AB3334" s="238" t="s">
        <v>26849</v>
      </c>
      <c r="AC3334" s="196">
        <f t="shared" si="797"/>
        <v>250</v>
      </c>
      <c r="AD3334" s="196">
        <f t="shared" si="798"/>
        <v>250</v>
      </c>
      <c r="AE3334" s="196">
        <f t="shared" si="799"/>
        <v>0</v>
      </c>
      <c r="AF3334" s="2">
        <f t="shared" si="800"/>
        <v>250</v>
      </c>
      <c r="AG3334" s="2">
        <f t="shared" si="801"/>
        <v>0</v>
      </c>
    </row>
    <row r="3335" spans="1:33">
      <c r="A3335" s="20" t="s">
        <v>10838</v>
      </c>
      <c r="B3335" s="150"/>
      <c r="C3335" s="21" t="s">
        <v>11027</v>
      </c>
      <c r="D3335" s="109" t="s">
        <v>16329</v>
      </c>
      <c r="E3335" s="109" t="s">
        <v>25287</v>
      </c>
      <c r="F3335" s="391" t="s">
        <v>16633</v>
      </c>
      <c r="G3335" s="23" t="s">
        <v>15621</v>
      </c>
      <c r="H3335" s="23" t="s">
        <v>16630</v>
      </c>
      <c r="I3335" s="23" t="s">
        <v>17560</v>
      </c>
      <c r="J3335" s="23" t="s">
        <v>25665</v>
      </c>
      <c r="K3335" s="23"/>
      <c r="L3335" s="375" t="s">
        <v>7787</v>
      </c>
      <c r="M3335" s="351" t="s">
        <v>7787</v>
      </c>
      <c r="N3335" s="267">
        <f t="shared" si="786"/>
        <v>0</v>
      </c>
      <c r="O3335" s="268">
        <f t="shared" si="787"/>
        <v>1350</v>
      </c>
      <c r="P3335" s="239"/>
      <c r="Q3335" s="239"/>
      <c r="R3335" s="239"/>
      <c r="S3335" s="239"/>
      <c r="T3335" s="239">
        <f>6300-350-1100-1000-2500</f>
        <v>1350</v>
      </c>
      <c r="U3335" s="240"/>
      <c r="V3335" s="240"/>
      <c r="W3335" s="240"/>
      <c r="X3335" s="278"/>
      <c r="Y3335" s="237"/>
      <c r="Z3335" s="237"/>
      <c r="AA3335" s="279"/>
      <c r="AB3335" s="238" t="s">
        <v>27041</v>
      </c>
      <c r="AC3335" s="196">
        <f t="shared" si="797"/>
        <v>1350</v>
      </c>
      <c r="AD3335" s="196">
        <f t="shared" si="798"/>
        <v>1350</v>
      </c>
      <c r="AE3335" s="196">
        <f t="shared" si="799"/>
        <v>0</v>
      </c>
      <c r="AF3335" s="2">
        <f t="shared" si="800"/>
        <v>1350</v>
      </c>
      <c r="AG3335" s="2">
        <f t="shared" si="801"/>
        <v>0</v>
      </c>
    </row>
    <row r="3336" spans="1:33">
      <c r="A3336" s="20" t="s">
        <v>10829</v>
      </c>
      <c r="B3336" s="150"/>
      <c r="C3336" s="21" t="s">
        <v>16634</v>
      </c>
      <c r="D3336" s="109" t="s">
        <v>16329</v>
      </c>
      <c r="E3336" s="109"/>
      <c r="F3336" s="391" t="s">
        <v>16635</v>
      </c>
      <c r="G3336" s="23" t="s">
        <v>16183</v>
      </c>
      <c r="H3336" s="23" t="s">
        <v>17560</v>
      </c>
      <c r="I3336" s="23" t="s">
        <v>13496</v>
      </c>
      <c r="J3336" s="23" t="s">
        <v>13571</v>
      </c>
      <c r="K3336" s="23"/>
      <c r="L3336" s="375" t="s">
        <v>7787</v>
      </c>
      <c r="M3336" s="351" t="s">
        <v>7787</v>
      </c>
      <c r="N3336" s="267">
        <f t="shared" si="786"/>
        <v>0</v>
      </c>
      <c r="O3336" s="268">
        <f t="shared" si="787"/>
        <v>0</v>
      </c>
      <c r="P3336" s="239"/>
      <c r="Q3336" s="239"/>
      <c r="R3336" s="239"/>
      <c r="S3336" s="239"/>
      <c r="T3336" s="239"/>
      <c r="U3336" s="240"/>
      <c r="V3336" s="239"/>
      <c r="W3336" s="240"/>
      <c r="X3336" s="278"/>
      <c r="Y3336" s="237"/>
      <c r="Z3336" s="237"/>
      <c r="AA3336" s="279"/>
      <c r="AB3336" s="238"/>
      <c r="AC3336" s="196">
        <f t="shared" si="797"/>
        <v>0</v>
      </c>
      <c r="AD3336" s="196">
        <f t="shared" si="798"/>
        <v>0</v>
      </c>
      <c r="AE3336" s="196">
        <f t="shared" si="799"/>
        <v>0</v>
      </c>
      <c r="AF3336" s="2">
        <f t="shared" si="800"/>
        <v>0</v>
      </c>
      <c r="AG3336" s="2">
        <f t="shared" si="801"/>
        <v>0</v>
      </c>
    </row>
    <row r="3337" spans="1:33">
      <c r="A3337" s="20" t="s">
        <v>2795</v>
      </c>
      <c r="B3337" s="150"/>
      <c r="C3337" s="21" t="s">
        <v>838</v>
      </c>
      <c r="D3337" s="109" t="s">
        <v>16251</v>
      </c>
      <c r="E3337" s="109"/>
      <c r="F3337" s="391" t="s">
        <v>16636</v>
      </c>
      <c r="G3337" s="23"/>
      <c r="H3337" s="23"/>
      <c r="I3337" s="23"/>
      <c r="J3337" s="23"/>
      <c r="K3337" s="23"/>
      <c r="L3337" s="375" t="s">
        <v>7787</v>
      </c>
      <c r="M3337" s="351"/>
      <c r="N3337" s="267">
        <f t="shared" si="786"/>
        <v>0</v>
      </c>
      <c r="O3337" s="268">
        <f t="shared" si="787"/>
        <v>0</v>
      </c>
      <c r="P3337" s="239"/>
      <c r="Q3337" s="239"/>
      <c r="R3337" s="239"/>
      <c r="S3337" s="239"/>
      <c r="T3337" s="239"/>
      <c r="U3337" s="240"/>
      <c r="V3337" s="240"/>
      <c r="W3337" s="240"/>
      <c r="X3337" s="278"/>
      <c r="Y3337" s="237"/>
      <c r="Z3337" s="237"/>
      <c r="AA3337" s="279"/>
      <c r="AB3337" s="238"/>
      <c r="AC3337" s="196">
        <f t="shared" si="797"/>
        <v>0</v>
      </c>
      <c r="AD3337" s="196">
        <f t="shared" si="798"/>
        <v>0</v>
      </c>
      <c r="AE3337" s="196">
        <f t="shared" si="799"/>
        <v>0</v>
      </c>
      <c r="AF3337" s="2">
        <f t="shared" si="800"/>
        <v>0</v>
      </c>
      <c r="AG3337" s="2">
        <f t="shared" si="801"/>
        <v>0</v>
      </c>
    </row>
    <row r="3338" spans="1:33">
      <c r="A3338" s="20" t="s">
        <v>2793</v>
      </c>
      <c r="B3338" s="150"/>
      <c r="C3338" s="21" t="s">
        <v>838</v>
      </c>
      <c r="D3338" s="109" t="s">
        <v>16460</v>
      </c>
      <c r="E3338" s="109"/>
      <c r="F3338" s="391" t="s">
        <v>16637</v>
      </c>
      <c r="G3338" s="23" t="s">
        <v>16256</v>
      </c>
      <c r="H3338" s="23" t="s">
        <v>16598</v>
      </c>
      <c r="I3338" s="23" t="s">
        <v>16638</v>
      </c>
      <c r="J3338" s="23"/>
      <c r="K3338" s="23"/>
      <c r="L3338" s="375" t="s">
        <v>45</v>
      </c>
      <c r="M3338" s="351"/>
      <c r="N3338" s="267">
        <f t="shared" si="786"/>
        <v>0</v>
      </c>
      <c r="O3338" s="268">
        <f t="shared" si="787"/>
        <v>0</v>
      </c>
      <c r="P3338" s="239"/>
      <c r="Q3338" s="239"/>
      <c r="R3338" s="239"/>
      <c r="S3338" s="239"/>
      <c r="T3338" s="239"/>
      <c r="U3338" s="239"/>
      <c r="V3338" s="240"/>
      <c r="W3338" s="240"/>
      <c r="X3338" s="278"/>
      <c r="Y3338" s="237"/>
      <c r="Z3338" s="237"/>
      <c r="AA3338" s="279"/>
      <c r="AB3338" s="238"/>
      <c r="AC3338" s="196">
        <f t="shared" si="797"/>
        <v>0</v>
      </c>
      <c r="AD3338" s="196">
        <f t="shared" si="798"/>
        <v>0</v>
      </c>
      <c r="AE3338" s="196">
        <f t="shared" si="799"/>
        <v>0</v>
      </c>
      <c r="AF3338" s="2">
        <f t="shared" si="800"/>
        <v>0</v>
      </c>
      <c r="AG3338" s="2">
        <f t="shared" si="801"/>
        <v>0</v>
      </c>
    </row>
    <row r="3339" spans="1:33">
      <c r="A3339" s="20" t="s">
        <v>2794</v>
      </c>
      <c r="B3339" s="150"/>
      <c r="C3339" s="21" t="s">
        <v>838</v>
      </c>
      <c r="D3339" s="109" t="s">
        <v>16460</v>
      </c>
      <c r="E3339" s="109"/>
      <c r="F3339" s="391" t="s">
        <v>16639</v>
      </c>
      <c r="G3339" s="23" t="s">
        <v>16256</v>
      </c>
      <c r="H3339" s="23" t="s">
        <v>16598</v>
      </c>
      <c r="I3339" s="23" t="s">
        <v>16638</v>
      </c>
      <c r="J3339" s="23"/>
      <c r="K3339" s="23"/>
      <c r="L3339" s="375" t="s">
        <v>7787</v>
      </c>
      <c r="M3339" s="351" t="s">
        <v>7787</v>
      </c>
      <c r="N3339" s="267">
        <f t="shared" si="786"/>
        <v>0</v>
      </c>
      <c r="O3339" s="268">
        <f t="shared" si="787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37"/>
      <c r="Z3339" s="237"/>
      <c r="AA3339" s="279"/>
      <c r="AB3339" s="238"/>
      <c r="AC3339" s="196">
        <f t="shared" si="797"/>
        <v>0</v>
      </c>
      <c r="AD3339" s="196">
        <f t="shared" si="798"/>
        <v>0</v>
      </c>
      <c r="AE3339" s="196">
        <f t="shared" si="799"/>
        <v>0</v>
      </c>
      <c r="AF3339" s="2">
        <f t="shared" si="800"/>
        <v>0</v>
      </c>
      <c r="AG3339" s="2">
        <f t="shared" si="801"/>
        <v>0</v>
      </c>
    </row>
    <row r="3340" spans="1:33">
      <c r="A3340" s="20" t="s">
        <v>11852</v>
      </c>
      <c r="B3340" s="150"/>
      <c r="C3340" s="21" t="s">
        <v>16640</v>
      </c>
      <c r="D3340" s="109" t="s">
        <v>11709</v>
      </c>
      <c r="E3340" s="109" t="s">
        <v>18968</v>
      </c>
      <c r="F3340" s="391" t="s">
        <v>16641</v>
      </c>
      <c r="G3340" s="23" t="s">
        <v>11710</v>
      </c>
      <c r="H3340" s="23" t="s">
        <v>23014</v>
      </c>
      <c r="I3340" s="23"/>
      <c r="J3340" s="23"/>
      <c r="K3340" s="23"/>
      <c r="L3340" s="375" t="s">
        <v>7787</v>
      </c>
      <c r="M3340" s="351" t="s">
        <v>7787</v>
      </c>
      <c r="N3340" s="267">
        <f t="shared" si="786"/>
        <v>0</v>
      </c>
      <c r="O3340" s="268">
        <f t="shared" si="787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40"/>
      <c r="Z3340" s="237"/>
      <c r="AA3340" s="279"/>
      <c r="AB3340" s="238"/>
      <c r="AC3340" s="196">
        <f t="shared" si="797"/>
        <v>0</v>
      </c>
      <c r="AD3340" s="196">
        <f t="shared" si="798"/>
        <v>0</v>
      </c>
      <c r="AE3340" s="196">
        <f t="shared" si="799"/>
        <v>0</v>
      </c>
      <c r="AF3340" s="2">
        <f t="shared" si="800"/>
        <v>0</v>
      </c>
      <c r="AG3340" s="2">
        <f t="shared" si="801"/>
        <v>0</v>
      </c>
    </row>
    <row r="3341" spans="1:33">
      <c r="A3341" s="20" t="s">
        <v>11289</v>
      </c>
      <c r="B3341" s="150"/>
      <c r="C3341" s="21" t="s">
        <v>16642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/>
      <c r="I3341" s="23"/>
      <c r="J3341" s="23"/>
      <c r="K3341" s="23"/>
      <c r="L3341" s="375" t="s">
        <v>7787</v>
      </c>
      <c r="M3341" s="351"/>
      <c r="N3341" s="267">
        <f t="shared" si="786"/>
        <v>0</v>
      </c>
      <c r="O3341" s="268">
        <f t="shared" si="787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279"/>
      <c r="AB3341" s="238" t="s">
        <v>22915</v>
      </c>
      <c r="AC3341" s="196">
        <f t="shared" si="797"/>
        <v>0</v>
      </c>
      <c r="AD3341" s="196">
        <f t="shared" si="798"/>
        <v>0</v>
      </c>
      <c r="AE3341" s="196">
        <f t="shared" si="799"/>
        <v>0</v>
      </c>
      <c r="AF3341" s="2">
        <f t="shared" si="800"/>
        <v>0</v>
      </c>
      <c r="AG3341" s="2">
        <f t="shared" si="801"/>
        <v>0</v>
      </c>
    </row>
    <row r="3342" spans="1:33">
      <c r="A3342" s="20" t="s">
        <v>12092</v>
      </c>
      <c r="B3342" s="150"/>
      <c r="C3342" s="21" t="s">
        <v>16644</v>
      </c>
      <c r="D3342" s="109" t="s">
        <v>16189</v>
      </c>
      <c r="E3342" s="109" t="s">
        <v>18968</v>
      </c>
      <c r="F3342" s="391" t="s">
        <v>16643</v>
      </c>
      <c r="G3342" s="23" t="s">
        <v>16333</v>
      </c>
      <c r="H3342" s="23" t="s">
        <v>16619</v>
      </c>
      <c r="I3342" s="23"/>
      <c r="J3342" s="23"/>
      <c r="K3342" s="23"/>
      <c r="L3342" s="375" t="s">
        <v>7787</v>
      </c>
      <c r="M3342" s="351" t="s">
        <v>7787</v>
      </c>
      <c r="N3342" s="267">
        <f t="shared" si="786"/>
        <v>0</v>
      </c>
      <c r="O3342" s="268">
        <f t="shared" si="787"/>
        <v>0</v>
      </c>
      <c r="P3342" s="239"/>
      <c r="Q3342" s="239"/>
      <c r="R3342" s="239"/>
      <c r="S3342" s="239"/>
      <c r="T3342" s="239"/>
      <c r="U3342" s="240"/>
      <c r="V3342" s="240"/>
      <c r="W3342" s="240"/>
      <c r="X3342" s="278"/>
      <c r="Y3342" s="237"/>
      <c r="Z3342" s="237"/>
      <c r="AA3342" s="279"/>
      <c r="AB3342" s="238"/>
      <c r="AC3342" s="196">
        <f t="shared" si="797"/>
        <v>0</v>
      </c>
      <c r="AD3342" s="196">
        <f t="shared" si="798"/>
        <v>0</v>
      </c>
      <c r="AE3342" s="196">
        <f t="shared" si="799"/>
        <v>0</v>
      </c>
      <c r="AF3342" s="2">
        <f t="shared" si="800"/>
        <v>0</v>
      </c>
      <c r="AG3342" s="2">
        <f t="shared" si="801"/>
        <v>0</v>
      </c>
    </row>
    <row r="3343" spans="1:33">
      <c r="A3343" s="20" t="s">
        <v>12250</v>
      </c>
      <c r="B3343" s="150"/>
      <c r="C3343" s="21" t="s">
        <v>12283</v>
      </c>
      <c r="D3343" s="109" t="s">
        <v>16189</v>
      </c>
      <c r="E3343" s="109" t="s">
        <v>18968</v>
      </c>
      <c r="F3343" s="391" t="s">
        <v>16643</v>
      </c>
      <c r="G3343" s="23" t="s">
        <v>16333</v>
      </c>
      <c r="H3343" s="23"/>
      <c r="I3343" s="23"/>
      <c r="J3343" s="23"/>
      <c r="K3343" s="23"/>
      <c r="L3343" s="375" t="s">
        <v>7787</v>
      </c>
      <c r="M3343" s="351" t="s">
        <v>7787</v>
      </c>
      <c r="N3343" s="267">
        <f t="shared" si="786"/>
        <v>0</v>
      </c>
      <c r="O3343" s="268">
        <f t="shared" si="787"/>
        <v>0</v>
      </c>
      <c r="P3343" s="239"/>
      <c r="Q3343" s="239"/>
      <c r="R3343" s="239"/>
      <c r="S3343" s="239"/>
      <c r="T3343" s="239"/>
      <c r="U3343" s="240"/>
      <c r="V3343" s="240"/>
      <c r="W3343" s="240"/>
      <c r="X3343" s="278"/>
      <c r="Y3343" s="237"/>
      <c r="Z3343" s="237"/>
      <c r="AA3343" s="424"/>
      <c r="AB3343" s="238"/>
      <c r="AC3343" s="196">
        <f t="shared" si="797"/>
        <v>0</v>
      </c>
      <c r="AD3343" s="196">
        <f t="shared" si="798"/>
        <v>0</v>
      </c>
      <c r="AE3343" s="196">
        <f t="shared" si="799"/>
        <v>0</v>
      </c>
      <c r="AF3343" s="2">
        <f t="shared" si="800"/>
        <v>0</v>
      </c>
      <c r="AG3343" s="2">
        <f t="shared" si="801"/>
        <v>0</v>
      </c>
    </row>
    <row r="3344" spans="1:33">
      <c r="A3344" s="20" t="s">
        <v>11301</v>
      </c>
      <c r="B3344" s="150"/>
      <c r="C3344" s="21" t="s">
        <v>16645</v>
      </c>
      <c r="D3344" s="109" t="s">
        <v>16073</v>
      </c>
      <c r="E3344" s="109"/>
      <c r="F3344" s="391" t="s">
        <v>16646</v>
      </c>
      <c r="G3344" s="23" t="s">
        <v>16285</v>
      </c>
      <c r="H3344" s="23" t="s">
        <v>15621</v>
      </c>
      <c r="I3344" s="23"/>
      <c r="J3344" s="23"/>
      <c r="K3344" s="23"/>
      <c r="L3344" s="375"/>
      <c r="M3344" s="351" t="s">
        <v>7787</v>
      </c>
      <c r="N3344" s="267">
        <f t="shared" si="786"/>
        <v>0</v>
      </c>
      <c r="O3344" s="268">
        <f t="shared" si="787"/>
        <v>2500</v>
      </c>
      <c r="P3344" s="239"/>
      <c r="Q3344" s="239"/>
      <c r="R3344" s="239">
        <f>3000-500</f>
        <v>2500</v>
      </c>
      <c r="S3344" s="239"/>
      <c r="T3344" s="239"/>
      <c r="U3344" s="240"/>
      <c r="V3344" s="240"/>
      <c r="W3344" s="240"/>
      <c r="X3344" s="278"/>
      <c r="Y3344" s="237"/>
      <c r="Z3344" s="237"/>
      <c r="AA3344" s="279"/>
      <c r="AB3344" s="238" t="s">
        <v>25419</v>
      </c>
      <c r="AC3344" s="196">
        <f t="shared" si="797"/>
        <v>2500</v>
      </c>
      <c r="AD3344" s="196">
        <f t="shared" si="798"/>
        <v>2500</v>
      </c>
      <c r="AE3344" s="196">
        <f t="shared" si="799"/>
        <v>0</v>
      </c>
      <c r="AF3344" s="2">
        <f t="shared" si="800"/>
        <v>2500</v>
      </c>
      <c r="AG3344" s="2">
        <f t="shared" si="801"/>
        <v>0</v>
      </c>
    </row>
    <row r="3345" spans="1:33">
      <c r="A3345" s="20" t="s">
        <v>11538</v>
      </c>
      <c r="B3345" s="150"/>
      <c r="C3345" s="21" t="s">
        <v>11558</v>
      </c>
      <c r="D3345" s="109" t="s">
        <v>16073</v>
      </c>
      <c r="E3345" s="109"/>
      <c r="F3345" s="391" t="s">
        <v>16647</v>
      </c>
      <c r="G3345" s="23" t="s">
        <v>16183</v>
      </c>
      <c r="H3345" s="23" t="s">
        <v>16413</v>
      </c>
      <c r="I3345" s="23" t="s">
        <v>15379</v>
      </c>
      <c r="J3345" s="23"/>
      <c r="K3345" s="23"/>
      <c r="L3345" s="375" t="s">
        <v>45</v>
      </c>
      <c r="M3345" s="351" t="s">
        <v>7787</v>
      </c>
      <c r="N3345" s="267">
        <f t="shared" ref="N3345:N3409" si="802">SUM(L3345:M3345)</f>
        <v>0</v>
      </c>
      <c r="O3345" s="268">
        <f t="shared" ref="O3345:O3409" si="803">SUM(P3345:Z3345)</f>
        <v>150</v>
      </c>
      <c r="P3345" s="239"/>
      <c r="Q3345" s="239">
        <f>300-50-100+300-250-50</f>
        <v>150</v>
      </c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79"/>
      <c r="AB3345" s="238" t="s">
        <v>25283</v>
      </c>
      <c r="AC3345" s="196">
        <f t="shared" si="797"/>
        <v>150</v>
      </c>
      <c r="AD3345" s="196">
        <f t="shared" si="798"/>
        <v>150</v>
      </c>
      <c r="AE3345" s="196">
        <f t="shared" si="799"/>
        <v>0</v>
      </c>
      <c r="AF3345" s="2">
        <f t="shared" si="800"/>
        <v>150</v>
      </c>
      <c r="AG3345" s="2">
        <f t="shared" si="801"/>
        <v>0</v>
      </c>
    </row>
    <row r="3346" spans="1:33">
      <c r="A3346" s="20" t="s">
        <v>11016</v>
      </c>
      <c r="B3346" s="150"/>
      <c r="C3346" s="21" t="s">
        <v>16648</v>
      </c>
      <c r="D3346" s="109" t="s">
        <v>16279</v>
      </c>
      <c r="E3346" s="109"/>
      <c r="F3346" s="391" t="s">
        <v>16649</v>
      </c>
      <c r="G3346" s="23" t="s">
        <v>15962</v>
      </c>
      <c r="H3346" s="23"/>
      <c r="I3346" s="23"/>
      <c r="J3346" s="23"/>
      <c r="K3346" s="23"/>
      <c r="L3346" s="375" t="s">
        <v>7787</v>
      </c>
      <c r="M3346" s="351" t="s">
        <v>7787</v>
      </c>
      <c r="N3346" s="267">
        <f t="shared" si="802"/>
        <v>0</v>
      </c>
      <c r="O3346" s="268">
        <f t="shared" si="803"/>
        <v>0</v>
      </c>
      <c r="P3346" s="239"/>
      <c r="Q3346" s="239"/>
      <c r="R3346" s="239"/>
      <c r="S3346" s="239"/>
      <c r="T3346" s="239"/>
      <c r="U3346" s="240"/>
      <c r="V3346" s="240"/>
      <c r="W3346" s="240"/>
      <c r="X3346" s="278"/>
      <c r="Y3346" s="237"/>
      <c r="Z3346" s="237"/>
      <c r="AA3346" s="240"/>
      <c r="AB3346" s="238"/>
      <c r="AC3346" s="196">
        <f t="shared" si="797"/>
        <v>0</v>
      </c>
      <c r="AD3346" s="196">
        <f t="shared" si="798"/>
        <v>0</v>
      </c>
      <c r="AE3346" s="196">
        <f t="shared" si="799"/>
        <v>0</v>
      </c>
      <c r="AF3346" s="2">
        <f t="shared" si="800"/>
        <v>0</v>
      </c>
      <c r="AG3346" s="2">
        <f t="shared" si="801"/>
        <v>0</v>
      </c>
    </row>
    <row r="3347" spans="1:33">
      <c r="A3347" s="20" t="s">
        <v>11539</v>
      </c>
      <c r="B3347" s="150"/>
      <c r="C3347" s="21" t="s">
        <v>16650</v>
      </c>
      <c r="D3347" s="109" t="s">
        <v>16073</v>
      </c>
      <c r="E3347" s="109"/>
      <c r="F3347" s="391" t="s">
        <v>16651</v>
      </c>
      <c r="G3347" s="23" t="s">
        <v>16557</v>
      </c>
      <c r="H3347" s="23" t="s">
        <v>16291</v>
      </c>
      <c r="I3347" s="23"/>
      <c r="J3347" s="23"/>
      <c r="K3347" s="23"/>
      <c r="L3347" s="375" t="s">
        <v>7787</v>
      </c>
      <c r="M3347" s="351"/>
      <c r="N3347" s="267">
        <f t="shared" si="802"/>
        <v>0</v>
      </c>
      <c r="O3347" s="268">
        <f t="shared" si="803"/>
        <v>600</v>
      </c>
      <c r="P3347" s="239"/>
      <c r="Q3347" s="239">
        <f>250-100+800-250-100</f>
        <v>600</v>
      </c>
      <c r="R3347" s="239"/>
      <c r="S3347" s="239"/>
      <c r="T3347" s="239"/>
      <c r="U3347" s="240"/>
      <c r="V3347" s="240"/>
      <c r="W3347" s="240"/>
      <c r="X3347" s="278"/>
      <c r="Y3347" s="237"/>
      <c r="Z3347" s="237"/>
      <c r="AA3347" s="279"/>
      <c r="AB3347" s="238" t="s">
        <v>24815</v>
      </c>
      <c r="AC3347" s="196">
        <f t="shared" si="797"/>
        <v>600</v>
      </c>
      <c r="AD3347" s="196">
        <f t="shared" si="798"/>
        <v>600</v>
      </c>
      <c r="AE3347" s="196">
        <f t="shared" si="799"/>
        <v>0</v>
      </c>
      <c r="AF3347" s="2">
        <f t="shared" si="800"/>
        <v>600</v>
      </c>
      <c r="AG3347" s="2">
        <f t="shared" si="801"/>
        <v>0</v>
      </c>
    </row>
    <row r="3348" spans="1:33">
      <c r="A3348" s="20" t="s">
        <v>11540</v>
      </c>
      <c r="B3348" s="150"/>
      <c r="C3348" s="21" t="s">
        <v>16652</v>
      </c>
      <c r="D3348" s="109" t="s">
        <v>16073</v>
      </c>
      <c r="E3348" s="109"/>
      <c r="F3348" s="391" t="s">
        <v>16651</v>
      </c>
      <c r="G3348" s="23" t="s">
        <v>16183</v>
      </c>
      <c r="H3348" s="23" t="s">
        <v>16291</v>
      </c>
      <c r="I3348" s="23"/>
      <c r="J3348" s="23"/>
      <c r="K3348" s="23"/>
      <c r="L3348" s="375" t="s">
        <v>7787</v>
      </c>
      <c r="M3348" s="351" t="s">
        <v>7787</v>
      </c>
      <c r="N3348" s="267">
        <f t="shared" si="802"/>
        <v>0</v>
      </c>
      <c r="O3348" s="268">
        <f t="shared" si="803"/>
        <v>350</v>
      </c>
      <c r="P3348" s="239"/>
      <c r="Q3348" s="239">
        <f>600-250</f>
        <v>350</v>
      </c>
      <c r="R3348" s="239"/>
      <c r="S3348" s="239"/>
      <c r="T3348" s="239"/>
      <c r="U3348" s="240"/>
      <c r="V3348" s="239"/>
      <c r="W3348" s="240"/>
      <c r="X3348" s="278"/>
      <c r="Y3348" s="237"/>
      <c r="Z3348" s="237"/>
      <c r="AA3348" s="279"/>
      <c r="AB3348" s="238" t="s">
        <v>24946</v>
      </c>
      <c r="AC3348" s="196">
        <f t="shared" si="797"/>
        <v>350</v>
      </c>
      <c r="AD3348" s="196">
        <f t="shared" si="798"/>
        <v>350</v>
      </c>
      <c r="AE3348" s="196">
        <f t="shared" si="799"/>
        <v>0</v>
      </c>
      <c r="AF3348" s="2">
        <f t="shared" si="800"/>
        <v>350</v>
      </c>
      <c r="AG3348" s="2">
        <f t="shared" si="801"/>
        <v>0</v>
      </c>
    </row>
    <row r="3349" spans="1:33">
      <c r="A3349" s="20" t="s">
        <v>11853</v>
      </c>
      <c r="B3349" s="150"/>
      <c r="C3349" s="21" t="s">
        <v>16653</v>
      </c>
      <c r="D3349" s="109" t="s">
        <v>16279</v>
      </c>
      <c r="E3349" s="109"/>
      <c r="F3349" s="391" t="s">
        <v>16654</v>
      </c>
      <c r="G3349" s="23" t="s">
        <v>16183</v>
      </c>
      <c r="H3349" s="23" t="s">
        <v>13565</v>
      </c>
      <c r="I3349" s="23"/>
      <c r="J3349" s="23"/>
      <c r="K3349" s="23"/>
      <c r="L3349" s="375" t="s">
        <v>7787</v>
      </c>
      <c r="M3349" s="351"/>
      <c r="N3349" s="267">
        <f t="shared" si="802"/>
        <v>0</v>
      </c>
      <c r="O3349" s="268">
        <f t="shared" si="803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7"/>
        <v>0</v>
      </c>
      <c r="AD3349" s="196">
        <f t="shared" si="798"/>
        <v>0</v>
      </c>
      <c r="AE3349" s="196">
        <f t="shared" si="799"/>
        <v>0</v>
      </c>
      <c r="AF3349" s="2">
        <f t="shared" si="800"/>
        <v>0</v>
      </c>
      <c r="AG3349" s="2">
        <f t="shared" si="801"/>
        <v>0</v>
      </c>
    </row>
    <row r="3350" spans="1:33">
      <c r="A3350" s="20" t="s">
        <v>2781</v>
      </c>
      <c r="B3350" s="150"/>
      <c r="C3350" s="21" t="s">
        <v>16655</v>
      </c>
      <c r="D3350" s="109" t="s">
        <v>16442</v>
      </c>
      <c r="E3350" s="109"/>
      <c r="F3350" s="391" t="s">
        <v>16444</v>
      </c>
      <c r="G3350" s="23"/>
      <c r="H3350" s="23"/>
      <c r="I3350" s="23"/>
      <c r="J3350" s="23"/>
      <c r="K3350" s="23"/>
      <c r="L3350" s="350"/>
      <c r="M3350" s="351"/>
      <c r="N3350" s="267">
        <f t="shared" si="802"/>
        <v>0</v>
      </c>
      <c r="O3350" s="268">
        <f t="shared" si="803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79"/>
      <c r="AB3350" s="238"/>
      <c r="AC3350" s="196">
        <f t="shared" si="797"/>
        <v>0</v>
      </c>
      <c r="AD3350" s="196">
        <f t="shared" si="798"/>
        <v>0</v>
      </c>
      <c r="AE3350" s="196">
        <f t="shared" si="799"/>
        <v>0</v>
      </c>
      <c r="AF3350" s="2">
        <f t="shared" si="800"/>
        <v>0</v>
      </c>
      <c r="AG3350" s="2">
        <f t="shared" si="801"/>
        <v>0</v>
      </c>
    </row>
    <row r="3351" spans="1:33">
      <c r="A3351" s="20" t="s">
        <v>2782</v>
      </c>
      <c r="B3351" s="150"/>
      <c r="C3351" s="21" t="s">
        <v>16655</v>
      </c>
      <c r="D3351" s="109" t="s">
        <v>16656</v>
      </c>
      <c r="E3351" s="109"/>
      <c r="F3351" s="391" t="s">
        <v>16444</v>
      </c>
      <c r="G3351" s="23"/>
      <c r="H3351" s="23"/>
      <c r="I3351" s="23"/>
      <c r="J3351" s="23"/>
      <c r="K3351" s="23"/>
      <c r="L3351" s="350"/>
      <c r="M3351" s="351"/>
      <c r="N3351" s="267">
        <f t="shared" si="802"/>
        <v>0</v>
      </c>
      <c r="O3351" s="268">
        <f t="shared" si="803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79"/>
      <c r="AB3351" s="238"/>
      <c r="AC3351" s="196">
        <f t="shared" si="797"/>
        <v>0</v>
      </c>
      <c r="AD3351" s="196">
        <f t="shared" si="798"/>
        <v>0</v>
      </c>
      <c r="AE3351" s="196">
        <f t="shared" si="799"/>
        <v>0</v>
      </c>
      <c r="AF3351" s="2">
        <f t="shared" si="800"/>
        <v>0</v>
      </c>
      <c r="AG3351" s="2">
        <f t="shared" si="801"/>
        <v>0</v>
      </c>
    </row>
    <row r="3352" spans="1:33">
      <c r="A3352" s="20" t="s">
        <v>2807</v>
      </c>
      <c r="B3352" s="156" t="s">
        <v>16657</v>
      </c>
      <c r="C3352" s="21" t="s">
        <v>706</v>
      </c>
      <c r="D3352" s="109" t="s">
        <v>16376</v>
      </c>
      <c r="E3352" s="109" t="s">
        <v>16658</v>
      </c>
      <c r="F3352" s="391" t="s">
        <v>16659</v>
      </c>
      <c r="G3352" s="23" t="s">
        <v>16454</v>
      </c>
      <c r="H3352" s="23"/>
      <c r="I3352" s="23"/>
      <c r="J3352" s="23"/>
      <c r="K3352" s="23"/>
      <c r="L3352" s="375" t="s">
        <v>7787</v>
      </c>
      <c r="M3352" s="351" t="s">
        <v>7787</v>
      </c>
      <c r="N3352" s="267">
        <f t="shared" si="802"/>
        <v>0</v>
      </c>
      <c r="O3352" s="268">
        <f t="shared" si="803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92"/>
      <c r="AB3352" s="238"/>
      <c r="AC3352" s="196">
        <f t="shared" si="797"/>
        <v>0</v>
      </c>
      <c r="AD3352" s="196">
        <f t="shared" si="798"/>
        <v>0</v>
      </c>
      <c r="AE3352" s="196">
        <f t="shared" si="799"/>
        <v>0</v>
      </c>
      <c r="AF3352" s="2">
        <f t="shared" si="800"/>
        <v>0</v>
      </c>
      <c r="AG3352" s="2">
        <f t="shared" si="801"/>
        <v>0</v>
      </c>
    </row>
    <row r="3353" spans="1:33">
      <c r="A3353" s="20" t="s">
        <v>2805</v>
      </c>
      <c r="B3353" s="150"/>
      <c r="C3353" s="21" t="s">
        <v>706</v>
      </c>
      <c r="D3353" s="109" t="s">
        <v>16376</v>
      </c>
      <c r="E3353" s="109" t="s">
        <v>16481</v>
      </c>
      <c r="F3353" s="391" t="s">
        <v>16659</v>
      </c>
      <c r="G3353" s="23"/>
      <c r="H3353" s="23"/>
      <c r="I3353" s="23"/>
      <c r="J3353" s="23"/>
      <c r="K3353" s="23"/>
      <c r="L3353" s="350"/>
      <c r="M3353" s="351"/>
      <c r="N3353" s="267">
        <f t="shared" si="802"/>
        <v>0</v>
      </c>
      <c r="O3353" s="268">
        <f t="shared" si="803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79"/>
      <c r="AB3353" s="238"/>
      <c r="AC3353" s="196">
        <f t="shared" si="797"/>
        <v>0</v>
      </c>
      <c r="AD3353" s="196">
        <f t="shared" si="798"/>
        <v>0</v>
      </c>
      <c r="AE3353" s="196">
        <f t="shared" si="799"/>
        <v>0</v>
      </c>
      <c r="AF3353" s="2">
        <f t="shared" si="800"/>
        <v>0</v>
      </c>
      <c r="AG3353" s="2">
        <f t="shared" si="801"/>
        <v>0</v>
      </c>
    </row>
    <row r="3354" spans="1:33">
      <c r="A3354" s="20" t="s">
        <v>2806</v>
      </c>
      <c r="B3354" s="150"/>
      <c r="C3354" s="21" t="s">
        <v>706</v>
      </c>
      <c r="D3354" s="109" t="s">
        <v>16376</v>
      </c>
      <c r="E3354" s="109" t="s">
        <v>16660</v>
      </c>
      <c r="F3354" s="391" t="s">
        <v>16659</v>
      </c>
      <c r="G3354" s="23"/>
      <c r="H3354" s="23"/>
      <c r="I3354" s="23"/>
      <c r="J3354" s="23"/>
      <c r="K3354" s="23"/>
      <c r="L3354" s="350"/>
      <c r="M3354" s="351"/>
      <c r="N3354" s="267">
        <f t="shared" si="802"/>
        <v>0</v>
      </c>
      <c r="O3354" s="268">
        <f t="shared" si="803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79"/>
      <c r="AB3354" s="238"/>
      <c r="AC3354" s="196">
        <f t="shared" si="797"/>
        <v>0</v>
      </c>
      <c r="AD3354" s="196">
        <f t="shared" si="798"/>
        <v>0</v>
      </c>
      <c r="AE3354" s="196">
        <f t="shared" si="799"/>
        <v>0</v>
      </c>
      <c r="AF3354" s="2">
        <f t="shared" si="800"/>
        <v>0</v>
      </c>
      <c r="AG3354" s="2">
        <f t="shared" si="801"/>
        <v>0</v>
      </c>
    </row>
    <row r="3355" spans="1:33">
      <c r="A3355" s="20" t="s">
        <v>2804</v>
      </c>
      <c r="B3355" s="150"/>
      <c r="C3355" s="21" t="s">
        <v>706</v>
      </c>
      <c r="D3355" s="109" t="s">
        <v>16376</v>
      </c>
      <c r="E3355" s="109" t="s">
        <v>15965</v>
      </c>
      <c r="F3355" s="391" t="s">
        <v>16659</v>
      </c>
      <c r="G3355" s="23" t="s">
        <v>16454</v>
      </c>
      <c r="H3355" s="23"/>
      <c r="I3355" s="23"/>
      <c r="J3355" s="23"/>
      <c r="K3355" s="23"/>
      <c r="L3355" s="350"/>
      <c r="M3355" s="357" t="s">
        <v>7787</v>
      </c>
      <c r="N3355" s="267">
        <f t="shared" si="802"/>
        <v>0</v>
      </c>
      <c r="O3355" s="268">
        <f t="shared" si="803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85"/>
      <c r="AB3355" s="238"/>
      <c r="AC3355" s="196">
        <f t="shared" si="797"/>
        <v>0</v>
      </c>
      <c r="AD3355" s="196">
        <f t="shared" si="798"/>
        <v>0</v>
      </c>
      <c r="AE3355" s="196">
        <f t="shared" si="799"/>
        <v>0</v>
      </c>
      <c r="AF3355" s="2">
        <f t="shared" si="800"/>
        <v>0</v>
      </c>
      <c r="AG3355" s="2">
        <f t="shared" si="801"/>
        <v>0</v>
      </c>
    </row>
    <row r="3356" spans="1:33">
      <c r="A3356" s="20" t="s">
        <v>2796</v>
      </c>
      <c r="B3356" s="150"/>
      <c r="C3356" s="21" t="s">
        <v>706</v>
      </c>
      <c r="D3356" s="109" t="s">
        <v>16442</v>
      </c>
      <c r="E3356" s="109"/>
      <c r="F3356" s="391" t="s">
        <v>16659</v>
      </c>
      <c r="G3356" s="23"/>
      <c r="H3356" s="23"/>
      <c r="I3356" s="23"/>
      <c r="J3356" s="23"/>
      <c r="K3356" s="23"/>
      <c r="L3356" s="350"/>
      <c r="M3356" s="351" t="s">
        <v>7787</v>
      </c>
      <c r="N3356" s="267">
        <f t="shared" si="802"/>
        <v>0</v>
      </c>
      <c r="O3356" s="268">
        <f t="shared" si="803"/>
        <v>0</v>
      </c>
      <c r="P3356" s="239"/>
      <c r="Q3356" s="239"/>
      <c r="R3356" s="239"/>
      <c r="S3356" s="239"/>
      <c r="T3356" s="239"/>
      <c r="U3356" s="240"/>
      <c r="V3356" s="240"/>
      <c r="W3356" s="240"/>
      <c r="X3356" s="278"/>
      <c r="Y3356" s="237"/>
      <c r="Z3356" s="237"/>
      <c r="AA3356" s="279"/>
      <c r="AB3356" s="238"/>
      <c r="AC3356" s="196">
        <f t="shared" si="797"/>
        <v>0</v>
      </c>
      <c r="AD3356" s="196">
        <f t="shared" si="798"/>
        <v>0</v>
      </c>
      <c r="AE3356" s="196">
        <f t="shared" si="799"/>
        <v>0</v>
      </c>
      <c r="AF3356" s="2">
        <f t="shared" si="800"/>
        <v>0</v>
      </c>
      <c r="AG3356" s="2">
        <f t="shared" si="801"/>
        <v>0</v>
      </c>
    </row>
    <row r="3357" spans="1:33">
      <c r="A3357" s="20" t="s">
        <v>2800</v>
      </c>
      <c r="B3357" s="150"/>
      <c r="C3357" s="21" t="s">
        <v>706</v>
      </c>
      <c r="D3357" s="109" t="s">
        <v>16656</v>
      </c>
      <c r="E3357" s="109"/>
      <c r="F3357" s="391" t="s">
        <v>16659</v>
      </c>
      <c r="G3357" s="23" t="s">
        <v>16454</v>
      </c>
      <c r="H3357" s="23" t="s">
        <v>16183</v>
      </c>
      <c r="I3357" s="23"/>
      <c r="J3357" s="23"/>
      <c r="K3357" s="23"/>
      <c r="L3357" s="375"/>
      <c r="M3357" s="351" t="s">
        <v>7787</v>
      </c>
      <c r="N3357" s="267">
        <f t="shared" si="802"/>
        <v>0</v>
      </c>
      <c r="O3357" s="268">
        <f t="shared" si="803"/>
        <v>0</v>
      </c>
      <c r="P3357" s="239"/>
      <c r="Q3357" s="239"/>
      <c r="R3357" s="239"/>
      <c r="S3357" s="239"/>
      <c r="T3357" s="239"/>
      <c r="U3357" s="240"/>
      <c r="V3357" s="240"/>
      <c r="W3357" s="240"/>
      <c r="X3357" s="278"/>
      <c r="Y3357" s="237"/>
      <c r="Z3357" s="237"/>
      <c r="AA3357" s="279"/>
      <c r="AB3357" s="238"/>
      <c r="AC3357" s="196">
        <f t="shared" si="797"/>
        <v>0</v>
      </c>
      <c r="AD3357" s="196">
        <f t="shared" si="798"/>
        <v>0</v>
      </c>
      <c r="AE3357" s="196">
        <f t="shared" si="799"/>
        <v>0</v>
      </c>
      <c r="AF3357" s="2">
        <f t="shared" si="800"/>
        <v>0</v>
      </c>
      <c r="AG3357" s="2">
        <f t="shared" si="801"/>
        <v>0</v>
      </c>
    </row>
    <row r="3358" spans="1:33">
      <c r="A3358" s="20" t="s">
        <v>2798</v>
      </c>
      <c r="B3358" s="156" t="s">
        <v>16661</v>
      </c>
      <c r="C3358" s="21" t="s">
        <v>706</v>
      </c>
      <c r="D3358" s="109" t="s">
        <v>15161</v>
      </c>
      <c r="E3358" s="109" t="s">
        <v>26624</v>
      </c>
      <c r="F3358" s="391" t="s">
        <v>16662</v>
      </c>
      <c r="G3358" s="23" t="s">
        <v>17848</v>
      </c>
      <c r="H3358" s="23" t="s">
        <v>16416</v>
      </c>
      <c r="I3358" s="23" t="s">
        <v>16516</v>
      </c>
      <c r="J3358" s="23" t="s">
        <v>16663</v>
      </c>
      <c r="K3358" s="23" t="s">
        <v>16664</v>
      </c>
      <c r="L3358" s="375" t="s">
        <v>7787</v>
      </c>
      <c r="M3358" s="351" t="s">
        <v>7787</v>
      </c>
      <c r="N3358" s="267">
        <f t="shared" si="802"/>
        <v>0</v>
      </c>
      <c r="O3358" s="268">
        <f t="shared" si="803"/>
        <v>1000</v>
      </c>
      <c r="P3358" s="239"/>
      <c r="Q3358" s="239"/>
      <c r="R3358" s="239"/>
      <c r="S3358" s="239"/>
      <c r="T3358" s="239"/>
      <c r="U3358" s="239">
        <f>5400-5000+2600-250-850-900</f>
        <v>1000</v>
      </c>
      <c r="V3358" s="240"/>
      <c r="W3358" s="240"/>
      <c r="X3358" s="278"/>
      <c r="Y3358" s="239"/>
      <c r="Z3358" s="237"/>
      <c r="AA3358" s="279"/>
      <c r="AB3358" s="238" t="s">
        <v>27630</v>
      </c>
      <c r="AC3358" s="196">
        <f t="shared" si="797"/>
        <v>1000</v>
      </c>
      <c r="AD3358" s="196">
        <f t="shared" si="798"/>
        <v>1000</v>
      </c>
      <c r="AE3358" s="196">
        <f t="shared" si="799"/>
        <v>0</v>
      </c>
      <c r="AF3358" s="2">
        <f t="shared" si="800"/>
        <v>1000</v>
      </c>
      <c r="AG3358" s="2">
        <f t="shared" si="801"/>
        <v>0</v>
      </c>
    </row>
    <row r="3359" spans="1:33">
      <c r="A3359" s="20" t="s">
        <v>2799</v>
      </c>
      <c r="B3359" s="150"/>
      <c r="C3359" s="21" t="s">
        <v>706</v>
      </c>
      <c r="D3359" s="109" t="s">
        <v>15167</v>
      </c>
      <c r="E3359" s="109" t="s">
        <v>25971</v>
      </c>
      <c r="F3359" s="391" t="s">
        <v>16659</v>
      </c>
      <c r="G3359" s="23" t="s">
        <v>15621</v>
      </c>
      <c r="H3359" s="23" t="s">
        <v>16665</v>
      </c>
      <c r="I3359" s="23" t="s">
        <v>13507</v>
      </c>
      <c r="J3359" s="23" t="s">
        <v>13350</v>
      </c>
      <c r="K3359" s="23" t="s">
        <v>26915</v>
      </c>
      <c r="L3359" s="375"/>
      <c r="M3359" s="351" t="s">
        <v>7787</v>
      </c>
      <c r="N3359" s="267">
        <f t="shared" si="802"/>
        <v>0</v>
      </c>
      <c r="O3359" s="268">
        <f t="shared" si="803"/>
        <v>3200</v>
      </c>
      <c r="P3359" s="239"/>
      <c r="Q3359" s="239"/>
      <c r="R3359" s="239">
        <f>5000-500-200-800-200-200-1000-900+2000</f>
        <v>3200</v>
      </c>
      <c r="S3359" s="239"/>
      <c r="T3359" s="239"/>
      <c r="U3359" s="240"/>
      <c r="V3359" s="240"/>
      <c r="W3359" s="240"/>
      <c r="X3359" s="278"/>
      <c r="Y3359" s="237"/>
      <c r="Z3359" s="237"/>
      <c r="AA3359" s="279"/>
      <c r="AB3359" s="238" t="s">
        <v>27742</v>
      </c>
      <c r="AC3359" s="196">
        <f t="shared" si="797"/>
        <v>3200</v>
      </c>
      <c r="AD3359" s="196">
        <f t="shared" si="798"/>
        <v>3200</v>
      </c>
      <c r="AE3359" s="196">
        <f t="shared" si="799"/>
        <v>0</v>
      </c>
      <c r="AF3359" s="2">
        <f t="shared" si="800"/>
        <v>3200</v>
      </c>
      <c r="AG3359" s="2">
        <f t="shared" si="801"/>
        <v>0</v>
      </c>
    </row>
    <row r="3360" spans="1:33">
      <c r="A3360" s="20" t="s">
        <v>2802</v>
      </c>
      <c r="B3360" s="150"/>
      <c r="C3360" s="21" t="s">
        <v>706</v>
      </c>
      <c r="D3360" s="109" t="s">
        <v>16363</v>
      </c>
      <c r="E3360" s="109"/>
      <c r="F3360" s="391" t="s">
        <v>16659</v>
      </c>
      <c r="G3360" s="23" t="s">
        <v>16192</v>
      </c>
      <c r="H3360" s="23" t="s">
        <v>16379</v>
      </c>
      <c r="I3360" s="23"/>
      <c r="J3360" s="23"/>
      <c r="K3360" s="23"/>
      <c r="L3360" s="375" t="s">
        <v>7787</v>
      </c>
      <c r="M3360" s="351" t="s">
        <v>7787</v>
      </c>
      <c r="N3360" s="267">
        <f t="shared" si="802"/>
        <v>0</v>
      </c>
      <c r="O3360" s="268">
        <f t="shared" si="803"/>
        <v>0</v>
      </c>
      <c r="P3360" s="239"/>
      <c r="Q3360" s="239"/>
      <c r="R3360" s="239"/>
      <c r="S3360" s="239"/>
      <c r="T3360" s="239"/>
      <c r="U3360" s="240"/>
      <c r="V3360" s="240"/>
      <c r="W3360" s="240"/>
      <c r="X3360" s="278"/>
      <c r="Y3360" s="237"/>
      <c r="Z3360" s="237"/>
      <c r="AA3360" s="239"/>
      <c r="AB3360" s="238"/>
      <c r="AC3360" s="196">
        <f t="shared" si="797"/>
        <v>0</v>
      </c>
      <c r="AD3360" s="196">
        <f t="shared" si="798"/>
        <v>0</v>
      </c>
      <c r="AE3360" s="196">
        <f t="shared" si="799"/>
        <v>0</v>
      </c>
      <c r="AF3360" s="2">
        <f t="shared" si="800"/>
        <v>0</v>
      </c>
      <c r="AG3360" s="2">
        <f t="shared" si="801"/>
        <v>0</v>
      </c>
    </row>
    <row r="3361" spans="1:33">
      <c r="A3361" s="20" t="s">
        <v>2803</v>
      </c>
      <c r="B3361" s="150"/>
      <c r="C3361" s="21" t="s">
        <v>706</v>
      </c>
      <c r="D3361" s="109" t="s">
        <v>16363</v>
      </c>
      <c r="E3361" s="109"/>
      <c r="F3361" s="391" t="s">
        <v>16659</v>
      </c>
      <c r="G3361" s="23" t="s">
        <v>16379</v>
      </c>
      <c r="H3361" s="23"/>
      <c r="I3361" s="23"/>
      <c r="J3361" s="23"/>
      <c r="K3361" s="23"/>
      <c r="L3361" s="375" t="s">
        <v>7787</v>
      </c>
      <c r="M3361" s="351"/>
      <c r="N3361" s="267">
        <f t="shared" si="802"/>
        <v>0</v>
      </c>
      <c r="O3361" s="268">
        <f t="shared" si="803"/>
        <v>0</v>
      </c>
      <c r="P3361" s="239"/>
      <c r="Q3361" s="239"/>
      <c r="R3361" s="239"/>
      <c r="S3361" s="239"/>
      <c r="T3361" s="239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7"/>
        <v>0</v>
      </c>
      <c r="AD3361" s="196">
        <f t="shared" si="798"/>
        <v>0</v>
      </c>
      <c r="AE3361" s="196">
        <f t="shared" si="799"/>
        <v>0</v>
      </c>
      <c r="AF3361" s="2">
        <f t="shared" si="800"/>
        <v>0</v>
      </c>
      <c r="AG3361" s="2">
        <f t="shared" si="801"/>
        <v>0</v>
      </c>
    </row>
    <row r="3362" spans="1:33">
      <c r="A3362" s="20" t="s">
        <v>2797</v>
      </c>
      <c r="B3362" s="156" t="s">
        <v>16666</v>
      </c>
      <c r="C3362" s="21" t="s">
        <v>706</v>
      </c>
      <c r="D3362" s="109" t="s">
        <v>16667</v>
      </c>
      <c r="E3362" s="109"/>
      <c r="F3362" s="391" t="s">
        <v>16668</v>
      </c>
      <c r="G3362" s="23" t="s">
        <v>17405</v>
      </c>
      <c r="H3362" s="23" t="s">
        <v>15802</v>
      </c>
      <c r="I3362" s="23" t="s">
        <v>20874</v>
      </c>
      <c r="J3362" s="23" t="s">
        <v>16544</v>
      </c>
      <c r="K3362" s="23" t="s">
        <v>16669</v>
      </c>
      <c r="L3362" s="375"/>
      <c r="M3362" s="351" t="s">
        <v>7787</v>
      </c>
      <c r="N3362" s="267">
        <f t="shared" si="802"/>
        <v>0</v>
      </c>
      <c r="O3362" s="268">
        <f t="shared" si="803"/>
        <v>0</v>
      </c>
      <c r="P3362" s="239"/>
      <c r="Q3362" s="239"/>
      <c r="R3362" s="239"/>
      <c r="S3362" s="239"/>
      <c r="T3362" s="237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7"/>
        <v>0</v>
      </c>
      <c r="AD3362" s="196">
        <f t="shared" si="798"/>
        <v>0</v>
      </c>
      <c r="AE3362" s="196">
        <f t="shared" si="799"/>
        <v>0</v>
      </c>
      <c r="AF3362" s="2">
        <f t="shared" si="800"/>
        <v>0</v>
      </c>
      <c r="AG3362" s="2">
        <f t="shared" si="801"/>
        <v>0</v>
      </c>
    </row>
    <row r="3363" spans="1:33">
      <c r="A3363" s="20" t="s">
        <v>2801</v>
      </c>
      <c r="B3363" s="150"/>
      <c r="C3363" s="21" t="s">
        <v>706</v>
      </c>
      <c r="D3363" s="109" t="s">
        <v>16670</v>
      </c>
      <c r="E3363" s="109"/>
      <c r="F3363" s="391" t="s">
        <v>16671</v>
      </c>
      <c r="G3363" s="23" t="s">
        <v>16672</v>
      </c>
      <c r="H3363" s="23"/>
      <c r="I3363" s="23"/>
      <c r="J3363" s="23"/>
      <c r="K3363" s="23"/>
      <c r="L3363" s="350"/>
      <c r="M3363" s="351"/>
      <c r="N3363" s="267">
        <f t="shared" si="802"/>
        <v>0</v>
      </c>
      <c r="O3363" s="268">
        <f t="shared" si="803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7"/>
        <v>0</v>
      </c>
      <c r="AD3363" s="196">
        <f t="shared" si="798"/>
        <v>0</v>
      </c>
      <c r="AE3363" s="196">
        <f t="shared" si="799"/>
        <v>0</v>
      </c>
      <c r="AF3363" s="2">
        <f t="shared" si="800"/>
        <v>0</v>
      </c>
      <c r="AG3363" s="2">
        <f t="shared" si="801"/>
        <v>0</v>
      </c>
    </row>
    <row r="3364" spans="1:33">
      <c r="A3364" s="20" t="s">
        <v>11296</v>
      </c>
      <c r="B3364" s="150"/>
      <c r="C3364" s="21" t="s">
        <v>16673</v>
      </c>
      <c r="D3364" s="109" t="s">
        <v>16073</v>
      </c>
      <c r="E3364" s="109"/>
      <c r="F3364" s="391" t="s">
        <v>16674</v>
      </c>
      <c r="G3364" s="23" t="s">
        <v>16141</v>
      </c>
      <c r="H3364" s="23" t="s">
        <v>16675</v>
      </c>
      <c r="I3364" s="23"/>
      <c r="J3364" s="23"/>
      <c r="K3364" s="23"/>
      <c r="L3364" s="375" t="s">
        <v>7787</v>
      </c>
      <c r="M3364" s="351" t="s">
        <v>7787</v>
      </c>
      <c r="N3364" s="267">
        <f t="shared" si="802"/>
        <v>0</v>
      </c>
      <c r="O3364" s="268">
        <f t="shared" si="803"/>
        <v>0</v>
      </c>
      <c r="P3364" s="239"/>
      <c r="Q3364" s="239"/>
      <c r="R3364" s="239"/>
      <c r="S3364" s="239"/>
      <c r="T3364" s="239"/>
      <c r="U3364" s="240"/>
      <c r="V3364" s="240"/>
      <c r="W3364" s="240"/>
      <c r="X3364" s="278"/>
      <c r="Y3364" s="237"/>
      <c r="Z3364" s="237"/>
      <c r="AA3364" s="279"/>
      <c r="AB3364" s="238"/>
      <c r="AC3364" s="196">
        <f t="shared" si="797"/>
        <v>0</v>
      </c>
      <c r="AD3364" s="196">
        <f t="shared" si="798"/>
        <v>0</v>
      </c>
      <c r="AE3364" s="196">
        <f t="shared" si="799"/>
        <v>0</v>
      </c>
      <c r="AF3364" s="2">
        <f t="shared" si="800"/>
        <v>0</v>
      </c>
      <c r="AG3364" s="2">
        <f t="shared" si="801"/>
        <v>0</v>
      </c>
    </row>
    <row r="3365" spans="1:33">
      <c r="A3365" s="20" t="s">
        <v>11106</v>
      </c>
      <c r="B3365" s="150"/>
      <c r="C3365" s="21" t="s">
        <v>16676</v>
      </c>
      <c r="D3365" s="109" t="s">
        <v>16677</v>
      </c>
      <c r="E3365" s="109"/>
      <c r="F3365" s="391" t="s">
        <v>16678</v>
      </c>
      <c r="G3365" s="23" t="s">
        <v>16304</v>
      </c>
      <c r="H3365" s="23"/>
      <c r="I3365" s="23"/>
      <c r="J3365" s="23"/>
      <c r="K3365" s="23"/>
      <c r="L3365" s="375" t="s">
        <v>7787</v>
      </c>
      <c r="M3365" s="351"/>
      <c r="N3365" s="267">
        <f t="shared" si="802"/>
        <v>0</v>
      </c>
      <c r="O3365" s="268">
        <f t="shared" si="803"/>
        <v>0</v>
      </c>
      <c r="P3365" s="239"/>
      <c r="Q3365" s="239"/>
      <c r="R3365" s="239"/>
      <c r="S3365" s="239"/>
      <c r="T3365" s="239"/>
      <c r="U3365" s="240"/>
      <c r="V3365" s="240"/>
      <c r="W3365" s="240"/>
      <c r="X3365" s="278"/>
      <c r="Y3365" s="237"/>
      <c r="Z3365" s="237"/>
      <c r="AA3365" s="279"/>
      <c r="AB3365" s="238"/>
      <c r="AC3365" s="196">
        <f t="shared" si="797"/>
        <v>0</v>
      </c>
      <c r="AD3365" s="196">
        <f t="shared" si="798"/>
        <v>0</v>
      </c>
      <c r="AE3365" s="196">
        <f t="shared" si="799"/>
        <v>0</v>
      </c>
      <c r="AF3365" s="2">
        <f t="shared" si="800"/>
        <v>0</v>
      </c>
      <c r="AG3365" s="2">
        <f t="shared" si="801"/>
        <v>0</v>
      </c>
    </row>
    <row r="3366" spans="1:33">
      <c r="A3366" s="20" t="s">
        <v>11107</v>
      </c>
      <c r="B3366" s="150"/>
      <c r="C3366" s="21" t="s">
        <v>16679</v>
      </c>
      <c r="D3366" s="109" t="s">
        <v>16677</v>
      </c>
      <c r="E3366" s="109"/>
      <c r="F3366" s="391" t="s">
        <v>16680</v>
      </c>
      <c r="G3366" s="23" t="s">
        <v>16304</v>
      </c>
      <c r="H3366" s="23" t="s">
        <v>21716</v>
      </c>
      <c r="I3366" s="23"/>
      <c r="J3366" s="23"/>
      <c r="K3366" s="23"/>
      <c r="L3366" s="375" t="s">
        <v>7787</v>
      </c>
      <c r="M3366" s="351" t="s">
        <v>7787</v>
      </c>
      <c r="N3366" s="267">
        <f t="shared" si="802"/>
        <v>0</v>
      </c>
      <c r="O3366" s="268">
        <f t="shared" si="803"/>
        <v>0</v>
      </c>
      <c r="P3366" s="239"/>
      <c r="Q3366" s="239"/>
      <c r="R3366" s="239"/>
      <c r="S3366" s="239"/>
      <c r="T3366" s="239"/>
      <c r="U3366" s="240"/>
      <c r="V3366" s="278"/>
      <c r="W3366" s="240"/>
      <c r="X3366" s="278"/>
      <c r="Y3366" s="237"/>
      <c r="Z3366" s="237"/>
      <c r="AA3366" s="279"/>
      <c r="AB3366" s="238"/>
      <c r="AC3366" s="196">
        <f t="shared" si="797"/>
        <v>0</v>
      </c>
      <c r="AD3366" s="196">
        <f t="shared" si="798"/>
        <v>0</v>
      </c>
      <c r="AE3366" s="196">
        <f t="shared" si="799"/>
        <v>0</v>
      </c>
      <c r="AF3366" s="2">
        <f t="shared" si="800"/>
        <v>0</v>
      </c>
      <c r="AG3366" s="2">
        <f t="shared" si="801"/>
        <v>0</v>
      </c>
    </row>
    <row r="3367" spans="1:33">
      <c r="A3367" s="20" t="s">
        <v>11986</v>
      </c>
      <c r="B3367" s="150"/>
      <c r="C3367" s="21" t="s">
        <v>16681</v>
      </c>
      <c r="D3367" s="109" t="s">
        <v>16677</v>
      </c>
      <c r="E3367" s="109"/>
      <c r="F3367" s="391" t="s">
        <v>16680</v>
      </c>
      <c r="G3367" s="23" t="s">
        <v>16304</v>
      </c>
      <c r="H3367" s="23"/>
      <c r="I3367" s="23"/>
      <c r="J3367" s="23"/>
      <c r="K3367" s="23"/>
      <c r="L3367" s="375"/>
      <c r="M3367" s="351"/>
      <c r="N3367" s="267">
        <f t="shared" si="802"/>
        <v>0</v>
      </c>
      <c r="O3367" s="268">
        <f t="shared" si="803"/>
        <v>0</v>
      </c>
      <c r="P3367" s="239"/>
      <c r="Q3367" s="239"/>
      <c r="R3367" s="239"/>
      <c r="S3367" s="239"/>
      <c r="T3367" s="239"/>
      <c r="U3367" s="240"/>
      <c r="V3367" s="240"/>
      <c r="W3367" s="240"/>
      <c r="X3367" s="278"/>
      <c r="Y3367" s="237"/>
      <c r="Z3367" s="237"/>
      <c r="AA3367" s="279"/>
      <c r="AB3367" s="238"/>
      <c r="AC3367" s="196">
        <f t="shared" si="797"/>
        <v>0</v>
      </c>
      <c r="AD3367" s="196">
        <f t="shared" si="798"/>
        <v>0</v>
      </c>
      <c r="AE3367" s="196">
        <f t="shared" si="799"/>
        <v>0</v>
      </c>
      <c r="AF3367" s="2">
        <f t="shared" si="800"/>
        <v>0</v>
      </c>
      <c r="AG3367" s="2">
        <f t="shared" si="801"/>
        <v>0</v>
      </c>
    </row>
    <row r="3368" spans="1:33">
      <c r="A3368" s="20" t="s">
        <v>12646</v>
      </c>
      <c r="B3368" s="150"/>
      <c r="C3368" s="21" t="s">
        <v>16682</v>
      </c>
      <c r="D3368" s="109" t="s">
        <v>16677</v>
      </c>
      <c r="E3368" s="109"/>
      <c r="F3368" s="391" t="s">
        <v>16680</v>
      </c>
      <c r="G3368" s="23" t="s">
        <v>16304</v>
      </c>
      <c r="H3368" s="23"/>
      <c r="I3368" s="23"/>
      <c r="J3368" s="23"/>
      <c r="K3368" s="23"/>
      <c r="L3368" s="375" t="s">
        <v>7787</v>
      </c>
      <c r="M3368" s="351" t="s">
        <v>7787</v>
      </c>
      <c r="N3368" s="267">
        <f t="shared" si="802"/>
        <v>0</v>
      </c>
      <c r="O3368" s="268">
        <f t="shared" si="803"/>
        <v>0</v>
      </c>
      <c r="P3368" s="239"/>
      <c r="Q3368" s="239"/>
      <c r="R3368" s="239"/>
      <c r="S3368" s="239"/>
      <c r="T3368" s="239"/>
      <c r="U3368" s="240"/>
      <c r="V3368" s="240">
        <f>4100+3600+100+3000+7200-14400-3600</f>
        <v>0</v>
      </c>
      <c r="W3368" s="240"/>
      <c r="X3368" s="278"/>
      <c r="Y3368" s="237"/>
      <c r="Z3368" s="237"/>
      <c r="AA3368" s="279"/>
      <c r="AB3368" s="238"/>
      <c r="AC3368" s="196">
        <f t="shared" si="797"/>
        <v>0</v>
      </c>
      <c r="AD3368" s="196">
        <f t="shared" si="798"/>
        <v>0</v>
      </c>
      <c r="AE3368" s="196">
        <f t="shared" si="799"/>
        <v>0</v>
      </c>
      <c r="AF3368" s="2">
        <f t="shared" si="800"/>
        <v>0</v>
      </c>
      <c r="AG3368" s="2">
        <f t="shared" si="801"/>
        <v>0</v>
      </c>
    </row>
    <row r="3369" spans="1:33">
      <c r="A3369" s="20" t="s">
        <v>11401</v>
      </c>
      <c r="B3369" s="150"/>
      <c r="C3369" s="21" t="s">
        <v>16683</v>
      </c>
      <c r="D3369" s="109" t="s">
        <v>3137</v>
      </c>
      <c r="E3369" s="109"/>
      <c r="F3369" s="391" t="s">
        <v>16685</v>
      </c>
      <c r="G3369" s="23" t="s">
        <v>16285</v>
      </c>
      <c r="H3369" s="23" t="s">
        <v>16686</v>
      </c>
      <c r="I3369" s="23" t="s">
        <v>17560</v>
      </c>
      <c r="J3369" s="23"/>
      <c r="K3369" s="23"/>
      <c r="L3369" s="375"/>
      <c r="M3369" s="351"/>
      <c r="N3369" s="267">
        <f t="shared" si="802"/>
        <v>0</v>
      </c>
      <c r="O3369" s="268">
        <f t="shared" si="803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39"/>
      <c r="AB3369" s="238"/>
      <c r="AC3369" s="196">
        <f t="shared" si="797"/>
        <v>0</v>
      </c>
      <c r="AD3369" s="196">
        <f t="shared" si="798"/>
        <v>0</v>
      </c>
      <c r="AE3369" s="196">
        <f t="shared" si="799"/>
        <v>0</v>
      </c>
      <c r="AF3369" s="2">
        <f t="shared" si="800"/>
        <v>0</v>
      </c>
      <c r="AG3369" s="2">
        <f t="shared" si="801"/>
        <v>0</v>
      </c>
    </row>
    <row r="3370" spans="1:33">
      <c r="A3370" s="20" t="s">
        <v>11297</v>
      </c>
      <c r="B3370" s="150"/>
      <c r="C3370" s="21" t="s">
        <v>16687</v>
      </c>
      <c r="D3370" s="109" t="s">
        <v>16684</v>
      </c>
      <c r="E3370" s="109"/>
      <c r="F3370" s="391" t="s">
        <v>16688</v>
      </c>
      <c r="G3370" s="23" t="s">
        <v>16689</v>
      </c>
      <c r="H3370" s="23"/>
      <c r="I3370" s="23"/>
      <c r="J3370" s="23"/>
      <c r="K3370" s="23"/>
      <c r="L3370" s="375"/>
      <c r="M3370" s="351"/>
      <c r="N3370" s="267">
        <f t="shared" si="802"/>
        <v>0</v>
      </c>
      <c r="O3370" s="268">
        <f t="shared" si="803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39"/>
      <c r="AB3370" s="238"/>
      <c r="AC3370" s="196">
        <f t="shared" si="797"/>
        <v>0</v>
      </c>
      <c r="AD3370" s="196">
        <f t="shared" si="798"/>
        <v>0</v>
      </c>
      <c r="AE3370" s="196">
        <f t="shared" si="799"/>
        <v>0</v>
      </c>
      <c r="AF3370" s="2">
        <f t="shared" si="800"/>
        <v>0</v>
      </c>
      <c r="AG3370" s="2">
        <f t="shared" si="801"/>
        <v>0</v>
      </c>
    </row>
    <row r="3371" spans="1:33">
      <c r="A3371" s="20" t="s">
        <v>12093</v>
      </c>
      <c r="B3371" s="150"/>
      <c r="C3371" s="21" t="s">
        <v>16690</v>
      </c>
      <c r="D3371" s="109" t="s">
        <v>16313</v>
      </c>
      <c r="E3371" s="109"/>
      <c r="F3371" s="391" t="s">
        <v>16691</v>
      </c>
      <c r="G3371" s="23" t="s">
        <v>16689</v>
      </c>
      <c r="H3371" s="23"/>
      <c r="I3371" s="23"/>
      <c r="J3371" s="23"/>
      <c r="K3371" s="23"/>
      <c r="L3371" s="375" t="s">
        <v>7787</v>
      </c>
      <c r="M3371" s="351"/>
      <c r="N3371" s="267">
        <f t="shared" si="802"/>
        <v>0</v>
      </c>
      <c r="O3371" s="268">
        <f t="shared" si="803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si="797"/>
        <v>0</v>
      </c>
      <c r="AD3371" s="196">
        <f t="shared" si="798"/>
        <v>0</v>
      </c>
      <c r="AE3371" s="196">
        <f t="shared" si="799"/>
        <v>0</v>
      </c>
      <c r="AF3371" s="2">
        <f t="shared" si="800"/>
        <v>0</v>
      </c>
      <c r="AG3371" s="2">
        <f t="shared" si="801"/>
        <v>0</v>
      </c>
    </row>
    <row r="3372" spans="1:33">
      <c r="A3372" s="20" t="s">
        <v>11854</v>
      </c>
      <c r="B3372" s="150"/>
      <c r="C3372" s="21" t="s">
        <v>16692</v>
      </c>
      <c r="D3372" s="109" t="s">
        <v>16279</v>
      </c>
      <c r="E3372" s="109"/>
      <c r="F3372" s="391" t="s">
        <v>16693</v>
      </c>
      <c r="G3372" s="23" t="s">
        <v>16304</v>
      </c>
      <c r="H3372" s="23" t="s">
        <v>17407</v>
      </c>
      <c r="I3372" s="23"/>
      <c r="J3372" s="23"/>
      <c r="K3372" s="23"/>
      <c r="L3372" s="375" t="s">
        <v>7787</v>
      </c>
      <c r="M3372" s="351" t="s">
        <v>7787</v>
      </c>
      <c r="N3372" s="267">
        <f t="shared" si="802"/>
        <v>0</v>
      </c>
      <c r="O3372" s="268">
        <f t="shared" si="803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si="797"/>
        <v>0</v>
      </c>
      <c r="AD3372" s="196">
        <f t="shared" si="798"/>
        <v>0</v>
      </c>
      <c r="AE3372" s="196">
        <f t="shared" si="799"/>
        <v>0</v>
      </c>
      <c r="AF3372" s="2">
        <f t="shared" si="800"/>
        <v>0</v>
      </c>
      <c r="AG3372" s="2">
        <f t="shared" si="801"/>
        <v>0</v>
      </c>
    </row>
    <row r="3373" spans="1:33">
      <c r="A3373" s="20" t="s">
        <v>17946</v>
      </c>
      <c r="B3373" s="150"/>
      <c r="C3373" s="21" t="s">
        <v>11735</v>
      </c>
      <c r="D3373" s="109" t="s">
        <v>5979</v>
      </c>
      <c r="E3373" s="109" t="s">
        <v>17899</v>
      </c>
      <c r="F3373" s="391" t="s">
        <v>11867</v>
      </c>
      <c r="G3373" s="23" t="s">
        <v>13565</v>
      </c>
      <c r="H3373" s="23"/>
      <c r="I3373" s="23"/>
      <c r="J3373" s="23"/>
      <c r="K3373" s="23"/>
      <c r="L3373" s="375" t="s">
        <v>7787</v>
      </c>
      <c r="M3373" s="351"/>
      <c r="N3373" s="267">
        <f t="shared" si="802"/>
        <v>0</v>
      </c>
      <c r="O3373" s="268">
        <f t="shared" si="803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ref="AC3373:AC3436" si="804">SUM(P3373:AA3373)</f>
        <v>0</v>
      </c>
      <c r="AD3373" s="196">
        <f t="shared" ref="AD3373:AD3436" si="805">SUM(P3373:AB3373)</f>
        <v>0</v>
      </c>
      <c r="AE3373" s="196">
        <f t="shared" ref="AE3373:AE3436" si="806">SUM(AC3373-AD3373)</f>
        <v>0</v>
      </c>
      <c r="AF3373" s="2">
        <f t="shared" ref="AF3373:AF3436" si="807">+AC3373</f>
        <v>0</v>
      </c>
      <c r="AG3373" s="2">
        <f t="shared" ref="AG3373:AG3436" si="808">+AC3373-AF3373</f>
        <v>0</v>
      </c>
    </row>
    <row r="3374" spans="1:33">
      <c r="A3374" s="20" t="s">
        <v>11863</v>
      </c>
      <c r="B3374" s="150"/>
      <c r="C3374" s="21" t="s">
        <v>16694</v>
      </c>
      <c r="D3374" s="109" t="s">
        <v>16313</v>
      </c>
      <c r="E3374" s="109"/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7787</v>
      </c>
      <c r="M3374" s="351"/>
      <c r="N3374" s="267">
        <f t="shared" si="802"/>
        <v>0</v>
      </c>
      <c r="O3374" s="268">
        <f t="shared" si="803"/>
        <v>0</v>
      </c>
      <c r="P3374" s="239"/>
      <c r="Q3374" s="239"/>
      <c r="R3374" s="239"/>
      <c r="S3374" s="239"/>
      <c r="T3374" s="239"/>
      <c r="U3374" s="240"/>
      <c r="V3374" s="240"/>
      <c r="W3374" s="240"/>
      <c r="X3374" s="278"/>
      <c r="Y3374" s="237"/>
      <c r="Z3374" s="237"/>
      <c r="AA3374" s="279"/>
      <c r="AB3374" s="238"/>
      <c r="AC3374" s="196">
        <f t="shared" si="804"/>
        <v>0</v>
      </c>
      <c r="AD3374" s="196">
        <f t="shared" si="805"/>
        <v>0</v>
      </c>
      <c r="AE3374" s="196">
        <f t="shared" si="806"/>
        <v>0</v>
      </c>
      <c r="AF3374" s="2">
        <f t="shared" si="807"/>
        <v>0</v>
      </c>
      <c r="AG3374" s="2">
        <f t="shared" si="808"/>
        <v>0</v>
      </c>
    </row>
    <row r="3375" spans="1:33">
      <c r="A3375" s="20" t="s">
        <v>11987</v>
      </c>
      <c r="B3375" s="150"/>
      <c r="C3375" s="21" t="s">
        <v>16696</v>
      </c>
      <c r="D3375" s="109" t="s">
        <v>16313</v>
      </c>
      <c r="E3375" s="109" t="s">
        <v>16697</v>
      </c>
      <c r="F3375" s="391" t="s">
        <v>16695</v>
      </c>
      <c r="G3375" s="23" t="s">
        <v>16183</v>
      </c>
      <c r="H3375" s="23" t="s">
        <v>16557</v>
      </c>
      <c r="I3375" s="23"/>
      <c r="J3375" s="23"/>
      <c r="K3375" s="23"/>
      <c r="L3375" s="375" t="s">
        <v>7787</v>
      </c>
      <c r="M3375" s="351"/>
      <c r="N3375" s="267">
        <f t="shared" si="802"/>
        <v>0</v>
      </c>
      <c r="O3375" s="268">
        <f t="shared" si="803"/>
        <v>0</v>
      </c>
      <c r="P3375" s="239"/>
      <c r="Q3375" s="239"/>
      <c r="R3375" s="239"/>
      <c r="S3375" s="239"/>
      <c r="T3375" s="239"/>
      <c r="U3375" s="240"/>
      <c r="V3375" s="240"/>
      <c r="W3375" s="240"/>
      <c r="X3375" s="278"/>
      <c r="Y3375" s="237"/>
      <c r="Z3375" s="237"/>
      <c r="AA3375" s="279"/>
      <c r="AB3375" s="238"/>
      <c r="AC3375" s="196">
        <f t="shared" si="804"/>
        <v>0</v>
      </c>
      <c r="AD3375" s="196">
        <f t="shared" si="805"/>
        <v>0</v>
      </c>
      <c r="AE3375" s="196">
        <f t="shared" si="806"/>
        <v>0</v>
      </c>
      <c r="AF3375" s="2">
        <f t="shared" si="807"/>
        <v>0</v>
      </c>
      <c r="AG3375" s="2">
        <f t="shared" si="808"/>
        <v>0</v>
      </c>
    </row>
    <row r="3376" spans="1:33">
      <c r="A3376" s="20" t="s">
        <v>12408</v>
      </c>
      <c r="B3376" s="150"/>
      <c r="C3376" s="21" t="s">
        <v>16696</v>
      </c>
      <c r="D3376" s="109" t="s">
        <v>16313</v>
      </c>
      <c r="E3376" s="109" t="s">
        <v>21592</v>
      </c>
      <c r="F3376" s="391" t="s">
        <v>16695</v>
      </c>
      <c r="G3376" s="23" t="s">
        <v>16183</v>
      </c>
      <c r="H3376" s="23" t="s">
        <v>16557</v>
      </c>
      <c r="I3376" s="23"/>
      <c r="J3376" s="23"/>
      <c r="K3376" s="23"/>
      <c r="L3376" s="375" t="s">
        <v>45</v>
      </c>
      <c r="M3376" s="351" t="s">
        <v>7787</v>
      </c>
      <c r="N3376" s="267">
        <f t="shared" si="802"/>
        <v>0</v>
      </c>
      <c r="O3376" s="268">
        <f t="shared" si="803"/>
        <v>50</v>
      </c>
      <c r="P3376" s="239"/>
      <c r="Q3376" s="239">
        <f>550-500</f>
        <v>50</v>
      </c>
      <c r="R3376" s="239"/>
      <c r="S3376" s="239"/>
      <c r="T3376" s="237"/>
      <c r="U3376" s="240"/>
      <c r="V3376" s="240"/>
      <c r="W3376" s="240"/>
      <c r="X3376" s="278"/>
      <c r="Y3376" s="239"/>
      <c r="Z3376" s="237"/>
      <c r="AA3376" s="279"/>
      <c r="AB3376" s="238" t="s">
        <v>26510</v>
      </c>
      <c r="AC3376" s="196">
        <f t="shared" si="804"/>
        <v>50</v>
      </c>
      <c r="AD3376" s="196">
        <f t="shared" si="805"/>
        <v>50</v>
      </c>
      <c r="AE3376" s="196">
        <f t="shared" si="806"/>
        <v>0</v>
      </c>
      <c r="AF3376" s="2">
        <f t="shared" si="807"/>
        <v>50</v>
      </c>
      <c r="AG3376" s="2">
        <f t="shared" si="808"/>
        <v>0</v>
      </c>
    </row>
    <row r="3377" spans="1:33">
      <c r="A3377" s="20" t="s">
        <v>11861</v>
      </c>
      <c r="B3377" s="150"/>
      <c r="C3377" s="21" t="s">
        <v>16698</v>
      </c>
      <c r="D3377" s="109" t="s">
        <v>16189</v>
      </c>
      <c r="E3377" s="109"/>
      <c r="F3377" s="391" t="s">
        <v>16699</v>
      </c>
      <c r="G3377" s="23" t="s">
        <v>16232</v>
      </c>
      <c r="H3377" s="23" t="s">
        <v>16256</v>
      </c>
      <c r="I3377" s="23" t="s">
        <v>16700</v>
      </c>
      <c r="J3377" s="23" t="s">
        <v>16551</v>
      </c>
      <c r="K3377" s="23"/>
      <c r="L3377" s="375"/>
      <c r="M3377" s="351" t="s">
        <v>7787</v>
      </c>
      <c r="N3377" s="267">
        <f t="shared" si="802"/>
        <v>0</v>
      </c>
      <c r="O3377" s="268">
        <f t="shared" si="803"/>
        <v>0</v>
      </c>
      <c r="P3377" s="239"/>
      <c r="Q3377" s="239"/>
      <c r="R3377" s="239"/>
      <c r="S3377" s="239"/>
      <c r="T3377" s="239"/>
      <c r="U3377" s="240"/>
      <c r="V3377" s="240"/>
      <c r="W3377" s="240"/>
      <c r="X3377" s="278"/>
      <c r="Y3377" s="237"/>
      <c r="Z3377" s="237"/>
      <c r="AA3377" s="279"/>
      <c r="AB3377" s="238"/>
      <c r="AC3377" s="196">
        <f t="shared" si="804"/>
        <v>0</v>
      </c>
      <c r="AD3377" s="196">
        <f t="shared" si="805"/>
        <v>0</v>
      </c>
      <c r="AE3377" s="196">
        <f t="shared" si="806"/>
        <v>0</v>
      </c>
      <c r="AF3377" s="2">
        <f t="shared" si="807"/>
        <v>0</v>
      </c>
      <c r="AG3377" s="2">
        <f t="shared" si="808"/>
        <v>0</v>
      </c>
    </row>
    <row r="3378" spans="1:33">
      <c r="A3378" s="20" t="s">
        <v>12251</v>
      </c>
      <c r="B3378" s="150"/>
      <c r="C3378" s="21" t="s">
        <v>16701</v>
      </c>
      <c r="D3378" s="109" t="s">
        <v>16279</v>
      </c>
      <c r="E3378" s="109"/>
      <c r="F3378" s="391" t="s">
        <v>26634</v>
      </c>
      <c r="G3378" s="23" t="s">
        <v>13341</v>
      </c>
      <c r="H3378" s="23"/>
      <c r="I3378" s="23"/>
      <c r="J3378" s="23"/>
      <c r="K3378" s="23"/>
      <c r="L3378" s="375" t="s">
        <v>45</v>
      </c>
      <c r="M3378" s="351" t="s">
        <v>45</v>
      </c>
      <c r="N3378" s="267">
        <f t="shared" si="802"/>
        <v>0</v>
      </c>
      <c r="O3378" s="268">
        <f t="shared" si="803"/>
        <v>0</v>
      </c>
      <c r="P3378" s="239"/>
      <c r="Q3378" s="239"/>
      <c r="R3378" s="240"/>
      <c r="S3378" s="240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4"/>
        <v>0</v>
      </c>
      <c r="AD3378" s="196">
        <f t="shared" si="805"/>
        <v>0</v>
      </c>
      <c r="AE3378" s="196">
        <f t="shared" si="806"/>
        <v>0</v>
      </c>
      <c r="AF3378" s="2">
        <f t="shared" si="807"/>
        <v>0</v>
      </c>
      <c r="AG3378" s="2">
        <f t="shared" si="808"/>
        <v>0</v>
      </c>
    </row>
    <row r="3379" spans="1:33">
      <c r="A3379" s="20" t="s">
        <v>27080</v>
      </c>
      <c r="B3379" s="150"/>
      <c r="C3379" s="21" t="s">
        <v>26631</v>
      </c>
      <c r="D3379" s="109" t="s">
        <v>20994</v>
      </c>
      <c r="E3379" s="109"/>
      <c r="F3379" s="391" t="s">
        <v>26632</v>
      </c>
      <c r="G3379" s="23" t="s">
        <v>5334</v>
      </c>
      <c r="H3379" s="23" t="s">
        <v>26633</v>
      </c>
      <c r="I3379" s="23"/>
      <c r="J3379" s="23"/>
      <c r="K3379" s="23"/>
      <c r="L3379" s="375" t="s">
        <v>45</v>
      </c>
      <c r="M3379" s="351" t="s">
        <v>7787</v>
      </c>
      <c r="N3379" s="267">
        <f t="shared" ref="N3379" si="809">SUM(L3379:M3379)</f>
        <v>0</v>
      </c>
      <c r="O3379" s="268">
        <f t="shared" ref="O3379" si="810">SUM(P3379:Z3379)</f>
        <v>0</v>
      </c>
      <c r="P3379" s="239"/>
      <c r="Q3379" s="239"/>
      <c r="R3379" s="240"/>
      <c r="S3379" s="244"/>
      <c r="T3379" s="239"/>
      <c r="U3379" s="240"/>
      <c r="V3379" s="240"/>
      <c r="W3379" s="240"/>
      <c r="X3379" s="278"/>
      <c r="Y3379" s="240"/>
      <c r="Z3379" s="237"/>
      <c r="AA3379" s="279"/>
      <c r="AB3379" s="238"/>
      <c r="AC3379" s="196">
        <f t="shared" si="804"/>
        <v>0</v>
      </c>
      <c r="AD3379" s="196">
        <f t="shared" si="805"/>
        <v>0</v>
      </c>
      <c r="AE3379" s="196">
        <f t="shared" si="806"/>
        <v>0</v>
      </c>
      <c r="AF3379" s="2">
        <f t="shared" si="807"/>
        <v>0</v>
      </c>
      <c r="AG3379" s="2">
        <f t="shared" si="808"/>
        <v>0</v>
      </c>
    </row>
    <row r="3380" spans="1:33">
      <c r="A3380" s="20" t="s">
        <v>11855</v>
      </c>
      <c r="B3380" s="150"/>
      <c r="C3380" s="21" t="s">
        <v>16702</v>
      </c>
      <c r="D3380" s="109" t="s">
        <v>16279</v>
      </c>
      <c r="E3380" s="109"/>
      <c r="F3380" s="391" t="s">
        <v>16703</v>
      </c>
      <c r="G3380" s="23" t="s">
        <v>15962</v>
      </c>
      <c r="H3380" s="23"/>
      <c r="I3380" s="23"/>
      <c r="J3380" s="23"/>
      <c r="K3380" s="23"/>
      <c r="L3380" s="375"/>
      <c r="M3380" s="351" t="s">
        <v>7787</v>
      </c>
      <c r="N3380" s="267">
        <f t="shared" si="802"/>
        <v>0</v>
      </c>
      <c r="O3380" s="268">
        <f t="shared" si="803"/>
        <v>50</v>
      </c>
      <c r="P3380" s="239"/>
      <c r="Q3380" s="239">
        <v>50</v>
      </c>
      <c r="R3380" s="239"/>
      <c r="S3380" s="239"/>
      <c r="T3380" s="239"/>
      <c r="U3380" s="240"/>
      <c r="V3380" s="240"/>
      <c r="W3380" s="240"/>
      <c r="X3380" s="278"/>
      <c r="Y3380" s="240"/>
      <c r="Z3380" s="237"/>
      <c r="AA3380" s="279"/>
      <c r="AB3380" s="238"/>
      <c r="AC3380" s="196">
        <f t="shared" si="804"/>
        <v>50</v>
      </c>
      <c r="AD3380" s="196">
        <f t="shared" si="805"/>
        <v>50</v>
      </c>
      <c r="AE3380" s="196">
        <f t="shared" si="806"/>
        <v>0</v>
      </c>
      <c r="AF3380" s="2">
        <f t="shared" si="807"/>
        <v>50</v>
      </c>
      <c r="AG3380" s="2">
        <f t="shared" si="808"/>
        <v>0</v>
      </c>
    </row>
    <row r="3381" spans="1:33">
      <c r="A3381" s="20" t="s">
        <v>21457</v>
      </c>
      <c r="B3381" s="150"/>
      <c r="C3381" s="21" t="s">
        <v>21120</v>
      </c>
      <c r="D3381" s="109" t="s">
        <v>5979</v>
      </c>
      <c r="E3381" s="109" t="s">
        <v>20816</v>
      </c>
      <c r="F3381" s="391" t="s">
        <v>16703</v>
      </c>
      <c r="G3381" s="23" t="s">
        <v>13341</v>
      </c>
      <c r="H3381" s="23"/>
      <c r="I3381" s="23"/>
      <c r="J3381" s="23"/>
      <c r="K3381" s="23"/>
      <c r="L3381" s="375" t="s">
        <v>27685</v>
      </c>
      <c r="M3381" s="351" t="s">
        <v>7787</v>
      </c>
      <c r="N3381" s="267">
        <f t="shared" si="802"/>
        <v>0</v>
      </c>
      <c r="O3381" s="268">
        <f t="shared" si="803"/>
        <v>600</v>
      </c>
      <c r="P3381" s="239"/>
      <c r="Q3381" s="239"/>
      <c r="R3381" s="239"/>
      <c r="S3381" s="239"/>
      <c r="T3381" s="239"/>
      <c r="U3381" s="240"/>
      <c r="V3381" s="240">
        <f>2800-400+3100-900-3600-400</f>
        <v>600</v>
      </c>
      <c r="W3381" s="240"/>
      <c r="X3381" s="278"/>
      <c r="Y3381" s="240"/>
      <c r="Z3381" s="237"/>
      <c r="AA3381" s="279"/>
      <c r="AB3381" s="238" t="s">
        <v>25121</v>
      </c>
      <c r="AC3381" s="196">
        <f t="shared" si="804"/>
        <v>600</v>
      </c>
      <c r="AD3381" s="196">
        <f t="shared" si="805"/>
        <v>600</v>
      </c>
      <c r="AE3381" s="196">
        <f t="shared" si="806"/>
        <v>0</v>
      </c>
      <c r="AF3381" s="2">
        <f t="shared" si="807"/>
        <v>600</v>
      </c>
      <c r="AG3381" s="2">
        <f t="shared" si="808"/>
        <v>0</v>
      </c>
    </row>
    <row r="3382" spans="1:33">
      <c r="A3382" s="20" t="s">
        <v>11855</v>
      </c>
      <c r="B3382" s="150"/>
      <c r="C3382" s="21" t="s">
        <v>20996</v>
      </c>
      <c r="D3382" s="109" t="s">
        <v>20994</v>
      </c>
      <c r="E3382" s="109" t="s">
        <v>20816</v>
      </c>
      <c r="F3382" s="391" t="s">
        <v>20995</v>
      </c>
      <c r="G3382" s="23" t="s">
        <v>5512</v>
      </c>
      <c r="H3382" s="23"/>
      <c r="I3382" s="23"/>
      <c r="J3382" s="23"/>
      <c r="K3382" s="23"/>
      <c r="L3382" s="375" t="s">
        <v>27685</v>
      </c>
      <c r="M3382" s="351" t="s">
        <v>7787</v>
      </c>
      <c r="N3382" s="267">
        <f t="shared" si="802"/>
        <v>0</v>
      </c>
      <c r="O3382" s="268">
        <f t="shared" si="803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40"/>
      <c r="Z3382" s="237"/>
      <c r="AA3382" s="279"/>
      <c r="AB3382" s="238"/>
      <c r="AC3382" s="196">
        <f t="shared" si="804"/>
        <v>0</v>
      </c>
      <c r="AD3382" s="196">
        <f t="shared" si="805"/>
        <v>0</v>
      </c>
      <c r="AE3382" s="196">
        <f t="shared" si="806"/>
        <v>0</v>
      </c>
      <c r="AF3382" s="2">
        <f t="shared" si="807"/>
        <v>0</v>
      </c>
      <c r="AG3382" s="2">
        <f t="shared" si="808"/>
        <v>0</v>
      </c>
    </row>
    <row r="3383" spans="1:33">
      <c r="A3383" s="20" t="s">
        <v>21458</v>
      </c>
      <c r="B3383" s="150"/>
      <c r="C3383" s="21" t="s">
        <v>20996</v>
      </c>
      <c r="D3383" s="109" t="s">
        <v>20994</v>
      </c>
      <c r="E3383" s="109" t="s">
        <v>21074</v>
      </c>
      <c r="F3383" s="391" t="s">
        <v>20995</v>
      </c>
      <c r="G3383" s="23" t="s">
        <v>5512</v>
      </c>
      <c r="H3383" s="23"/>
      <c r="I3383" s="23"/>
      <c r="J3383" s="23"/>
      <c r="K3383" s="23"/>
      <c r="L3383" s="375" t="s">
        <v>7787</v>
      </c>
      <c r="M3383" s="351"/>
      <c r="N3383" s="267">
        <f t="shared" si="802"/>
        <v>0</v>
      </c>
      <c r="O3383" s="268">
        <f t="shared" si="803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40"/>
      <c r="Z3383" s="237"/>
      <c r="AA3383" s="279"/>
      <c r="AB3383" s="238"/>
      <c r="AC3383" s="196">
        <f t="shared" si="804"/>
        <v>0</v>
      </c>
      <c r="AD3383" s="196">
        <f t="shared" si="805"/>
        <v>0</v>
      </c>
      <c r="AE3383" s="196">
        <f t="shared" si="806"/>
        <v>0</v>
      </c>
      <c r="AF3383" s="2">
        <f t="shared" si="807"/>
        <v>0</v>
      </c>
      <c r="AG3383" s="2">
        <f t="shared" si="808"/>
        <v>0</v>
      </c>
    </row>
    <row r="3384" spans="1:33">
      <c r="A3384" s="20" t="s">
        <v>11856</v>
      </c>
      <c r="B3384" s="150"/>
      <c r="C3384" s="21" t="s">
        <v>16704</v>
      </c>
      <c r="D3384" s="109" t="s">
        <v>15161</v>
      </c>
      <c r="E3384" s="109"/>
      <c r="F3384" s="391" t="s">
        <v>16705</v>
      </c>
      <c r="G3384" s="23" t="s">
        <v>16706</v>
      </c>
      <c r="H3384" s="23"/>
      <c r="I3384" s="23"/>
      <c r="J3384" s="23"/>
      <c r="K3384" s="23"/>
      <c r="L3384" s="375" t="s">
        <v>7787</v>
      </c>
      <c r="M3384" s="351" t="s">
        <v>7787</v>
      </c>
      <c r="N3384" s="267">
        <f t="shared" si="802"/>
        <v>0</v>
      </c>
      <c r="O3384" s="268">
        <f t="shared" si="803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4"/>
        <v>0</v>
      </c>
      <c r="AD3384" s="196">
        <f t="shared" si="805"/>
        <v>0</v>
      </c>
      <c r="AE3384" s="196">
        <f t="shared" si="806"/>
        <v>0</v>
      </c>
      <c r="AF3384" s="2">
        <f t="shared" si="807"/>
        <v>0</v>
      </c>
      <c r="AG3384" s="2">
        <f t="shared" si="808"/>
        <v>0</v>
      </c>
    </row>
    <row r="3385" spans="1:33">
      <c r="A3385" s="20" t="s">
        <v>11862</v>
      </c>
      <c r="B3385" s="150"/>
      <c r="C3385" s="21" t="s">
        <v>16707</v>
      </c>
      <c r="D3385" s="109" t="s">
        <v>16329</v>
      </c>
      <c r="E3385" s="109"/>
      <c r="F3385" s="391" t="s">
        <v>16708</v>
      </c>
      <c r="G3385" s="23" t="s">
        <v>16630</v>
      </c>
      <c r="H3385" s="23" t="s">
        <v>16557</v>
      </c>
      <c r="I3385" s="23" t="s">
        <v>16686</v>
      </c>
      <c r="J3385" s="23" t="s">
        <v>16183</v>
      </c>
      <c r="K3385" s="23" t="s">
        <v>16291</v>
      </c>
      <c r="L3385" s="375"/>
      <c r="M3385" s="351"/>
      <c r="N3385" s="267">
        <f t="shared" si="802"/>
        <v>0</v>
      </c>
      <c r="O3385" s="268">
        <f t="shared" si="803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4"/>
        <v>0</v>
      </c>
      <c r="AD3385" s="196">
        <f t="shared" si="805"/>
        <v>0</v>
      </c>
      <c r="AE3385" s="196">
        <f t="shared" si="806"/>
        <v>0</v>
      </c>
      <c r="AF3385" s="2">
        <f t="shared" si="807"/>
        <v>0</v>
      </c>
      <c r="AG3385" s="2">
        <f t="shared" si="808"/>
        <v>0</v>
      </c>
    </row>
    <row r="3386" spans="1:33">
      <c r="A3386" s="20" t="s">
        <v>12409</v>
      </c>
      <c r="B3386" s="150"/>
      <c r="C3386" s="21" t="s">
        <v>12456</v>
      </c>
      <c r="D3386" s="109" t="s">
        <v>16329</v>
      </c>
      <c r="E3386" s="109"/>
      <c r="F3386" s="391" t="s">
        <v>16709</v>
      </c>
      <c r="G3386" s="23" t="s">
        <v>16291</v>
      </c>
      <c r="H3386" s="23" t="s">
        <v>16413</v>
      </c>
      <c r="I3386" s="23"/>
      <c r="J3386" s="23"/>
      <c r="K3386" s="23"/>
      <c r="L3386" s="375" t="s">
        <v>7787</v>
      </c>
      <c r="M3386" s="351" t="s">
        <v>7787</v>
      </c>
      <c r="N3386" s="267">
        <f t="shared" si="802"/>
        <v>0</v>
      </c>
      <c r="O3386" s="268">
        <f t="shared" si="803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4"/>
        <v>0</v>
      </c>
      <c r="AD3386" s="196">
        <f t="shared" si="805"/>
        <v>0</v>
      </c>
      <c r="AE3386" s="196">
        <f t="shared" si="806"/>
        <v>0</v>
      </c>
      <c r="AF3386" s="2">
        <f t="shared" si="807"/>
        <v>0</v>
      </c>
      <c r="AG3386" s="2">
        <f t="shared" si="808"/>
        <v>0</v>
      </c>
    </row>
    <row r="3387" spans="1:33">
      <c r="A3387" s="20" t="s">
        <v>2813</v>
      </c>
      <c r="B3387" s="150"/>
      <c r="C3387" s="21" t="s">
        <v>839</v>
      </c>
      <c r="D3387" s="109" t="s">
        <v>15161</v>
      </c>
      <c r="E3387" s="109"/>
      <c r="F3387" s="391" t="s">
        <v>16710</v>
      </c>
      <c r="G3387" s="23" t="s">
        <v>15163</v>
      </c>
      <c r="H3387" s="23"/>
      <c r="I3387" s="23"/>
      <c r="J3387" s="23"/>
      <c r="K3387" s="23"/>
      <c r="L3387" s="375" t="s">
        <v>7787</v>
      </c>
      <c r="M3387" s="351" t="s">
        <v>7787</v>
      </c>
      <c r="N3387" s="267">
        <f t="shared" si="802"/>
        <v>0</v>
      </c>
      <c r="O3387" s="268">
        <f t="shared" si="803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4"/>
        <v>0</v>
      </c>
      <c r="AD3387" s="196">
        <f t="shared" si="805"/>
        <v>0</v>
      </c>
      <c r="AE3387" s="196">
        <f t="shared" si="806"/>
        <v>0</v>
      </c>
      <c r="AF3387" s="2">
        <f t="shared" si="807"/>
        <v>0</v>
      </c>
      <c r="AG3387" s="2">
        <f t="shared" si="808"/>
        <v>0</v>
      </c>
    </row>
    <row r="3388" spans="1:33">
      <c r="A3388" s="20" t="s">
        <v>2812</v>
      </c>
      <c r="B3388" s="161"/>
      <c r="C3388" s="21" t="s">
        <v>839</v>
      </c>
      <c r="D3388" s="109" t="s">
        <v>15167</v>
      </c>
      <c r="E3388" s="109"/>
      <c r="F3388" s="391" t="s">
        <v>16710</v>
      </c>
      <c r="G3388" s="23"/>
      <c r="H3388" s="23"/>
      <c r="I3388" s="23"/>
      <c r="J3388" s="23"/>
      <c r="K3388" s="23"/>
      <c r="L3388" s="350"/>
      <c r="M3388" s="351"/>
      <c r="N3388" s="267">
        <f t="shared" si="802"/>
        <v>0</v>
      </c>
      <c r="O3388" s="268">
        <f t="shared" si="803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37"/>
      <c r="Z3388" s="237"/>
      <c r="AA3388" s="279"/>
      <c r="AB3388" s="238"/>
      <c r="AC3388" s="196">
        <f t="shared" si="804"/>
        <v>0</v>
      </c>
      <c r="AD3388" s="196">
        <f t="shared" si="805"/>
        <v>0</v>
      </c>
      <c r="AE3388" s="196">
        <f t="shared" si="806"/>
        <v>0</v>
      </c>
      <c r="AF3388" s="2">
        <f t="shared" si="807"/>
        <v>0</v>
      </c>
      <c r="AG3388" s="2">
        <f t="shared" si="808"/>
        <v>0</v>
      </c>
    </row>
    <row r="3389" spans="1:33">
      <c r="A3389" s="20" t="s">
        <v>12843</v>
      </c>
      <c r="B3389" s="150"/>
      <c r="C3389" s="21" t="s">
        <v>12905</v>
      </c>
      <c r="D3389" s="109" t="s">
        <v>16543</v>
      </c>
      <c r="E3389" s="109"/>
      <c r="F3389" s="391" t="s">
        <v>16711</v>
      </c>
      <c r="G3389" s="23" t="s">
        <v>16712</v>
      </c>
      <c r="H3389" s="23"/>
      <c r="I3389" s="23"/>
      <c r="J3389" s="23"/>
      <c r="K3389" s="23"/>
      <c r="L3389" s="375" t="s">
        <v>7787</v>
      </c>
      <c r="M3389" s="351" t="s">
        <v>7787</v>
      </c>
      <c r="N3389" s="267">
        <f t="shared" si="802"/>
        <v>0</v>
      </c>
      <c r="O3389" s="268">
        <f t="shared" si="803"/>
        <v>0</v>
      </c>
      <c r="P3389" s="239"/>
      <c r="Q3389" s="239"/>
      <c r="R3389" s="239"/>
      <c r="S3389" s="239"/>
      <c r="T3389" s="239"/>
      <c r="U3389" s="240"/>
      <c r="V3389" s="240"/>
      <c r="W3389" s="240"/>
      <c r="X3389" s="278"/>
      <c r="Y3389" s="237"/>
      <c r="Z3389" s="237"/>
      <c r="AA3389" s="279"/>
      <c r="AB3389" s="238"/>
      <c r="AC3389" s="196">
        <f t="shared" si="804"/>
        <v>0</v>
      </c>
      <c r="AD3389" s="196">
        <f t="shared" si="805"/>
        <v>0</v>
      </c>
      <c r="AE3389" s="196">
        <f t="shared" si="806"/>
        <v>0</v>
      </c>
      <c r="AF3389" s="2">
        <f t="shared" si="807"/>
        <v>0</v>
      </c>
      <c r="AG3389" s="2">
        <f t="shared" si="808"/>
        <v>0</v>
      </c>
    </row>
    <row r="3390" spans="1:33">
      <c r="A3390" s="20" t="s">
        <v>11864</v>
      </c>
      <c r="B3390" s="150"/>
      <c r="C3390" s="21" t="s">
        <v>16713</v>
      </c>
      <c r="D3390" s="109" t="s">
        <v>16677</v>
      </c>
      <c r="E3390" s="109"/>
      <c r="F3390" s="391" t="s">
        <v>16714</v>
      </c>
      <c r="G3390" s="23" t="s">
        <v>16600</v>
      </c>
      <c r="H3390" s="23"/>
      <c r="I3390" s="23"/>
      <c r="J3390" s="23"/>
      <c r="K3390" s="23"/>
      <c r="L3390" s="375" t="s">
        <v>7787</v>
      </c>
      <c r="M3390" s="351" t="s">
        <v>7787</v>
      </c>
      <c r="N3390" s="267">
        <f t="shared" si="802"/>
        <v>0</v>
      </c>
      <c r="O3390" s="268">
        <f t="shared" si="803"/>
        <v>0</v>
      </c>
      <c r="P3390" s="239"/>
      <c r="Q3390" s="239"/>
      <c r="R3390" s="239"/>
      <c r="S3390" s="239"/>
      <c r="T3390" s="239"/>
      <c r="U3390" s="240"/>
      <c r="V3390" s="240"/>
      <c r="W3390" s="240"/>
      <c r="X3390" s="278"/>
      <c r="Y3390" s="240"/>
      <c r="Z3390" s="237"/>
      <c r="AA3390" s="279"/>
      <c r="AB3390" s="238"/>
      <c r="AC3390" s="196">
        <f t="shared" si="804"/>
        <v>0</v>
      </c>
      <c r="AD3390" s="196">
        <f t="shared" si="805"/>
        <v>0</v>
      </c>
      <c r="AE3390" s="196">
        <f t="shared" si="806"/>
        <v>0</v>
      </c>
      <c r="AF3390" s="2">
        <f t="shared" si="807"/>
        <v>0</v>
      </c>
      <c r="AG3390" s="2">
        <f t="shared" si="808"/>
        <v>0</v>
      </c>
    </row>
    <row r="3391" spans="1:33">
      <c r="A3391" s="20" t="s">
        <v>23811</v>
      </c>
      <c r="B3391" s="150"/>
      <c r="C3391" s="21" t="s">
        <v>23789</v>
      </c>
      <c r="D3391" s="109" t="s">
        <v>23497</v>
      </c>
      <c r="E3391" s="109"/>
      <c r="F3391" s="391" t="s">
        <v>23790</v>
      </c>
      <c r="G3391" s="23" t="s">
        <v>13888</v>
      </c>
      <c r="H3391" s="23"/>
      <c r="I3391" s="23"/>
      <c r="J3391" s="23"/>
      <c r="K3391" s="23"/>
      <c r="L3391" s="375" t="s">
        <v>27620</v>
      </c>
      <c r="M3391" s="351" t="s">
        <v>45</v>
      </c>
      <c r="N3391" s="267">
        <f t="shared" si="802"/>
        <v>0</v>
      </c>
      <c r="O3391" s="268">
        <f t="shared" si="803"/>
        <v>550</v>
      </c>
      <c r="P3391" s="239"/>
      <c r="Q3391" s="239"/>
      <c r="R3391" s="239"/>
      <c r="S3391" s="239"/>
      <c r="T3391" s="239"/>
      <c r="U3391" s="239">
        <f>1950-1100-300</f>
        <v>550</v>
      </c>
      <c r="V3391" s="240"/>
      <c r="W3391" s="240"/>
      <c r="X3391" s="278"/>
      <c r="Y3391" s="240"/>
      <c r="Z3391" s="237"/>
      <c r="AA3391" s="279"/>
      <c r="AB3391" s="238" t="s">
        <v>27618</v>
      </c>
      <c r="AC3391" s="196">
        <f t="shared" si="804"/>
        <v>550</v>
      </c>
      <c r="AD3391" s="196">
        <f t="shared" si="805"/>
        <v>550</v>
      </c>
      <c r="AE3391" s="196">
        <f t="shared" si="806"/>
        <v>0</v>
      </c>
      <c r="AF3391" s="2">
        <f t="shared" si="807"/>
        <v>550</v>
      </c>
      <c r="AG3391" s="2">
        <f t="shared" si="808"/>
        <v>0</v>
      </c>
    </row>
    <row r="3392" spans="1:33">
      <c r="A3392" s="20" t="s">
        <v>17418</v>
      </c>
      <c r="B3392" s="150"/>
      <c r="C3392" s="21" t="s">
        <v>17526</v>
      </c>
      <c r="D3392" s="109" t="s">
        <v>3101</v>
      </c>
      <c r="E3392" s="109"/>
      <c r="F3392" s="391" t="s">
        <v>17607</v>
      </c>
      <c r="G3392" s="23" t="s">
        <v>13581</v>
      </c>
      <c r="H3392" s="23"/>
      <c r="I3392" s="23"/>
      <c r="J3392" s="23"/>
      <c r="K3392" s="23"/>
      <c r="L3392" s="375" t="s">
        <v>7787</v>
      </c>
      <c r="M3392" s="351" t="s">
        <v>7787</v>
      </c>
      <c r="N3392" s="267">
        <f t="shared" si="802"/>
        <v>0</v>
      </c>
      <c r="O3392" s="268">
        <f t="shared" si="803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4"/>
        <v>0</v>
      </c>
      <c r="AD3392" s="196">
        <f t="shared" si="805"/>
        <v>0</v>
      </c>
      <c r="AE3392" s="196">
        <f t="shared" si="806"/>
        <v>0</v>
      </c>
      <c r="AF3392" s="2">
        <f t="shared" si="807"/>
        <v>0</v>
      </c>
      <c r="AG3392" s="2">
        <f t="shared" si="808"/>
        <v>0</v>
      </c>
    </row>
    <row r="3393" spans="1:33">
      <c r="A3393" s="20" t="s">
        <v>11983</v>
      </c>
      <c r="B3393" s="150"/>
      <c r="C3393" s="21" t="s">
        <v>16715</v>
      </c>
      <c r="D3393" s="109" t="s">
        <v>15167</v>
      </c>
      <c r="E3393" s="109" t="s">
        <v>16716</v>
      </c>
      <c r="F3393" s="391" t="s">
        <v>16717</v>
      </c>
      <c r="G3393" s="23" t="s">
        <v>16183</v>
      </c>
      <c r="H3393" s="23"/>
      <c r="I3393" s="23"/>
      <c r="J3393" s="23"/>
      <c r="K3393" s="23"/>
      <c r="L3393" s="375" t="s">
        <v>7787</v>
      </c>
      <c r="M3393" s="351" t="s">
        <v>7787</v>
      </c>
      <c r="N3393" s="267">
        <f t="shared" si="802"/>
        <v>0</v>
      </c>
      <c r="O3393" s="268">
        <f t="shared" si="803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4"/>
        <v>0</v>
      </c>
      <c r="AD3393" s="196">
        <f t="shared" si="805"/>
        <v>0</v>
      </c>
      <c r="AE3393" s="196">
        <f t="shared" si="806"/>
        <v>0</v>
      </c>
      <c r="AF3393" s="2">
        <f t="shared" si="807"/>
        <v>0</v>
      </c>
      <c r="AG3393" s="2">
        <f t="shared" si="808"/>
        <v>0</v>
      </c>
    </row>
    <row r="3394" spans="1:33">
      <c r="A3394" s="20" t="s">
        <v>11857</v>
      </c>
      <c r="B3394" s="150"/>
      <c r="C3394" s="21" t="s">
        <v>16718</v>
      </c>
      <c r="D3394" s="109" t="s">
        <v>16186</v>
      </c>
      <c r="E3394" s="109" t="s">
        <v>16719</v>
      </c>
      <c r="F3394" s="391" t="s">
        <v>16720</v>
      </c>
      <c r="G3394" s="23" t="s">
        <v>15962</v>
      </c>
      <c r="H3394" s="23"/>
      <c r="I3394" s="23"/>
      <c r="J3394" s="23"/>
      <c r="K3394" s="23"/>
      <c r="L3394" s="375" t="s">
        <v>7787</v>
      </c>
      <c r="M3394" s="351"/>
      <c r="N3394" s="267">
        <f t="shared" si="802"/>
        <v>0</v>
      </c>
      <c r="O3394" s="268">
        <f t="shared" si="803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4"/>
        <v>0</v>
      </c>
      <c r="AD3394" s="196">
        <f t="shared" si="805"/>
        <v>0</v>
      </c>
      <c r="AE3394" s="196">
        <f t="shared" si="806"/>
        <v>0</v>
      </c>
      <c r="AF3394" s="2">
        <f t="shared" si="807"/>
        <v>0</v>
      </c>
      <c r="AG3394" s="2">
        <f t="shared" si="808"/>
        <v>0</v>
      </c>
    </row>
    <row r="3395" spans="1:33">
      <c r="A3395" s="20" t="s">
        <v>11858</v>
      </c>
      <c r="B3395" s="150"/>
      <c r="C3395" s="21" t="s">
        <v>16721</v>
      </c>
      <c r="D3395" s="109" t="s">
        <v>16186</v>
      </c>
      <c r="E3395" s="109"/>
      <c r="F3395" s="391" t="s">
        <v>16722</v>
      </c>
      <c r="G3395" s="23" t="s">
        <v>15962</v>
      </c>
      <c r="H3395" s="23"/>
      <c r="I3395" s="23"/>
      <c r="J3395" s="23"/>
      <c r="K3395" s="23"/>
      <c r="L3395" s="375" t="s">
        <v>7787</v>
      </c>
      <c r="M3395" s="351"/>
      <c r="N3395" s="267">
        <f t="shared" si="802"/>
        <v>0</v>
      </c>
      <c r="O3395" s="268">
        <f t="shared" si="803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4"/>
        <v>0</v>
      </c>
      <c r="AD3395" s="196">
        <f t="shared" si="805"/>
        <v>0</v>
      </c>
      <c r="AE3395" s="196">
        <f t="shared" si="806"/>
        <v>0</v>
      </c>
      <c r="AF3395" s="2">
        <f t="shared" si="807"/>
        <v>0</v>
      </c>
      <c r="AG3395" s="2">
        <f t="shared" si="808"/>
        <v>0</v>
      </c>
    </row>
    <row r="3396" spans="1:33">
      <c r="A3396" s="20" t="s">
        <v>12919</v>
      </c>
      <c r="B3396" s="150"/>
      <c r="C3396" s="21" t="s">
        <v>16723</v>
      </c>
      <c r="D3396" s="109" t="s">
        <v>16543</v>
      </c>
      <c r="E3396" s="109"/>
      <c r="F3396" s="391" t="s">
        <v>16724</v>
      </c>
      <c r="G3396" s="23" t="s">
        <v>16725</v>
      </c>
      <c r="H3396" s="23"/>
      <c r="I3396" s="23"/>
      <c r="J3396" s="23"/>
      <c r="K3396" s="23"/>
      <c r="L3396" s="375" t="s">
        <v>7787</v>
      </c>
      <c r="M3396" s="351" t="s">
        <v>7787</v>
      </c>
      <c r="N3396" s="267">
        <f t="shared" si="802"/>
        <v>0</v>
      </c>
      <c r="O3396" s="268">
        <f t="shared" si="803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4"/>
        <v>0</v>
      </c>
      <c r="AD3396" s="196">
        <f t="shared" si="805"/>
        <v>0</v>
      </c>
      <c r="AE3396" s="196">
        <f t="shared" si="806"/>
        <v>0</v>
      </c>
      <c r="AF3396" s="2">
        <f t="shared" si="807"/>
        <v>0</v>
      </c>
      <c r="AG3396" s="2">
        <f t="shared" si="808"/>
        <v>0</v>
      </c>
    </row>
    <row r="3397" spans="1:33">
      <c r="A3397" s="20" t="s">
        <v>12098</v>
      </c>
      <c r="B3397" s="150"/>
      <c r="C3397" s="21" t="s">
        <v>16726</v>
      </c>
      <c r="D3397" s="109" t="s">
        <v>16473</v>
      </c>
      <c r="E3397" s="109" t="s">
        <v>8213</v>
      </c>
      <c r="F3397" s="391" t="s">
        <v>16727</v>
      </c>
      <c r="G3397" s="23" t="s">
        <v>16454</v>
      </c>
      <c r="H3397" s="23" t="s">
        <v>17890</v>
      </c>
      <c r="I3397" s="23"/>
      <c r="J3397" s="23"/>
      <c r="K3397" s="23"/>
      <c r="L3397" s="375" t="s">
        <v>7787</v>
      </c>
      <c r="M3397" s="351" t="s">
        <v>7787</v>
      </c>
      <c r="N3397" s="267">
        <f t="shared" si="802"/>
        <v>0</v>
      </c>
      <c r="O3397" s="268">
        <f t="shared" si="803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4"/>
        <v>0</v>
      </c>
      <c r="AD3397" s="196">
        <f t="shared" si="805"/>
        <v>0</v>
      </c>
      <c r="AE3397" s="196">
        <f t="shared" si="806"/>
        <v>0</v>
      </c>
      <c r="AF3397" s="2">
        <f t="shared" si="807"/>
        <v>0</v>
      </c>
      <c r="AG3397" s="2">
        <f t="shared" si="808"/>
        <v>0</v>
      </c>
    </row>
    <row r="3398" spans="1:33">
      <c r="A3398" s="20" t="s">
        <v>17281</v>
      </c>
      <c r="B3398" s="150"/>
      <c r="C3398" s="21" t="s">
        <v>12155</v>
      </c>
      <c r="D3398" s="109" t="s">
        <v>17180</v>
      </c>
      <c r="E3398" s="109" t="s">
        <v>17181</v>
      </c>
      <c r="F3398" s="391" t="s">
        <v>12156</v>
      </c>
      <c r="G3398" s="23" t="s">
        <v>13249</v>
      </c>
      <c r="H3398" s="23"/>
      <c r="I3398" s="23"/>
      <c r="J3398" s="23"/>
      <c r="K3398" s="23"/>
      <c r="L3398" s="375" t="s">
        <v>7787</v>
      </c>
      <c r="M3398" s="351" t="s">
        <v>7787</v>
      </c>
      <c r="N3398" s="267">
        <f t="shared" si="802"/>
        <v>0</v>
      </c>
      <c r="O3398" s="268">
        <f t="shared" si="803"/>
        <v>0</v>
      </c>
      <c r="P3398" s="239"/>
      <c r="Q3398" s="239"/>
      <c r="R3398" s="239"/>
      <c r="S3398" s="239"/>
      <c r="T3398" s="239"/>
      <c r="U3398" s="240"/>
      <c r="V3398" s="240"/>
      <c r="W3398" s="240"/>
      <c r="X3398" s="278"/>
      <c r="Y3398" s="237"/>
      <c r="Z3398" s="237"/>
      <c r="AA3398" s="279"/>
      <c r="AB3398" s="238"/>
      <c r="AC3398" s="196">
        <f t="shared" si="804"/>
        <v>0</v>
      </c>
      <c r="AD3398" s="196">
        <f t="shared" si="805"/>
        <v>0</v>
      </c>
      <c r="AE3398" s="196">
        <f t="shared" si="806"/>
        <v>0</v>
      </c>
      <c r="AF3398" s="2">
        <f t="shared" si="807"/>
        <v>0</v>
      </c>
      <c r="AG3398" s="2">
        <f t="shared" si="808"/>
        <v>0</v>
      </c>
    </row>
    <row r="3399" spans="1:33">
      <c r="A3399" s="20" t="s">
        <v>23638</v>
      </c>
      <c r="B3399" s="150"/>
      <c r="C3399" s="21" t="s">
        <v>23606</v>
      </c>
      <c r="D3399" s="109" t="s">
        <v>6766</v>
      </c>
      <c r="E3399" s="109" t="s">
        <v>8213</v>
      </c>
      <c r="F3399" s="391" t="s">
        <v>12156</v>
      </c>
      <c r="G3399" s="23" t="s">
        <v>13249</v>
      </c>
      <c r="H3399" s="23" t="s">
        <v>24804</v>
      </c>
      <c r="I3399" s="23"/>
      <c r="J3399" s="23"/>
      <c r="K3399" s="23"/>
      <c r="L3399" s="375"/>
      <c r="M3399" s="351"/>
      <c r="N3399" s="267">
        <f t="shared" si="802"/>
        <v>0</v>
      </c>
      <c r="O3399" s="268">
        <f t="shared" si="803"/>
        <v>0</v>
      </c>
      <c r="P3399" s="239"/>
      <c r="Q3399" s="239"/>
      <c r="R3399" s="239"/>
      <c r="S3399" s="239"/>
      <c r="T3399" s="239"/>
      <c r="U3399" s="240"/>
      <c r="V3399" s="240"/>
      <c r="W3399" s="240"/>
      <c r="X3399" s="278"/>
      <c r="Y3399" s="237"/>
      <c r="Z3399" s="237"/>
      <c r="AA3399" s="279"/>
      <c r="AB3399" s="238"/>
      <c r="AC3399" s="196">
        <f t="shared" si="804"/>
        <v>0</v>
      </c>
      <c r="AD3399" s="196">
        <f t="shared" si="805"/>
        <v>0</v>
      </c>
      <c r="AE3399" s="196">
        <f t="shared" si="806"/>
        <v>0</v>
      </c>
      <c r="AF3399" s="2">
        <f t="shared" si="807"/>
        <v>0</v>
      </c>
      <c r="AG3399" s="2">
        <f t="shared" si="808"/>
        <v>0</v>
      </c>
    </row>
    <row r="3400" spans="1:33">
      <c r="A3400" s="20" t="s">
        <v>12252</v>
      </c>
      <c r="B3400" s="150"/>
      <c r="C3400" s="21" t="s">
        <v>16728</v>
      </c>
      <c r="D3400" s="109" t="s">
        <v>16677</v>
      </c>
      <c r="E3400" s="109"/>
      <c r="F3400" s="391" t="s">
        <v>16729</v>
      </c>
      <c r="G3400" s="23" t="s">
        <v>15962</v>
      </c>
      <c r="H3400" s="23"/>
      <c r="I3400" s="23"/>
      <c r="J3400" s="23"/>
      <c r="K3400" s="23"/>
      <c r="L3400" s="375" t="s">
        <v>7787</v>
      </c>
      <c r="M3400" s="351" t="s">
        <v>7787</v>
      </c>
      <c r="N3400" s="267">
        <f t="shared" si="802"/>
        <v>0</v>
      </c>
      <c r="O3400" s="268">
        <f t="shared" si="803"/>
        <v>0</v>
      </c>
      <c r="P3400" s="239"/>
      <c r="Q3400" s="239"/>
      <c r="R3400" s="239"/>
      <c r="S3400" s="239"/>
      <c r="T3400" s="239"/>
      <c r="U3400" s="240"/>
      <c r="V3400" s="237"/>
      <c r="W3400" s="240"/>
      <c r="X3400" s="278"/>
      <c r="Y3400" s="237"/>
      <c r="Z3400" s="237"/>
      <c r="AA3400" s="279"/>
      <c r="AB3400" s="238"/>
      <c r="AC3400" s="196">
        <f t="shared" si="804"/>
        <v>0</v>
      </c>
      <c r="AD3400" s="196">
        <f t="shared" si="805"/>
        <v>0</v>
      </c>
      <c r="AE3400" s="196">
        <f t="shared" si="806"/>
        <v>0</v>
      </c>
      <c r="AF3400" s="2">
        <f t="shared" si="807"/>
        <v>0</v>
      </c>
      <c r="AG3400" s="2">
        <f t="shared" si="808"/>
        <v>0</v>
      </c>
    </row>
    <row r="3401" spans="1:33">
      <c r="A3401" s="20" t="s">
        <v>21770</v>
      </c>
      <c r="B3401" s="150"/>
      <c r="C3401" s="21" t="s">
        <v>12326</v>
      </c>
      <c r="D3401" s="109" t="s">
        <v>11207</v>
      </c>
      <c r="E3401" s="109"/>
      <c r="F3401" s="391" t="s">
        <v>21881</v>
      </c>
      <c r="G3401" s="23" t="s">
        <v>13888</v>
      </c>
      <c r="H3401" s="23"/>
      <c r="I3401" s="23"/>
      <c r="J3401" s="23"/>
      <c r="K3401" s="23"/>
      <c r="L3401" s="375"/>
      <c r="M3401" s="351" t="s">
        <v>7787</v>
      </c>
      <c r="N3401" s="267">
        <f t="shared" si="802"/>
        <v>0</v>
      </c>
      <c r="O3401" s="268">
        <f t="shared" si="803"/>
        <v>0</v>
      </c>
      <c r="P3401" s="239"/>
      <c r="Q3401" s="239"/>
      <c r="R3401" s="240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/>
      <c r="AC3401" s="196">
        <f t="shared" si="804"/>
        <v>0</v>
      </c>
      <c r="AD3401" s="196">
        <f t="shared" si="805"/>
        <v>0</v>
      </c>
      <c r="AE3401" s="196">
        <f t="shared" si="806"/>
        <v>0</v>
      </c>
      <c r="AF3401" s="2">
        <f t="shared" si="807"/>
        <v>0</v>
      </c>
      <c r="AG3401" s="2">
        <f t="shared" si="808"/>
        <v>0</v>
      </c>
    </row>
    <row r="3402" spans="1:33">
      <c r="A3402" s="20" t="s">
        <v>21846</v>
      </c>
      <c r="B3402" s="150"/>
      <c r="C3402" s="21" t="s">
        <v>12326</v>
      </c>
      <c r="D3402" s="109" t="s">
        <v>11207</v>
      </c>
      <c r="E3402" s="109" t="s">
        <v>21883</v>
      </c>
      <c r="F3402" s="391" t="s">
        <v>12403</v>
      </c>
      <c r="G3402" s="23" t="s">
        <v>13341</v>
      </c>
      <c r="H3402" s="23"/>
      <c r="I3402" s="23"/>
      <c r="J3402" s="23"/>
      <c r="K3402" s="23"/>
      <c r="L3402" s="375" t="s">
        <v>7787</v>
      </c>
      <c r="M3402" s="351" t="s">
        <v>7787</v>
      </c>
      <c r="N3402" s="267">
        <f t="shared" si="802"/>
        <v>0</v>
      </c>
      <c r="O3402" s="268">
        <f t="shared" si="803"/>
        <v>0</v>
      </c>
      <c r="P3402" s="239"/>
      <c r="Q3402" s="239"/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/>
      <c r="AC3402" s="196">
        <f t="shared" si="804"/>
        <v>0</v>
      </c>
      <c r="AD3402" s="196">
        <f t="shared" si="805"/>
        <v>0</v>
      </c>
      <c r="AE3402" s="196">
        <f t="shared" si="806"/>
        <v>0</v>
      </c>
      <c r="AF3402" s="2">
        <f t="shared" si="807"/>
        <v>0</v>
      </c>
      <c r="AG3402" s="2">
        <f t="shared" si="808"/>
        <v>0</v>
      </c>
    </row>
    <row r="3403" spans="1:33">
      <c r="A3403" s="20" t="s">
        <v>12099</v>
      </c>
      <c r="B3403" s="150"/>
      <c r="C3403" s="21" t="s">
        <v>16730</v>
      </c>
      <c r="D3403" s="109" t="s">
        <v>16313</v>
      </c>
      <c r="E3403" s="109"/>
      <c r="F3403" s="391" t="s">
        <v>16731</v>
      </c>
      <c r="G3403" s="23" t="s">
        <v>16183</v>
      </c>
      <c r="H3403" s="23" t="s">
        <v>13888</v>
      </c>
      <c r="I3403" s="23"/>
      <c r="J3403" s="23"/>
      <c r="K3403" s="23"/>
      <c r="L3403" s="375" t="s">
        <v>27895</v>
      </c>
      <c r="M3403" s="351" t="s">
        <v>45</v>
      </c>
      <c r="N3403" s="267">
        <f t="shared" si="802"/>
        <v>0</v>
      </c>
      <c r="O3403" s="268">
        <f t="shared" si="803"/>
        <v>350</v>
      </c>
      <c r="P3403" s="239"/>
      <c r="Q3403" s="239">
        <f>700-350</f>
        <v>350</v>
      </c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 t="s">
        <v>27886</v>
      </c>
      <c r="AC3403" s="196">
        <f t="shared" si="804"/>
        <v>350</v>
      </c>
      <c r="AD3403" s="196">
        <f t="shared" si="805"/>
        <v>350</v>
      </c>
      <c r="AE3403" s="196">
        <f t="shared" si="806"/>
        <v>0</v>
      </c>
      <c r="AF3403" s="2">
        <f t="shared" si="807"/>
        <v>350</v>
      </c>
      <c r="AG3403" s="2">
        <f t="shared" si="808"/>
        <v>0</v>
      </c>
    </row>
    <row r="3404" spans="1:33">
      <c r="A3404" s="20" t="s">
        <v>18404</v>
      </c>
      <c r="B3404" s="150"/>
      <c r="C3404" s="21" t="s">
        <v>12154</v>
      </c>
      <c r="D3404" s="109" t="s">
        <v>8376</v>
      </c>
      <c r="E3404" s="109"/>
      <c r="F3404" s="391" t="s">
        <v>12157</v>
      </c>
      <c r="G3404" s="23" t="s">
        <v>16997</v>
      </c>
      <c r="H3404" s="23"/>
      <c r="I3404" s="23"/>
      <c r="J3404" s="23"/>
      <c r="K3404" s="23"/>
      <c r="L3404" s="375" t="s">
        <v>7787</v>
      </c>
      <c r="M3404" s="351"/>
      <c r="N3404" s="267">
        <f t="shared" si="802"/>
        <v>0</v>
      </c>
      <c r="O3404" s="268">
        <f t="shared" si="803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4"/>
        <v>0</v>
      </c>
      <c r="AD3404" s="196">
        <f t="shared" si="805"/>
        <v>0</v>
      </c>
      <c r="AE3404" s="196">
        <f t="shared" si="806"/>
        <v>0</v>
      </c>
      <c r="AF3404" s="2">
        <f t="shared" si="807"/>
        <v>0</v>
      </c>
      <c r="AG3404" s="2">
        <f t="shared" si="808"/>
        <v>0</v>
      </c>
    </row>
    <row r="3405" spans="1:33">
      <c r="A3405" s="20" t="s">
        <v>12100</v>
      </c>
      <c r="B3405" s="150"/>
      <c r="C3405" s="21" t="s">
        <v>16732</v>
      </c>
      <c r="D3405" s="109" t="s">
        <v>16313</v>
      </c>
      <c r="E3405" s="109"/>
      <c r="F3405" s="391" t="s">
        <v>16733</v>
      </c>
      <c r="G3405" s="23" t="s">
        <v>16183</v>
      </c>
      <c r="H3405" s="23" t="s">
        <v>16413</v>
      </c>
      <c r="I3405" s="23"/>
      <c r="J3405" s="23"/>
      <c r="K3405" s="23"/>
      <c r="L3405" s="375" t="s">
        <v>7787</v>
      </c>
      <c r="M3405" s="351" t="s">
        <v>7787</v>
      </c>
      <c r="N3405" s="267">
        <f t="shared" si="802"/>
        <v>0</v>
      </c>
      <c r="O3405" s="268">
        <f t="shared" si="803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4"/>
        <v>0</v>
      </c>
      <c r="AD3405" s="196">
        <f t="shared" si="805"/>
        <v>0</v>
      </c>
      <c r="AE3405" s="196">
        <f t="shared" si="806"/>
        <v>0</v>
      </c>
      <c r="AF3405" s="2">
        <f t="shared" si="807"/>
        <v>0</v>
      </c>
      <c r="AG3405" s="2">
        <f t="shared" si="808"/>
        <v>0</v>
      </c>
    </row>
    <row r="3406" spans="1:33">
      <c r="A3406" s="20" t="s">
        <v>12637</v>
      </c>
      <c r="B3406" s="150"/>
      <c r="C3406" s="21" t="s">
        <v>12595</v>
      </c>
      <c r="D3406" s="109" t="s">
        <v>16543</v>
      </c>
      <c r="E3406" s="109"/>
      <c r="F3406" s="391" t="s">
        <v>16734</v>
      </c>
      <c r="G3406" s="23" t="s">
        <v>16725</v>
      </c>
      <c r="H3406" s="23" t="s">
        <v>25713</v>
      </c>
      <c r="I3406" s="23"/>
      <c r="J3406" s="23"/>
      <c r="K3406" s="23"/>
      <c r="L3406" s="375" t="s">
        <v>45</v>
      </c>
      <c r="M3406" s="351" t="s">
        <v>7787</v>
      </c>
      <c r="N3406" s="267">
        <f t="shared" si="802"/>
        <v>0</v>
      </c>
      <c r="O3406" s="268">
        <f t="shared" si="803"/>
        <v>0</v>
      </c>
      <c r="P3406" s="239"/>
      <c r="Q3406" s="239"/>
      <c r="R3406" s="239"/>
      <c r="S3406" s="239"/>
      <c r="T3406" s="239"/>
      <c r="U3406" s="240"/>
      <c r="V3406" s="240"/>
      <c r="W3406" s="240"/>
      <c r="X3406" s="278"/>
      <c r="Y3406" s="237"/>
      <c r="Z3406" s="237"/>
      <c r="AA3406" s="279"/>
      <c r="AB3406" s="238"/>
      <c r="AC3406" s="196">
        <f t="shared" si="804"/>
        <v>0</v>
      </c>
      <c r="AD3406" s="196">
        <f t="shared" si="805"/>
        <v>0</v>
      </c>
      <c r="AE3406" s="196">
        <f t="shared" si="806"/>
        <v>0</v>
      </c>
      <c r="AF3406" s="2">
        <f t="shared" si="807"/>
        <v>0</v>
      </c>
      <c r="AG3406" s="2">
        <f t="shared" si="808"/>
        <v>0</v>
      </c>
    </row>
    <row r="3407" spans="1:33">
      <c r="A3407" s="20" t="s">
        <v>12094</v>
      </c>
      <c r="B3407" s="150"/>
      <c r="C3407" s="21" t="s">
        <v>16735</v>
      </c>
      <c r="D3407" s="109" t="s">
        <v>16329</v>
      </c>
      <c r="E3407" s="109" t="s">
        <v>16736</v>
      </c>
      <c r="F3407" s="391" t="s">
        <v>16625</v>
      </c>
      <c r="G3407" s="23" t="s">
        <v>16183</v>
      </c>
      <c r="H3407" s="23"/>
      <c r="I3407" s="23"/>
      <c r="J3407" s="23"/>
      <c r="K3407" s="23"/>
      <c r="L3407" s="375" t="s">
        <v>7787</v>
      </c>
      <c r="M3407" s="351" t="s">
        <v>7787</v>
      </c>
      <c r="N3407" s="267">
        <f t="shared" si="802"/>
        <v>0</v>
      </c>
      <c r="O3407" s="268">
        <f t="shared" si="803"/>
        <v>0</v>
      </c>
      <c r="P3407" s="239"/>
      <c r="Q3407" s="239"/>
      <c r="R3407" s="239"/>
      <c r="S3407" s="239"/>
      <c r="T3407" s="239"/>
      <c r="U3407" s="240"/>
      <c r="V3407" s="240"/>
      <c r="W3407" s="240"/>
      <c r="X3407" s="278"/>
      <c r="Y3407" s="237"/>
      <c r="Z3407" s="237"/>
      <c r="AA3407" s="279"/>
      <c r="AB3407" s="238"/>
      <c r="AC3407" s="196">
        <f t="shared" si="804"/>
        <v>0</v>
      </c>
      <c r="AD3407" s="196">
        <f t="shared" si="805"/>
        <v>0</v>
      </c>
      <c r="AE3407" s="196">
        <f t="shared" si="806"/>
        <v>0</v>
      </c>
      <c r="AF3407" s="2">
        <f t="shared" si="807"/>
        <v>0</v>
      </c>
      <c r="AG3407" s="2">
        <f t="shared" si="808"/>
        <v>0</v>
      </c>
    </row>
    <row r="3408" spans="1:33">
      <c r="A3408" s="20" t="s">
        <v>12638</v>
      </c>
      <c r="B3408" s="150"/>
      <c r="C3408" s="21" t="s">
        <v>16737</v>
      </c>
      <c r="D3408" s="109" t="s">
        <v>15167</v>
      </c>
      <c r="E3408" s="109" t="s">
        <v>27462</v>
      </c>
      <c r="F3408" s="391" t="s">
        <v>16738</v>
      </c>
      <c r="G3408" s="23" t="s">
        <v>16739</v>
      </c>
      <c r="H3408" s="23" t="s">
        <v>13905</v>
      </c>
      <c r="I3408" s="23" t="s">
        <v>21203</v>
      </c>
      <c r="J3408" s="23" t="s">
        <v>13301</v>
      </c>
      <c r="K3408" s="23" t="s">
        <v>27293</v>
      </c>
      <c r="L3408" s="375" t="s">
        <v>7787</v>
      </c>
      <c r="M3408" s="351"/>
      <c r="N3408" s="267">
        <f t="shared" si="802"/>
        <v>0</v>
      </c>
      <c r="O3408" s="268">
        <f t="shared" si="803"/>
        <v>700</v>
      </c>
      <c r="P3408" s="239"/>
      <c r="Q3408" s="239"/>
      <c r="R3408" s="239"/>
      <c r="S3408" s="239"/>
      <c r="T3408" s="239"/>
      <c r="U3408" s="239">
        <f>2000-300-1000</f>
        <v>700</v>
      </c>
      <c r="V3408" s="240"/>
      <c r="W3408" s="240"/>
      <c r="X3408" s="278"/>
      <c r="Y3408" s="239"/>
      <c r="Z3408" s="237"/>
      <c r="AA3408" s="279"/>
      <c r="AB3408" s="238" t="s">
        <v>27631</v>
      </c>
      <c r="AC3408" s="196">
        <f t="shared" si="804"/>
        <v>700</v>
      </c>
      <c r="AD3408" s="196">
        <f t="shared" si="805"/>
        <v>700</v>
      </c>
      <c r="AE3408" s="196">
        <f t="shared" si="806"/>
        <v>0</v>
      </c>
      <c r="AF3408" s="2">
        <f t="shared" si="807"/>
        <v>700</v>
      </c>
      <c r="AG3408" s="2">
        <f t="shared" si="808"/>
        <v>0</v>
      </c>
    </row>
    <row r="3409" spans="1:33">
      <c r="A3409" s="20" t="s">
        <v>12095</v>
      </c>
      <c r="B3409" s="150"/>
      <c r="C3409" s="21" t="s">
        <v>16740</v>
      </c>
      <c r="D3409" s="109" t="s">
        <v>16186</v>
      </c>
      <c r="E3409" s="109"/>
      <c r="F3409" s="391" t="s">
        <v>16741</v>
      </c>
      <c r="G3409" s="23" t="s">
        <v>15962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si="802"/>
        <v>0</v>
      </c>
      <c r="O3409" s="268">
        <f t="shared" si="803"/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9"/>
      <c r="Z3409" s="237"/>
      <c r="AA3409" s="279"/>
      <c r="AB3409" s="238"/>
      <c r="AC3409" s="196">
        <f t="shared" si="804"/>
        <v>0</v>
      </c>
      <c r="AD3409" s="196">
        <f t="shared" si="805"/>
        <v>0</v>
      </c>
      <c r="AE3409" s="196">
        <f t="shared" si="806"/>
        <v>0</v>
      </c>
      <c r="AF3409" s="2">
        <f t="shared" si="807"/>
        <v>0</v>
      </c>
      <c r="AG3409" s="2">
        <f t="shared" si="808"/>
        <v>0</v>
      </c>
    </row>
    <row r="3410" spans="1:33">
      <c r="A3410" s="20" t="s">
        <v>12416</v>
      </c>
      <c r="B3410" s="150"/>
      <c r="C3410" s="21" t="s">
        <v>16742</v>
      </c>
      <c r="D3410" s="109" t="s">
        <v>16543</v>
      </c>
      <c r="E3410" s="109"/>
      <c r="F3410" s="391" t="s">
        <v>16743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ref="N3410:N3478" si="811">SUM(L3410:M3410)</f>
        <v>0</v>
      </c>
      <c r="O3410" s="268">
        <f t="shared" ref="O3410:O3478" si="812">SUM(P3410:Z3410)</f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7"/>
      <c r="Z3410" s="237"/>
      <c r="AA3410" s="279"/>
      <c r="AB3410" s="238"/>
      <c r="AC3410" s="196">
        <f t="shared" si="804"/>
        <v>0</v>
      </c>
      <c r="AD3410" s="196">
        <f t="shared" si="805"/>
        <v>0</v>
      </c>
      <c r="AE3410" s="196">
        <f t="shared" si="806"/>
        <v>0</v>
      </c>
      <c r="AF3410" s="2">
        <f t="shared" si="807"/>
        <v>0</v>
      </c>
      <c r="AG3410" s="2">
        <f t="shared" si="808"/>
        <v>0</v>
      </c>
    </row>
    <row r="3411" spans="1:33">
      <c r="A3411" s="20" t="s">
        <v>12417</v>
      </c>
      <c r="B3411" s="150"/>
      <c r="C3411" s="21" t="s">
        <v>16744</v>
      </c>
      <c r="D3411" s="109" t="s">
        <v>16543</v>
      </c>
      <c r="E3411" s="109"/>
      <c r="F3411" s="391" t="s">
        <v>16745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 t="s">
        <v>7787</v>
      </c>
      <c r="N3411" s="267">
        <f t="shared" si="811"/>
        <v>0</v>
      </c>
      <c r="O3411" s="268">
        <f t="shared" si="812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7"/>
      <c r="Z3411" s="237"/>
      <c r="AA3411" s="239"/>
      <c r="AB3411" s="238"/>
      <c r="AC3411" s="196">
        <f t="shared" si="804"/>
        <v>0</v>
      </c>
      <c r="AD3411" s="196">
        <f t="shared" si="805"/>
        <v>0</v>
      </c>
      <c r="AE3411" s="196">
        <f t="shared" si="806"/>
        <v>0</v>
      </c>
      <c r="AF3411" s="2">
        <f t="shared" si="807"/>
        <v>0</v>
      </c>
      <c r="AG3411" s="2">
        <f t="shared" si="808"/>
        <v>0</v>
      </c>
    </row>
    <row r="3412" spans="1:33">
      <c r="A3412" s="20" t="s">
        <v>12418</v>
      </c>
      <c r="B3412" s="150"/>
      <c r="C3412" s="21" t="s">
        <v>16746</v>
      </c>
      <c r="D3412" s="109" t="s">
        <v>16543</v>
      </c>
      <c r="E3412" s="109"/>
      <c r="F3412" s="391" t="s">
        <v>16747</v>
      </c>
      <c r="G3412" s="23" t="s">
        <v>16725</v>
      </c>
      <c r="H3412" s="23"/>
      <c r="I3412" s="23"/>
      <c r="J3412" s="23"/>
      <c r="K3412" s="23"/>
      <c r="L3412" s="375" t="s">
        <v>7787</v>
      </c>
      <c r="M3412" s="351" t="s">
        <v>7787</v>
      </c>
      <c r="N3412" s="267">
        <f t="shared" si="811"/>
        <v>0</v>
      </c>
      <c r="O3412" s="268">
        <f t="shared" si="812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9"/>
      <c r="Z3412" s="237"/>
      <c r="AA3412" s="279"/>
      <c r="AB3412" s="238"/>
      <c r="AC3412" s="196">
        <f t="shared" si="804"/>
        <v>0</v>
      </c>
      <c r="AD3412" s="196">
        <f t="shared" si="805"/>
        <v>0</v>
      </c>
      <c r="AE3412" s="196">
        <f t="shared" si="806"/>
        <v>0</v>
      </c>
      <c r="AF3412" s="2">
        <f t="shared" si="807"/>
        <v>0</v>
      </c>
      <c r="AG3412" s="2">
        <f t="shared" si="808"/>
        <v>0</v>
      </c>
    </row>
    <row r="3413" spans="1:33">
      <c r="A3413" s="20" t="s">
        <v>12649</v>
      </c>
      <c r="B3413" s="150"/>
      <c r="C3413" s="21" t="s">
        <v>12786</v>
      </c>
      <c r="D3413" s="109" t="s">
        <v>16543</v>
      </c>
      <c r="E3413" s="109"/>
      <c r="F3413" s="391" t="s">
        <v>16748</v>
      </c>
      <c r="G3413" s="23" t="s">
        <v>16725</v>
      </c>
      <c r="H3413" s="23"/>
      <c r="I3413" s="23"/>
      <c r="J3413" s="23"/>
      <c r="K3413" s="23"/>
      <c r="L3413" s="375" t="s">
        <v>7787</v>
      </c>
      <c r="M3413" s="351"/>
      <c r="N3413" s="267">
        <f t="shared" si="811"/>
        <v>0</v>
      </c>
      <c r="O3413" s="268">
        <f t="shared" si="812"/>
        <v>0</v>
      </c>
      <c r="P3413" s="239"/>
      <c r="Q3413" s="239"/>
      <c r="R3413" s="239"/>
      <c r="S3413" s="239"/>
      <c r="T3413" s="239"/>
      <c r="U3413" s="240"/>
      <c r="V3413" s="240"/>
      <c r="W3413" s="240"/>
      <c r="X3413" s="278"/>
      <c r="Y3413" s="237"/>
      <c r="Z3413" s="237"/>
      <c r="AA3413" s="279"/>
      <c r="AB3413" s="238"/>
      <c r="AC3413" s="196">
        <f t="shared" si="804"/>
        <v>0</v>
      </c>
      <c r="AD3413" s="196">
        <f t="shared" si="805"/>
        <v>0</v>
      </c>
      <c r="AE3413" s="196">
        <f t="shared" si="806"/>
        <v>0</v>
      </c>
      <c r="AF3413" s="2">
        <f t="shared" si="807"/>
        <v>0</v>
      </c>
      <c r="AG3413" s="2">
        <f t="shared" si="808"/>
        <v>0</v>
      </c>
    </row>
    <row r="3414" spans="1:33">
      <c r="A3414" s="20" t="s">
        <v>12639</v>
      </c>
      <c r="B3414" s="150"/>
      <c r="C3414" s="21" t="s">
        <v>16749</v>
      </c>
      <c r="D3414" s="109" t="s">
        <v>16543</v>
      </c>
      <c r="E3414" s="109"/>
      <c r="F3414" s="391" t="s">
        <v>16750</v>
      </c>
      <c r="G3414" s="23" t="s">
        <v>16725</v>
      </c>
      <c r="H3414" s="23" t="s">
        <v>13888</v>
      </c>
      <c r="I3414" s="23"/>
      <c r="J3414" s="23"/>
      <c r="K3414" s="23"/>
      <c r="L3414" s="375" t="s">
        <v>7787</v>
      </c>
      <c r="M3414" s="351"/>
      <c r="N3414" s="267">
        <f t="shared" si="811"/>
        <v>0</v>
      </c>
      <c r="O3414" s="268">
        <f t="shared" si="812"/>
        <v>0</v>
      </c>
      <c r="P3414" s="239"/>
      <c r="Q3414" s="239"/>
      <c r="R3414" s="239"/>
      <c r="S3414" s="239"/>
      <c r="T3414" s="239"/>
      <c r="U3414" s="240"/>
      <c r="V3414" s="240"/>
      <c r="W3414" s="240"/>
      <c r="X3414" s="278"/>
      <c r="Y3414" s="237"/>
      <c r="Z3414" s="237"/>
      <c r="AA3414" s="279"/>
      <c r="AB3414" s="238"/>
      <c r="AC3414" s="196">
        <f t="shared" si="804"/>
        <v>0</v>
      </c>
      <c r="AD3414" s="196">
        <f t="shared" si="805"/>
        <v>0</v>
      </c>
      <c r="AE3414" s="196">
        <f t="shared" si="806"/>
        <v>0</v>
      </c>
      <c r="AF3414" s="2">
        <f t="shared" si="807"/>
        <v>0</v>
      </c>
      <c r="AG3414" s="2">
        <f t="shared" si="808"/>
        <v>0</v>
      </c>
    </row>
    <row r="3415" spans="1:33">
      <c r="A3415" s="20" t="s">
        <v>12103</v>
      </c>
      <c r="B3415" s="150"/>
      <c r="C3415" s="21" t="s">
        <v>22151</v>
      </c>
      <c r="D3415" s="109" t="s">
        <v>16329</v>
      </c>
      <c r="E3415" s="109"/>
      <c r="F3415" s="391" t="s">
        <v>16751</v>
      </c>
      <c r="G3415" s="23" t="s">
        <v>16183</v>
      </c>
      <c r="H3415" s="23" t="s">
        <v>16301</v>
      </c>
      <c r="I3415" s="23"/>
      <c r="J3415" s="23"/>
      <c r="K3415" s="23"/>
      <c r="L3415" s="375" t="s">
        <v>7787</v>
      </c>
      <c r="M3415" s="351" t="s">
        <v>7787</v>
      </c>
      <c r="N3415" s="267">
        <f t="shared" si="811"/>
        <v>0</v>
      </c>
      <c r="O3415" s="268">
        <f t="shared" si="812"/>
        <v>0</v>
      </c>
      <c r="P3415" s="239"/>
      <c r="Q3415" s="239"/>
      <c r="R3415" s="237"/>
      <c r="S3415" s="237"/>
      <c r="T3415" s="239"/>
      <c r="U3415" s="240"/>
      <c r="V3415" s="240"/>
      <c r="W3415" s="240"/>
      <c r="X3415" s="278"/>
      <c r="Y3415" s="239"/>
      <c r="Z3415" s="237"/>
      <c r="AA3415" s="279"/>
      <c r="AB3415" s="238"/>
      <c r="AC3415" s="196">
        <f t="shared" si="804"/>
        <v>0</v>
      </c>
      <c r="AD3415" s="196">
        <f t="shared" si="805"/>
        <v>0</v>
      </c>
      <c r="AE3415" s="196">
        <f t="shared" si="806"/>
        <v>0</v>
      </c>
      <c r="AF3415" s="2">
        <f t="shared" si="807"/>
        <v>0</v>
      </c>
      <c r="AG3415" s="2">
        <f t="shared" si="808"/>
        <v>0</v>
      </c>
    </row>
    <row r="3416" spans="1:33">
      <c r="A3416" s="20" t="s">
        <v>21459</v>
      </c>
      <c r="B3416" s="150"/>
      <c r="C3416" s="21" t="s">
        <v>20756</v>
      </c>
      <c r="D3416" s="109" t="s">
        <v>8554</v>
      </c>
      <c r="E3416" s="109" t="s">
        <v>23848</v>
      </c>
      <c r="F3416" s="391" t="s">
        <v>12210</v>
      </c>
      <c r="G3416" s="23" t="s">
        <v>6133</v>
      </c>
      <c r="H3416" s="23"/>
      <c r="I3416" s="23"/>
      <c r="J3416" s="23"/>
      <c r="K3416" s="23"/>
      <c r="L3416" s="375"/>
      <c r="M3416" s="351"/>
      <c r="N3416" s="267">
        <f t="shared" si="811"/>
        <v>0</v>
      </c>
      <c r="O3416" s="268">
        <f t="shared" si="812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4"/>
        <v>0</v>
      </c>
      <c r="AD3416" s="196">
        <f t="shared" si="805"/>
        <v>0</v>
      </c>
      <c r="AE3416" s="196">
        <f t="shared" si="806"/>
        <v>0</v>
      </c>
      <c r="AF3416" s="2">
        <f t="shared" si="807"/>
        <v>0</v>
      </c>
      <c r="AG3416" s="2">
        <f t="shared" si="808"/>
        <v>0</v>
      </c>
    </row>
    <row r="3417" spans="1:33">
      <c r="A3417" s="20" t="s">
        <v>22697</v>
      </c>
      <c r="B3417" s="150"/>
      <c r="C3417" s="21" t="s">
        <v>22715</v>
      </c>
      <c r="D3417" s="109" t="s">
        <v>22713</v>
      </c>
      <c r="E3417" s="109"/>
      <c r="F3417" s="391" t="s">
        <v>22714</v>
      </c>
      <c r="G3417" s="23" t="s">
        <v>10645</v>
      </c>
      <c r="H3417" s="23"/>
      <c r="I3417" s="23"/>
      <c r="J3417" s="23"/>
      <c r="K3417" s="23"/>
      <c r="L3417" s="375" t="s">
        <v>7787</v>
      </c>
      <c r="M3417" s="351"/>
      <c r="N3417" s="267">
        <f t="shared" si="811"/>
        <v>0</v>
      </c>
      <c r="O3417" s="268">
        <f t="shared" si="812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4"/>
        <v>0</v>
      </c>
      <c r="AD3417" s="196">
        <f t="shared" si="805"/>
        <v>0</v>
      </c>
      <c r="AE3417" s="196">
        <f t="shared" si="806"/>
        <v>0</v>
      </c>
      <c r="AF3417" s="2">
        <f t="shared" si="807"/>
        <v>0</v>
      </c>
      <c r="AG3417" s="2">
        <f t="shared" si="808"/>
        <v>0</v>
      </c>
    </row>
    <row r="3418" spans="1:33">
      <c r="A3418" s="20" t="s">
        <v>12841</v>
      </c>
      <c r="B3418" s="150"/>
      <c r="C3418" s="21" t="s">
        <v>17791</v>
      </c>
      <c r="D3418" s="109" t="s">
        <v>16189</v>
      </c>
      <c r="E3418" s="109" t="s">
        <v>18968</v>
      </c>
      <c r="F3418" s="391" t="s">
        <v>16752</v>
      </c>
      <c r="G3418" s="23" t="s">
        <v>16333</v>
      </c>
      <c r="H3418" s="23" t="s">
        <v>16619</v>
      </c>
      <c r="I3418" s="23"/>
      <c r="J3418" s="23"/>
      <c r="K3418" s="23"/>
      <c r="L3418" s="375" t="s">
        <v>7787</v>
      </c>
      <c r="M3418" s="351" t="s">
        <v>7787</v>
      </c>
      <c r="N3418" s="267">
        <f t="shared" si="811"/>
        <v>0</v>
      </c>
      <c r="O3418" s="268">
        <f t="shared" si="812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4"/>
        <v>0</v>
      </c>
      <c r="AD3418" s="196">
        <f t="shared" si="805"/>
        <v>0</v>
      </c>
      <c r="AE3418" s="196">
        <f t="shared" si="806"/>
        <v>0</v>
      </c>
      <c r="AF3418" s="2">
        <f t="shared" si="807"/>
        <v>0</v>
      </c>
      <c r="AG3418" s="2">
        <f t="shared" si="808"/>
        <v>0</v>
      </c>
    </row>
    <row r="3419" spans="1:33">
      <c r="A3419" s="20" t="s">
        <v>17725</v>
      </c>
      <c r="B3419" s="150"/>
      <c r="C3419" s="21" t="s">
        <v>17792</v>
      </c>
      <c r="D3419" s="109" t="s">
        <v>3958</v>
      </c>
      <c r="E3419" s="109" t="s">
        <v>18968</v>
      </c>
      <c r="F3419" s="391" t="s">
        <v>12860</v>
      </c>
      <c r="G3419" s="23" t="s">
        <v>16333</v>
      </c>
      <c r="H3419" s="23" t="s">
        <v>15830</v>
      </c>
      <c r="I3419" s="23"/>
      <c r="J3419" s="23"/>
      <c r="K3419" s="23"/>
      <c r="L3419" s="375" t="s">
        <v>7787</v>
      </c>
      <c r="M3419" s="351" t="s">
        <v>7787</v>
      </c>
      <c r="N3419" s="267">
        <f t="shared" si="811"/>
        <v>0</v>
      </c>
      <c r="O3419" s="268">
        <f t="shared" si="812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4"/>
        <v>0</v>
      </c>
      <c r="AD3419" s="196">
        <f t="shared" si="805"/>
        <v>0</v>
      </c>
      <c r="AE3419" s="196">
        <f t="shared" si="806"/>
        <v>0</v>
      </c>
      <c r="AF3419" s="2">
        <f t="shared" si="807"/>
        <v>0</v>
      </c>
      <c r="AG3419" s="2">
        <f t="shared" si="808"/>
        <v>0</v>
      </c>
    </row>
    <row r="3420" spans="1:33">
      <c r="A3420" s="20" t="s">
        <v>2816</v>
      </c>
      <c r="B3420" s="150"/>
      <c r="C3420" s="21" t="s">
        <v>840</v>
      </c>
      <c r="D3420" s="109" t="s">
        <v>16753</v>
      </c>
      <c r="E3420" s="109" t="s">
        <v>15965</v>
      </c>
      <c r="F3420" s="391" t="s">
        <v>16754</v>
      </c>
      <c r="G3420" s="23"/>
      <c r="H3420" s="23"/>
      <c r="I3420" s="23"/>
      <c r="J3420" s="23"/>
      <c r="K3420" s="23"/>
      <c r="L3420" s="350"/>
      <c r="M3420" s="351"/>
      <c r="N3420" s="267">
        <f t="shared" si="811"/>
        <v>0</v>
      </c>
      <c r="O3420" s="268">
        <f t="shared" si="812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4"/>
        <v>0</v>
      </c>
      <c r="AD3420" s="196">
        <f t="shared" si="805"/>
        <v>0</v>
      </c>
      <c r="AE3420" s="196">
        <f t="shared" si="806"/>
        <v>0</v>
      </c>
      <c r="AF3420" s="2">
        <f t="shared" si="807"/>
        <v>0</v>
      </c>
      <c r="AG3420" s="2">
        <f t="shared" si="808"/>
        <v>0</v>
      </c>
    </row>
    <row r="3421" spans="1:33">
      <c r="A3421" s="20" t="s">
        <v>2814</v>
      </c>
      <c r="B3421" s="150"/>
      <c r="C3421" s="21" t="s">
        <v>840</v>
      </c>
      <c r="D3421" s="109" t="s">
        <v>15161</v>
      </c>
      <c r="E3421" s="109"/>
      <c r="F3421" s="391" t="s">
        <v>16754</v>
      </c>
      <c r="G3421" s="23" t="s">
        <v>16544</v>
      </c>
      <c r="H3421" s="23"/>
      <c r="I3421" s="23"/>
      <c r="J3421" s="23"/>
      <c r="K3421" s="23"/>
      <c r="L3421" s="375" t="s">
        <v>7787</v>
      </c>
      <c r="M3421" s="351"/>
      <c r="N3421" s="267">
        <f t="shared" si="811"/>
        <v>0</v>
      </c>
      <c r="O3421" s="268">
        <f t="shared" si="812"/>
        <v>0</v>
      </c>
      <c r="P3421" s="239"/>
      <c r="Q3421" s="239"/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/>
      <c r="AC3421" s="196">
        <f t="shared" si="804"/>
        <v>0</v>
      </c>
      <c r="AD3421" s="196">
        <f t="shared" si="805"/>
        <v>0</v>
      </c>
      <c r="AE3421" s="196">
        <f t="shared" si="806"/>
        <v>0</v>
      </c>
      <c r="AF3421" s="2">
        <f t="shared" si="807"/>
        <v>0</v>
      </c>
      <c r="AG3421" s="2">
        <f t="shared" si="808"/>
        <v>0</v>
      </c>
    </row>
    <row r="3422" spans="1:33">
      <c r="A3422" s="20" t="s">
        <v>2815</v>
      </c>
      <c r="B3422" s="150"/>
      <c r="C3422" s="21" t="s">
        <v>840</v>
      </c>
      <c r="D3422" s="109" t="s">
        <v>15161</v>
      </c>
      <c r="E3422" s="109"/>
      <c r="F3422" s="391" t="s">
        <v>16754</v>
      </c>
      <c r="G3422" s="23"/>
      <c r="H3422" s="23"/>
      <c r="I3422" s="23"/>
      <c r="J3422" s="23"/>
      <c r="K3422" s="23"/>
      <c r="L3422" s="350"/>
      <c r="M3422" s="351"/>
      <c r="N3422" s="267">
        <f t="shared" si="811"/>
        <v>0</v>
      </c>
      <c r="O3422" s="268">
        <f t="shared" si="812"/>
        <v>0</v>
      </c>
      <c r="P3422" s="239"/>
      <c r="Q3422" s="239"/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/>
      <c r="AC3422" s="196">
        <f t="shared" si="804"/>
        <v>0</v>
      </c>
      <c r="AD3422" s="196">
        <f t="shared" si="805"/>
        <v>0</v>
      </c>
      <c r="AE3422" s="196">
        <f t="shared" si="806"/>
        <v>0</v>
      </c>
      <c r="AF3422" s="2">
        <f t="shared" si="807"/>
        <v>0</v>
      </c>
      <c r="AG3422" s="2">
        <f t="shared" si="808"/>
        <v>0</v>
      </c>
    </row>
    <row r="3423" spans="1:33">
      <c r="A3423" s="20" t="s">
        <v>12415</v>
      </c>
      <c r="B3423" s="150"/>
      <c r="C3423" s="21" t="s">
        <v>16755</v>
      </c>
      <c r="D3423" s="109" t="s">
        <v>16756</v>
      </c>
      <c r="E3423" s="109"/>
      <c r="F3423" s="391" t="s">
        <v>16757</v>
      </c>
      <c r="G3423" s="23" t="s">
        <v>16183</v>
      </c>
      <c r="H3423" s="23"/>
      <c r="I3423" s="23"/>
      <c r="J3423" s="23"/>
      <c r="K3423" s="23"/>
      <c r="L3423" s="375" t="s">
        <v>45</v>
      </c>
      <c r="M3423" s="351" t="s">
        <v>7787</v>
      </c>
      <c r="N3423" s="267">
        <f t="shared" si="811"/>
        <v>0</v>
      </c>
      <c r="O3423" s="268">
        <f t="shared" si="812"/>
        <v>150</v>
      </c>
      <c r="P3423" s="239"/>
      <c r="Q3423" s="239">
        <f>200-50</f>
        <v>150</v>
      </c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 t="s">
        <v>27197</v>
      </c>
      <c r="AC3423" s="196">
        <f t="shared" si="804"/>
        <v>150</v>
      </c>
      <c r="AD3423" s="196">
        <f t="shared" si="805"/>
        <v>150</v>
      </c>
      <c r="AE3423" s="196">
        <f t="shared" si="806"/>
        <v>0</v>
      </c>
      <c r="AF3423" s="2">
        <f t="shared" si="807"/>
        <v>150</v>
      </c>
      <c r="AG3423" s="2">
        <f t="shared" si="808"/>
        <v>0</v>
      </c>
    </row>
    <row r="3424" spans="1:33">
      <c r="A3424" s="20" t="s">
        <v>12640</v>
      </c>
      <c r="B3424" s="150"/>
      <c r="C3424" s="21" t="s">
        <v>12534</v>
      </c>
      <c r="D3424" s="109" t="s">
        <v>16756</v>
      </c>
      <c r="E3424" s="109"/>
      <c r="F3424" s="391" t="s">
        <v>16758</v>
      </c>
      <c r="G3424" s="23" t="s">
        <v>16183</v>
      </c>
      <c r="H3424" s="23"/>
      <c r="I3424" s="23"/>
      <c r="J3424" s="23"/>
      <c r="K3424" s="23"/>
      <c r="L3424" s="375"/>
      <c r="M3424" s="351" t="s">
        <v>7787</v>
      </c>
      <c r="N3424" s="267">
        <f t="shared" si="811"/>
        <v>0</v>
      </c>
      <c r="O3424" s="268">
        <f t="shared" si="812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37"/>
      <c r="Z3424" s="237"/>
      <c r="AA3424" s="279"/>
      <c r="AB3424" s="238"/>
      <c r="AC3424" s="196">
        <f t="shared" si="804"/>
        <v>0</v>
      </c>
      <c r="AD3424" s="196">
        <f t="shared" si="805"/>
        <v>0</v>
      </c>
      <c r="AE3424" s="196">
        <f t="shared" si="806"/>
        <v>0</v>
      </c>
      <c r="AF3424" s="2">
        <f t="shared" si="807"/>
        <v>0</v>
      </c>
      <c r="AG3424" s="2">
        <f t="shared" si="808"/>
        <v>0</v>
      </c>
    </row>
    <row r="3425" spans="1:33">
      <c r="A3425" s="20" t="s">
        <v>12253</v>
      </c>
      <c r="B3425" s="150"/>
      <c r="C3425" s="21" t="s">
        <v>16759</v>
      </c>
      <c r="D3425" s="109" t="s">
        <v>16186</v>
      </c>
      <c r="E3425" s="109"/>
      <c r="F3425" s="391" t="s">
        <v>16760</v>
      </c>
      <c r="G3425" s="23" t="s">
        <v>16304</v>
      </c>
      <c r="H3425" s="23"/>
      <c r="I3425" s="23"/>
      <c r="J3425" s="23"/>
      <c r="K3425" s="23"/>
      <c r="L3425" s="375"/>
      <c r="M3425" s="351"/>
      <c r="N3425" s="267">
        <f t="shared" si="811"/>
        <v>0</v>
      </c>
      <c r="O3425" s="268">
        <f t="shared" si="812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37"/>
      <c r="Z3425" s="237"/>
      <c r="AA3425" s="279"/>
      <c r="AB3425" s="238"/>
      <c r="AC3425" s="196">
        <f t="shared" si="804"/>
        <v>0</v>
      </c>
      <c r="AD3425" s="196">
        <f t="shared" si="805"/>
        <v>0</v>
      </c>
      <c r="AE3425" s="196">
        <f t="shared" si="806"/>
        <v>0</v>
      </c>
      <c r="AF3425" s="2">
        <f t="shared" si="807"/>
        <v>0</v>
      </c>
      <c r="AG3425" s="2">
        <f t="shared" si="808"/>
        <v>0</v>
      </c>
    </row>
    <row r="3426" spans="1:33">
      <c r="A3426" s="20" t="s">
        <v>12921</v>
      </c>
      <c r="B3426" s="150"/>
      <c r="C3426" s="21" t="s">
        <v>16761</v>
      </c>
      <c r="D3426" s="109" t="s">
        <v>16189</v>
      </c>
      <c r="E3426" s="109"/>
      <c r="F3426" s="391" t="s">
        <v>16762</v>
      </c>
      <c r="G3426" s="23" t="s">
        <v>16232</v>
      </c>
      <c r="H3426" s="23"/>
      <c r="I3426" s="23"/>
      <c r="J3426" s="23"/>
      <c r="K3426" s="23"/>
      <c r="L3426" s="375" t="s">
        <v>7787</v>
      </c>
      <c r="M3426" s="351"/>
      <c r="N3426" s="267">
        <f t="shared" si="811"/>
        <v>0</v>
      </c>
      <c r="O3426" s="268">
        <f t="shared" si="812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40"/>
      <c r="Z3426" s="237"/>
      <c r="AA3426" s="279"/>
      <c r="AB3426" s="238"/>
      <c r="AC3426" s="196">
        <f t="shared" si="804"/>
        <v>0</v>
      </c>
      <c r="AD3426" s="196">
        <f t="shared" si="805"/>
        <v>0</v>
      </c>
      <c r="AE3426" s="196">
        <f t="shared" si="806"/>
        <v>0</v>
      </c>
      <c r="AF3426" s="2">
        <f t="shared" si="807"/>
        <v>0</v>
      </c>
      <c r="AG3426" s="2">
        <f t="shared" si="808"/>
        <v>0</v>
      </c>
    </row>
    <row r="3427" spans="1:33">
      <c r="A3427" s="20" t="s">
        <v>12641</v>
      </c>
      <c r="B3427" s="150"/>
      <c r="C3427" s="21" t="s">
        <v>16763</v>
      </c>
      <c r="D3427" s="109" t="s">
        <v>16578</v>
      </c>
      <c r="E3427" s="109" t="s">
        <v>3128</v>
      </c>
      <c r="F3427" s="391" t="s">
        <v>16764</v>
      </c>
      <c r="G3427" s="23" t="s">
        <v>16765</v>
      </c>
      <c r="H3427" s="23"/>
      <c r="I3427" s="23"/>
      <c r="J3427" s="23"/>
      <c r="K3427" s="23"/>
      <c r="L3427" s="375"/>
      <c r="M3427" s="351">
        <v>6500</v>
      </c>
      <c r="N3427" s="267">
        <f t="shared" si="811"/>
        <v>6500</v>
      </c>
      <c r="O3427" s="268">
        <f t="shared" si="812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4"/>
        <v>0</v>
      </c>
      <c r="AD3427" s="196">
        <f t="shared" si="805"/>
        <v>0</v>
      </c>
      <c r="AE3427" s="196">
        <f t="shared" si="806"/>
        <v>0</v>
      </c>
      <c r="AF3427" s="2">
        <f t="shared" si="807"/>
        <v>0</v>
      </c>
      <c r="AG3427" s="2">
        <f t="shared" si="808"/>
        <v>0</v>
      </c>
    </row>
    <row r="3428" spans="1:33">
      <c r="A3428" s="20" t="s">
        <v>21460</v>
      </c>
      <c r="B3428" s="150"/>
      <c r="C3428" s="21" t="s">
        <v>12592</v>
      </c>
      <c r="D3428" s="109" t="s">
        <v>20538</v>
      </c>
      <c r="E3428" s="109"/>
      <c r="F3428" s="391" t="s">
        <v>12664</v>
      </c>
      <c r="G3428" s="23"/>
      <c r="H3428" s="23"/>
      <c r="I3428" s="23"/>
      <c r="J3428" s="23"/>
      <c r="K3428" s="23"/>
      <c r="L3428" s="375" t="s">
        <v>7787</v>
      </c>
      <c r="M3428" s="351"/>
      <c r="N3428" s="267">
        <f t="shared" si="811"/>
        <v>0</v>
      </c>
      <c r="O3428" s="268">
        <f t="shared" si="812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4"/>
        <v>0</v>
      </c>
      <c r="AD3428" s="196">
        <f t="shared" si="805"/>
        <v>0</v>
      </c>
      <c r="AE3428" s="196">
        <f t="shared" si="806"/>
        <v>0</v>
      </c>
      <c r="AF3428" s="2">
        <f t="shared" si="807"/>
        <v>0</v>
      </c>
      <c r="AG3428" s="2">
        <f t="shared" si="808"/>
        <v>0</v>
      </c>
    </row>
    <row r="3429" spans="1:33">
      <c r="A3429" s="20" t="s">
        <v>2818</v>
      </c>
      <c r="B3429" s="161"/>
      <c r="C3429" s="21" t="s">
        <v>707</v>
      </c>
      <c r="D3429" s="109" t="s">
        <v>16766</v>
      </c>
      <c r="E3429" s="109" t="s">
        <v>15965</v>
      </c>
      <c r="F3429" s="391" t="s">
        <v>16767</v>
      </c>
      <c r="G3429" s="23"/>
      <c r="H3429" s="23"/>
      <c r="I3429" s="23"/>
      <c r="J3429" s="23"/>
      <c r="K3429" s="23"/>
      <c r="L3429" s="350"/>
      <c r="M3429" s="351"/>
      <c r="N3429" s="267">
        <f t="shared" si="811"/>
        <v>0</v>
      </c>
      <c r="O3429" s="268">
        <f t="shared" si="812"/>
        <v>0</v>
      </c>
      <c r="P3429" s="239"/>
      <c r="Q3429" s="239"/>
      <c r="R3429" s="239"/>
      <c r="S3429" s="239"/>
      <c r="T3429" s="239"/>
      <c r="U3429" s="240"/>
      <c r="V3429" s="240"/>
      <c r="W3429" s="240"/>
      <c r="X3429" s="278"/>
      <c r="Y3429" s="237"/>
      <c r="Z3429" s="237"/>
      <c r="AA3429" s="279"/>
      <c r="AB3429" s="238"/>
      <c r="AC3429" s="196">
        <f t="shared" si="804"/>
        <v>0</v>
      </c>
      <c r="AD3429" s="196">
        <f t="shared" si="805"/>
        <v>0</v>
      </c>
      <c r="AE3429" s="196">
        <f t="shared" si="806"/>
        <v>0</v>
      </c>
      <c r="AF3429" s="2">
        <f t="shared" si="807"/>
        <v>0</v>
      </c>
      <c r="AG3429" s="2">
        <f t="shared" si="808"/>
        <v>0</v>
      </c>
    </row>
    <row r="3430" spans="1:33">
      <c r="A3430" s="20" t="s">
        <v>2817</v>
      </c>
      <c r="B3430" s="150"/>
      <c r="C3430" s="21" t="s">
        <v>707</v>
      </c>
      <c r="D3430" s="109" t="s">
        <v>16684</v>
      </c>
      <c r="E3430" s="109"/>
      <c r="F3430" s="391" t="s">
        <v>16767</v>
      </c>
      <c r="G3430" s="23" t="s">
        <v>16454</v>
      </c>
      <c r="H3430" s="23" t="s">
        <v>6133</v>
      </c>
      <c r="I3430" s="23" t="s">
        <v>13350</v>
      </c>
      <c r="J3430" s="23" t="s">
        <v>25837</v>
      </c>
      <c r="K3430" s="23"/>
      <c r="L3430" s="375" t="s">
        <v>7787</v>
      </c>
      <c r="M3430" s="351" t="s">
        <v>7787</v>
      </c>
      <c r="N3430" s="267">
        <f t="shared" si="811"/>
        <v>0</v>
      </c>
      <c r="O3430" s="268">
        <f t="shared" si="812"/>
        <v>0</v>
      </c>
      <c r="P3430" s="239"/>
      <c r="Q3430" s="239"/>
      <c r="R3430" s="239"/>
      <c r="S3430" s="239"/>
      <c r="T3430" s="239"/>
      <c r="U3430" s="240"/>
      <c r="V3430" s="240"/>
      <c r="W3430" s="240"/>
      <c r="X3430" s="278"/>
      <c r="Y3430" s="237"/>
      <c r="Z3430" s="237"/>
      <c r="AA3430" s="279"/>
      <c r="AB3430" s="238"/>
      <c r="AC3430" s="196">
        <f t="shared" si="804"/>
        <v>0</v>
      </c>
      <c r="AD3430" s="196">
        <f t="shared" si="805"/>
        <v>0</v>
      </c>
      <c r="AE3430" s="196">
        <f t="shared" si="806"/>
        <v>0</v>
      </c>
      <c r="AF3430" s="2">
        <f t="shared" si="807"/>
        <v>0</v>
      </c>
      <c r="AG3430" s="2">
        <f t="shared" si="808"/>
        <v>0</v>
      </c>
    </row>
    <row r="3431" spans="1:33">
      <c r="A3431" s="20" t="s">
        <v>2821</v>
      </c>
      <c r="B3431" s="156" t="s">
        <v>16768</v>
      </c>
      <c r="C3431" s="21" t="s">
        <v>707</v>
      </c>
      <c r="D3431" s="109" t="s">
        <v>16769</v>
      </c>
      <c r="E3431" s="109" t="s">
        <v>16351</v>
      </c>
      <c r="F3431" s="391" t="s">
        <v>5209</v>
      </c>
      <c r="G3431" s="23" t="s">
        <v>16770</v>
      </c>
      <c r="H3431" s="23"/>
      <c r="I3431" s="23"/>
      <c r="J3431" s="23"/>
      <c r="K3431" s="23"/>
      <c r="L3431" s="375" t="s">
        <v>45</v>
      </c>
      <c r="M3431" s="351" t="s">
        <v>45</v>
      </c>
      <c r="N3431" s="267">
        <f t="shared" si="811"/>
        <v>0</v>
      </c>
      <c r="O3431" s="268">
        <f t="shared" si="812"/>
        <v>150</v>
      </c>
      <c r="P3431" s="239"/>
      <c r="Q3431" s="239"/>
      <c r="R3431" s="239">
        <f>550-500+1200-1000+700-600+400-600</f>
        <v>150</v>
      </c>
      <c r="S3431" s="239"/>
      <c r="T3431" s="239"/>
      <c r="U3431" s="240"/>
      <c r="V3431" s="240"/>
      <c r="W3431" s="240"/>
      <c r="X3431" s="278"/>
      <c r="Y3431" s="239"/>
      <c r="Z3431" s="237"/>
      <c r="AA3431" s="279"/>
      <c r="AB3431" s="238" t="s">
        <v>26576</v>
      </c>
      <c r="AC3431" s="196">
        <f t="shared" si="804"/>
        <v>150</v>
      </c>
      <c r="AD3431" s="196">
        <f t="shared" si="805"/>
        <v>150</v>
      </c>
      <c r="AE3431" s="196">
        <f t="shared" si="806"/>
        <v>0</v>
      </c>
      <c r="AF3431" s="2">
        <f t="shared" si="807"/>
        <v>150</v>
      </c>
      <c r="AG3431" s="2">
        <f t="shared" si="808"/>
        <v>0</v>
      </c>
    </row>
    <row r="3432" spans="1:33">
      <c r="A3432" s="20" t="s">
        <v>2819</v>
      </c>
      <c r="B3432" s="156"/>
      <c r="C3432" s="21" t="s">
        <v>707</v>
      </c>
      <c r="D3432" s="109" t="s">
        <v>15161</v>
      </c>
      <c r="E3432" s="109" t="s">
        <v>16351</v>
      </c>
      <c r="F3432" s="391" t="s">
        <v>22788</v>
      </c>
      <c r="G3432" s="23" t="s">
        <v>13934</v>
      </c>
      <c r="H3432" s="23" t="s">
        <v>16771</v>
      </c>
      <c r="I3432" s="23"/>
      <c r="J3432" s="23"/>
      <c r="K3432" s="23"/>
      <c r="L3432" s="375" t="s">
        <v>27931</v>
      </c>
      <c r="M3432" s="351" t="s">
        <v>45</v>
      </c>
      <c r="N3432" s="267">
        <f t="shared" si="811"/>
        <v>0</v>
      </c>
      <c r="O3432" s="268">
        <f t="shared" si="812"/>
        <v>1500</v>
      </c>
      <c r="P3432" s="239"/>
      <c r="Q3432" s="239">
        <f>2450-300-350-300</f>
        <v>1500</v>
      </c>
      <c r="R3432" s="239"/>
      <c r="S3432" s="239"/>
      <c r="T3432" s="239"/>
      <c r="U3432" s="240"/>
      <c r="V3432" s="240"/>
      <c r="W3432" s="240"/>
      <c r="X3432" s="278"/>
      <c r="Y3432" s="237"/>
      <c r="Z3432" s="237"/>
      <c r="AA3432" s="279"/>
      <c r="AB3432" s="238" t="s">
        <v>27933</v>
      </c>
      <c r="AC3432" s="196">
        <f t="shared" si="804"/>
        <v>1500</v>
      </c>
      <c r="AD3432" s="196">
        <f t="shared" si="805"/>
        <v>1500</v>
      </c>
      <c r="AE3432" s="196">
        <f t="shared" si="806"/>
        <v>0</v>
      </c>
      <c r="AF3432" s="2">
        <f t="shared" si="807"/>
        <v>1500</v>
      </c>
      <c r="AG3432" s="2">
        <f t="shared" si="808"/>
        <v>0</v>
      </c>
    </row>
    <row r="3433" spans="1:33">
      <c r="A3433" s="20" t="s">
        <v>2820</v>
      </c>
      <c r="B3433" s="151"/>
      <c r="C3433" s="21" t="s">
        <v>707</v>
      </c>
      <c r="D3433" s="109" t="s">
        <v>15161</v>
      </c>
      <c r="E3433" s="109" t="s">
        <v>24393</v>
      </c>
      <c r="F3433" s="391" t="s">
        <v>16772</v>
      </c>
      <c r="G3433" s="23" t="s">
        <v>16557</v>
      </c>
      <c r="H3433" s="23" t="s">
        <v>16771</v>
      </c>
      <c r="I3433" s="23" t="s">
        <v>13339</v>
      </c>
      <c r="J3433" s="23" t="s">
        <v>18699</v>
      </c>
      <c r="K3433" s="23" t="s">
        <v>15190</v>
      </c>
      <c r="L3433" s="375" t="s">
        <v>7787</v>
      </c>
      <c r="M3433" s="351" t="s">
        <v>7787</v>
      </c>
      <c r="N3433" s="267">
        <f t="shared" si="811"/>
        <v>0</v>
      </c>
      <c r="O3433" s="268">
        <f t="shared" si="812"/>
        <v>2200</v>
      </c>
      <c r="P3433" s="239"/>
      <c r="Q3433" s="239"/>
      <c r="R3433" s="239"/>
      <c r="S3433" s="239"/>
      <c r="T3433" s="239">
        <f>1000+7000-1000-450-650-3700</f>
        <v>2200</v>
      </c>
      <c r="U3433" s="240"/>
      <c r="V3433" s="240"/>
      <c r="W3433" s="240"/>
      <c r="X3433" s="278"/>
      <c r="Y3433" s="239"/>
      <c r="Z3433" s="237"/>
      <c r="AA3433" s="279"/>
      <c r="AB3433" s="238" t="s">
        <v>27384</v>
      </c>
      <c r="AC3433" s="196">
        <f t="shared" si="804"/>
        <v>2200</v>
      </c>
      <c r="AD3433" s="196">
        <f t="shared" si="805"/>
        <v>2200</v>
      </c>
      <c r="AE3433" s="196">
        <f t="shared" si="806"/>
        <v>0</v>
      </c>
      <c r="AF3433" s="2">
        <f t="shared" si="807"/>
        <v>2200</v>
      </c>
      <c r="AG3433" s="2">
        <f t="shared" si="808"/>
        <v>0</v>
      </c>
    </row>
    <row r="3434" spans="1:33">
      <c r="A3434" s="20" t="s">
        <v>2823</v>
      </c>
      <c r="B3434" s="150"/>
      <c r="C3434" s="21" t="s">
        <v>707</v>
      </c>
      <c r="D3434" s="109" t="s">
        <v>15167</v>
      </c>
      <c r="E3434" s="109"/>
      <c r="F3434" s="391" t="s">
        <v>16767</v>
      </c>
      <c r="G3434" s="23" t="s">
        <v>16468</v>
      </c>
      <c r="H3434" s="23"/>
      <c r="I3434" s="23"/>
      <c r="J3434" s="23"/>
      <c r="K3434" s="23"/>
      <c r="L3434" s="375" t="s">
        <v>7787</v>
      </c>
      <c r="M3434" s="351"/>
      <c r="N3434" s="267">
        <f t="shared" si="811"/>
        <v>0</v>
      </c>
      <c r="O3434" s="268">
        <f t="shared" si="812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7"/>
      <c r="Z3434" s="237"/>
      <c r="AA3434" s="279"/>
      <c r="AB3434" s="238"/>
      <c r="AC3434" s="196">
        <f t="shared" si="804"/>
        <v>0</v>
      </c>
      <c r="AD3434" s="196">
        <f t="shared" si="805"/>
        <v>0</v>
      </c>
      <c r="AE3434" s="196">
        <f t="shared" si="806"/>
        <v>0</v>
      </c>
      <c r="AF3434" s="2">
        <f t="shared" si="807"/>
        <v>0</v>
      </c>
      <c r="AG3434" s="2">
        <f t="shared" si="808"/>
        <v>0</v>
      </c>
    </row>
    <row r="3435" spans="1:33">
      <c r="A3435" s="20" t="s">
        <v>2824</v>
      </c>
      <c r="B3435" s="150"/>
      <c r="C3435" s="21" t="s">
        <v>707</v>
      </c>
      <c r="D3435" s="109" t="s">
        <v>16363</v>
      </c>
      <c r="E3435" s="109"/>
      <c r="F3435" s="391" t="s">
        <v>16767</v>
      </c>
      <c r="G3435" s="23" t="s">
        <v>15802</v>
      </c>
      <c r="H3435" s="23"/>
      <c r="I3435" s="23"/>
      <c r="J3435" s="23"/>
      <c r="K3435" s="23"/>
      <c r="L3435" s="350"/>
      <c r="M3435" s="351"/>
      <c r="N3435" s="267">
        <f t="shared" si="811"/>
        <v>0</v>
      </c>
      <c r="O3435" s="268">
        <f t="shared" si="812"/>
        <v>0</v>
      </c>
      <c r="P3435" s="239"/>
      <c r="Q3435" s="239"/>
      <c r="R3435" s="239"/>
      <c r="S3435" s="239"/>
      <c r="T3435" s="239"/>
      <c r="U3435" s="240"/>
      <c r="V3435" s="240"/>
      <c r="W3435" s="240"/>
      <c r="X3435" s="278"/>
      <c r="Y3435" s="237"/>
      <c r="Z3435" s="237"/>
      <c r="AA3435" s="279"/>
      <c r="AB3435" s="238"/>
      <c r="AC3435" s="196">
        <f t="shared" si="804"/>
        <v>0</v>
      </c>
      <c r="AD3435" s="196">
        <f t="shared" si="805"/>
        <v>0</v>
      </c>
      <c r="AE3435" s="196">
        <f t="shared" si="806"/>
        <v>0</v>
      </c>
      <c r="AF3435" s="2">
        <f t="shared" si="807"/>
        <v>0</v>
      </c>
      <c r="AG3435" s="2">
        <f t="shared" si="808"/>
        <v>0</v>
      </c>
    </row>
    <row r="3436" spans="1:33">
      <c r="A3436" s="20" t="s">
        <v>2822</v>
      </c>
      <c r="B3436" s="150"/>
      <c r="C3436" s="213" t="s">
        <v>16773</v>
      </c>
      <c r="D3436" s="109" t="s">
        <v>16667</v>
      </c>
      <c r="E3436" s="109"/>
      <c r="F3436" s="391" t="s">
        <v>16772</v>
      </c>
      <c r="G3436" s="23" t="s">
        <v>16070</v>
      </c>
      <c r="H3436" s="23" t="s">
        <v>15802</v>
      </c>
      <c r="I3436" s="23"/>
      <c r="J3436" s="23"/>
      <c r="K3436" s="23"/>
      <c r="L3436" s="375" t="s">
        <v>7787</v>
      </c>
      <c r="M3436" s="351" t="s">
        <v>7787</v>
      </c>
      <c r="N3436" s="267">
        <f t="shared" si="811"/>
        <v>0</v>
      </c>
      <c r="O3436" s="268">
        <f t="shared" si="812"/>
        <v>0</v>
      </c>
      <c r="P3436" s="239"/>
      <c r="Q3436" s="239"/>
      <c r="R3436" s="239"/>
      <c r="S3436" s="239"/>
      <c r="T3436" s="239"/>
      <c r="U3436" s="240"/>
      <c r="V3436" s="240"/>
      <c r="W3436" s="240"/>
      <c r="X3436" s="278"/>
      <c r="Y3436" s="239"/>
      <c r="Z3436" s="237"/>
      <c r="AA3436" s="279"/>
      <c r="AB3436" s="238"/>
      <c r="AC3436" s="196">
        <f t="shared" si="804"/>
        <v>0</v>
      </c>
      <c r="AD3436" s="196">
        <f t="shared" si="805"/>
        <v>0</v>
      </c>
      <c r="AE3436" s="196">
        <f t="shared" si="806"/>
        <v>0</v>
      </c>
      <c r="AF3436" s="2">
        <f t="shared" si="807"/>
        <v>0</v>
      </c>
      <c r="AG3436" s="2">
        <f t="shared" si="808"/>
        <v>0</v>
      </c>
    </row>
    <row r="3437" spans="1:33">
      <c r="A3437" s="20" t="s">
        <v>13099</v>
      </c>
      <c r="B3437" s="150"/>
      <c r="C3437" s="213" t="s">
        <v>16774</v>
      </c>
      <c r="D3437" s="109" t="s">
        <v>16189</v>
      </c>
      <c r="E3437" s="109"/>
      <c r="F3437" s="391" t="s">
        <v>16775</v>
      </c>
      <c r="G3437" s="23" t="s">
        <v>16232</v>
      </c>
      <c r="H3437" s="23"/>
      <c r="I3437" s="23"/>
      <c r="J3437" s="23"/>
      <c r="K3437" s="23"/>
      <c r="L3437" s="375" t="s">
        <v>7787</v>
      </c>
      <c r="M3437" s="351" t="s">
        <v>7787</v>
      </c>
      <c r="N3437" s="267">
        <f t="shared" si="811"/>
        <v>0</v>
      </c>
      <c r="O3437" s="268">
        <f t="shared" si="812"/>
        <v>0</v>
      </c>
      <c r="P3437" s="239"/>
      <c r="Q3437" s="239"/>
      <c r="R3437" s="239"/>
      <c r="S3437" s="239"/>
      <c r="T3437" s="239"/>
      <c r="U3437" s="237"/>
      <c r="V3437" s="244"/>
      <c r="W3437" s="240"/>
      <c r="X3437" s="278"/>
      <c r="Y3437" s="240"/>
      <c r="Z3437" s="237"/>
      <c r="AA3437" s="279"/>
      <c r="AB3437" s="238"/>
      <c r="AC3437" s="196">
        <f t="shared" ref="AC3437:AC3502" si="813">SUM(P3437:AA3437)</f>
        <v>0</v>
      </c>
      <c r="AD3437" s="196">
        <f t="shared" ref="AD3437:AD3502" si="814">SUM(P3437:AB3437)</f>
        <v>0</v>
      </c>
      <c r="AE3437" s="196">
        <f t="shared" ref="AE3437:AE3502" si="815">SUM(AC3437-AD3437)</f>
        <v>0</v>
      </c>
      <c r="AF3437" s="2">
        <f t="shared" ref="AF3437:AF3502" si="816">+AC3437</f>
        <v>0</v>
      </c>
      <c r="AG3437" s="2">
        <f t="shared" ref="AG3437:AG3502" si="817">+AC3437-AF3437</f>
        <v>0</v>
      </c>
    </row>
    <row r="3438" spans="1:33">
      <c r="A3438" s="20" t="s">
        <v>12642</v>
      </c>
      <c r="B3438" s="150"/>
      <c r="C3438" s="213" t="s">
        <v>22762</v>
      </c>
      <c r="D3438" s="109" t="s">
        <v>16279</v>
      </c>
      <c r="E3438" s="109"/>
      <c r="F3438" s="391" t="s">
        <v>16776</v>
      </c>
      <c r="G3438" s="23" t="s">
        <v>16558</v>
      </c>
      <c r="H3438" s="23" t="s">
        <v>15962</v>
      </c>
      <c r="I3438" s="23"/>
      <c r="J3438" s="23"/>
      <c r="K3438" s="23"/>
      <c r="L3438" s="375" t="s">
        <v>45</v>
      </c>
      <c r="M3438" s="351" t="s">
        <v>45</v>
      </c>
      <c r="N3438" s="267">
        <f t="shared" si="811"/>
        <v>0</v>
      </c>
      <c r="O3438" s="268">
        <f t="shared" si="812"/>
        <v>5900</v>
      </c>
      <c r="P3438" s="239"/>
      <c r="Q3438" s="239"/>
      <c r="R3438" s="239"/>
      <c r="S3438" s="239"/>
      <c r="T3438" s="239"/>
      <c r="U3438" s="240">
        <f>1400+2600+3100+2600+2800+2600+2800+2700-300-3600-3600-3600-3600</f>
        <v>5900</v>
      </c>
      <c r="V3438" s="244"/>
      <c r="W3438" s="240"/>
      <c r="X3438" s="278"/>
      <c r="Y3438" s="244"/>
      <c r="Z3438" s="237"/>
      <c r="AA3438" s="279"/>
      <c r="AB3438" s="238" t="s">
        <v>27594</v>
      </c>
      <c r="AC3438" s="196">
        <f t="shared" si="813"/>
        <v>5900</v>
      </c>
      <c r="AD3438" s="196">
        <f t="shared" si="814"/>
        <v>5900</v>
      </c>
      <c r="AE3438" s="196">
        <f t="shared" si="815"/>
        <v>0</v>
      </c>
      <c r="AF3438" s="2">
        <f t="shared" si="816"/>
        <v>5900</v>
      </c>
      <c r="AG3438" s="2">
        <f t="shared" si="817"/>
        <v>0</v>
      </c>
    </row>
    <row r="3439" spans="1:33">
      <c r="A3439" s="20" t="s">
        <v>17292</v>
      </c>
      <c r="B3439" s="150"/>
      <c r="C3439" s="213" t="s">
        <v>22762</v>
      </c>
      <c r="D3439" s="109" t="s">
        <v>5979</v>
      </c>
      <c r="E3439" s="109" t="s">
        <v>17506</v>
      </c>
      <c r="F3439" s="391" t="s">
        <v>12686</v>
      </c>
      <c r="G3439" s="23" t="s">
        <v>13341</v>
      </c>
      <c r="H3439" s="23"/>
      <c r="I3439" s="23"/>
      <c r="J3439" s="23"/>
      <c r="K3439" s="23"/>
      <c r="L3439" s="375" t="s">
        <v>7787</v>
      </c>
      <c r="M3439" s="351" t="s">
        <v>7787</v>
      </c>
      <c r="N3439" s="267">
        <f t="shared" si="811"/>
        <v>0</v>
      </c>
      <c r="O3439" s="268">
        <f t="shared" si="812"/>
        <v>0</v>
      </c>
      <c r="P3439" s="239"/>
      <c r="Q3439" s="239"/>
      <c r="R3439" s="239"/>
      <c r="S3439" s="239"/>
      <c r="T3439" s="239"/>
      <c r="U3439" s="240"/>
      <c r="V3439" s="244"/>
      <c r="W3439" s="240"/>
      <c r="X3439" s="278"/>
      <c r="Y3439" s="244"/>
      <c r="Z3439" s="237"/>
      <c r="AA3439" s="297"/>
      <c r="AB3439" s="238"/>
      <c r="AC3439" s="196">
        <f t="shared" si="813"/>
        <v>0</v>
      </c>
      <c r="AD3439" s="196">
        <f t="shared" si="814"/>
        <v>0</v>
      </c>
      <c r="AE3439" s="196">
        <f t="shared" si="815"/>
        <v>0</v>
      </c>
      <c r="AF3439" s="2">
        <f t="shared" si="816"/>
        <v>0</v>
      </c>
      <c r="AG3439" s="2">
        <f t="shared" si="817"/>
        <v>0</v>
      </c>
    </row>
    <row r="3440" spans="1:33">
      <c r="A3440" s="20" t="s">
        <v>22708</v>
      </c>
      <c r="B3440" s="150"/>
      <c r="C3440" s="213" t="s">
        <v>22763</v>
      </c>
      <c r="D3440" s="109" t="s">
        <v>5979</v>
      </c>
      <c r="E3440" s="109"/>
      <c r="F3440" s="391" t="s">
        <v>12686</v>
      </c>
      <c r="G3440" s="23" t="s">
        <v>13341</v>
      </c>
      <c r="H3440" s="23" t="s">
        <v>24052</v>
      </c>
      <c r="I3440" s="23"/>
      <c r="J3440" s="23"/>
      <c r="K3440" s="23"/>
      <c r="L3440" s="375"/>
      <c r="M3440" s="351"/>
      <c r="N3440" s="267">
        <f t="shared" si="811"/>
        <v>0</v>
      </c>
      <c r="O3440" s="268">
        <f t="shared" si="812"/>
        <v>0</v>
      </c>
      <c r="P3440" s="239"/>
      <c r="Q3440" s="239"/>
      <c r="R3440" s="239"/>
      <c r="S3440" s="239"/>
      <c r="T3440" s="239"/>
      <c r="U3440" s="240"/>
      <c r="V3440" s="240"/>
      <c r="W3440" s="240"/>
      <c r="X3440" s="278"/>
      <c r="Y3440" s="244"/>
      <c r="Z3440" s="237"/>
      <c r="AA3440" s="297"/>
      <c r="AB3440" s="238"/>
      <c r="AC3440" s="196">
        <f t="shared" si="813"/>
        <v>0</v>
      </c>
      <c r="AD3440" s="196">
        <f t="shared" si="814"/>
        <v>0</v>
      </c>
      <c r="AE3440" s="196">
        <f t="shared" si="815"/>
        <v>0</v>
      </c>
      <c r="AF3440" s="2">
        <f t="shared" si="816"/>
        <v>0</v>
      </c>
      <c r="AG3440" s="2">
        <f t="shared" si="817"/>
        <v>0</v>
      </c>
    </row>
    <row r="3441" spans="1:33">
      <c r="A3441" s="20" t="s">
        <v>12643</v>
      </c>
      <c r="B3441" s="150"/>
      <c r="C3441" s="213" t="s">
        <v>16777</v>
      </c>
      <c r="D3441" s="109" t="s">
        <v>16279</v>
      </c>
      <c r="E3441" s="109"/>
      <c r="F3441" s="391" t="s">
        <v>16778</v>
      </c>
      <c r="G3441" s="23" t="s">
        <v>15962</v>
      </c>
      <c r="H3441" s="23"/>
      <c r="I3441" s="23"/>
      <c r="J3441" s="23"/>
      <c r="K3441" s="23"/>
      <c r="L3441" s="375"/>
      <c r="M3441" s="351" t="s">
        <v>7787</v>
      </c>
      <c r="N3441" s="267">
        <f t="shared" si="811"/>
        <v>0</v>
      </c>
      <c r="O3441" s="268">
        <f t="shared" si="812"/>
        <v>0</v>
      </c>
      <c r="P3441" s="241" t="s">
        <v>45</v>
      </c>
      <c r="Q3441" s="239"/>
      <c r="R3441" s="239"/>
      <c r="S3441" s="239"/>
      <c r="T3441" s="239"/>
      <c r="U3441" s="240"/>
      <c r="V3441" s="244"/>
      <c r="W3441" s="240"/>
      <c r="X3441" s="278"/>
      <c r="Y3441" s="244"/>
      <c r="Z3441" s="237"/>
      <c r="AA3441" s="243"/>
      <c r="AB3441" s="238"/>
      <c r="AC3441" s="196">
        <f t="shared" si="813"/>
        <v>0</v>
      </c>
      <c r="AD3441" s="196">
        <f t="shared" si="814"/>
        <v>0</v>
      </c>
      <c r="AE3441" s="196">
        <f t="shared" si="815"/>
        <v>0</v>
      </c>
      <c r="AF3441" s="2">
        <f t="shared" si="816"/>
        <v>0</v>
      </c>
      <c r="AG3441" s="2">
        <f t="shared" si="817"/>
        <v>0</v>
      </c>
    </row>
    <row r="3442" spans="1:33">
      <c r="A3442" s="20" t="s">
        <v>12644</v>
      </c>
      <c r="B3442" s="150"/>
      <c r="C3442" s="213" t="s">
        <v>16779</v>
      </c>
      <c r="D3442" s="109" t="s">
        <v>16279</v>
      </c>
      <c r="E3442" s="109"/>
      <c r="F3442" s="391" t="s">
        <v>16780</v>
      </c>
      <c r="G3442" s="23" t="s">
        <v>15962</v>
      </c>
      <c r="H3442" s="23"/>
      <c r="I3442" s="23"/>
      <c r="J3442" s="23"/>
      <c r="K3442" s="23"/>
      <c r="L3442" s="375"/>
      <c r="M3442" s="351"/>
      <c r="N3442" s="267">
        <f t="shared" si="811"/>
        <v>0</v>
      </c>
      <c r="O3442" s="268">
        <f t="shared" si="812"/>
        <v>0</v>
      </c>
      <c r="P3442" s="239"/>
      <c r="Q3442" s="239"/>
      <c r="R3442" s="239"/>
      <c r="S3442" s="239"/>
      <c r="T3442" s="239"/>
      <c r="U3442" s="240"/>
      <c r="V3442" s="244"/>
      <c r="W3442" s="240"/>
      <c r="X3442" s="278"/>
      <c r="Y3442" s="244"/>
      <c r="Z3442" s="237"/>
      <c r="AA3442" s="279"/>
      <c r="AB3442" s="238"/>
      <c r="AC3442" s="196">
        <f t="shared" si="813"/>
        <v>0</v>
      </c>
      <c r="AD3442" s="196">
        <f t="shared" si="814"/>
        <v>0</v>
      </c>
      <c r="AE3442" s="196">
        <f t="shared" si="815"/>
        <v>0</v>
      </c>
      <c r="AF3442" s="2">
        <f t="shared" si="816"/>
        <v>0</v>
      </c>
      <c r="AG3442" s="2">
        <f t="shared" si="817"/>
        <v>0</v>
      </c>
    </row>
    <row r="3443" spans="1:33">
      <c r="A3443" s="20" t="s">
        <v>12922</v>
      </c>
      <c r="B3443" s="150"/>
      <c r="C3443" s="213" t="s">
        <v>16781</v>
      </c>
      <c r="D3443" s="109" t="s">
        <v>16329</v>
      </c>
      <c r="E3443" s="109" t="s">
        <v>24177</v>
      </c>
      <c r="F3443" s="391" t="s">
        <v>16782</v>
      </c>
      <c r="G3443" s="23" t="s">
        <v>16285</v>
      </c>
      <c r="H3443" s="23" t="s">
        <v>13888</v>
      </c>
      <c r="I3443" s="23" t="s">
        <v>15190</v>
      </c>
      <c r="J3443" s="23" t="s">
        <v>13894</v>
      </c>
      <c r="K3443" s="23"/>
      <c r="L3443" s="375" t="s">
        <v>7787</v>
      </c>
      <c r="M3443" s="351" t="s">
        <v>7787</v>
      </c>
      <c r="N3443" s="267">
        <f t="shared" si="811"/>
        <v>0</v>
      </c>
      <c r="O3443" s="268">
        <f t="shared" si="812"/>
        <v>0</v>
      </c>
      <c r="P3443" s="240"/>
      <c r="Q3443" s="239"/>
      <c r="R3443" s="240"/>
      <c r="S3443" s="240"/>
      <c r="T3443" s="240"/>
      <c r="U3443" s="240"/>
      <c r="V3443" s="241"/>
      <c r="W3443" s="240"/>
      <c r="X3443" s="278"/>
      <c r="Y3443" s="244"/>
      <c r="Z3443" s="237"/>
      <c r="AA3443" s="244"/>
      <c r="AB3443" s="238"/>
      <c r="AC3443" s="196">
        <f t="shared" si="813"/>
        <v>0</v>
      </c>
      <c r="AD3443" s="196">
        <f t="shared" si="814"/>
        <v>0</v>
      </c>
      <c r="AE3443" s="196">
        <f t="shared" si="815"/>
        <v>0</v>
      </c>
      <c r="AF3443" s="2">
        <f t="shared" si="816"/>
        <v>0</v>
      </c>
      <c r="AG3443" s="2">
        <f t="shared" si="817"/>
        <v>0</v>
      </c>
    </row>
    <row r="3444" spans="1:33">
      <c r="A3444" s="20" t="s">
        <v>21842</v>
      </c>
      <c r="B3444" s="150"/>
      <c r="C3444" s="213" t="s">
        <v>13004</v>
      </c>
      <c r="D3444" s="109" t="s">
        <v>8554</v>
      </c>
      <c r="E3444" s="109" t="s">
        <v>24802</v>
      </c>
      <c r="F3444" s="391" t="s">
        <v>13029</v>
      </c>
      <c r="G3444" s="23" t="s">
        <v>14844</v>
      </c>
      <c r="H3444" s="23" t="s">
        <v>13888</v>
      </c>
      <c r="I3444" s="23" t="s">
        <v>15190</v>
      </c>
      <c r="J3444" s="23" t="s">
        <v>13894</v>
      </c>
      <c r="K3444" s="23"/>
      <c r="L3444" s="375" t="s">
        <v>27870</v>
      </c>
      <c r="M3444" s="351" t="s">
        <v>45</v>
      </c>
      <c r="N3444" s="267">
        <f t="shared" si="811"/>
        <v>0</v>
      </c>
      <c r="O3444" s="268">
        <f t="shared" si="812"/>
        <v>2600</v>
      </c>
      <c r="P3444" s="239"/>
      <c r="Q3444" s="239"/>
      <c r="R3444" s="248"/>
      <c r="S3444" s="248"/>
      <c r="T3444" s="248"/>
      <c r="U3444" s="239">
        <f>4000-400-1000</f>
        <v>2600</v>
      </c>
      <c r="V3444" s="248"/>
      <c r="W3444" s="240"/>
      <c r="X3444" s="278"/>
      <c r="Y3444" s="244"/>
      <c r="Z3444" s="237"/>
      <c r="AA3444" s="279"/>
      <c r="AB3444" s="238" t="s">
        <v>27865</v>
      </c>
      <c r="AC3444" s="196">
        <f t="shared" si="813"/>
        <v>2600</v>
      </c>
      <c r="AD3444" s="196">
        <f t="shared" si="814"/>
        <v>2600</v>
      </c>
      <c r="AE3444" s="196">
        <f t="shared" si="815"/>
        <v>0</v>
      </c>
      <c r="AF3444" s="2">
        <f t="shared" si="816"/>
        <v>2600</v>
      </c>
      <c r="AG3444" s="2">
        <f t="shared" si="817"/>
        <v>0</v>
      </c>
    </row>
    <row r="3445" spans="1:33">
      <c r="A3445" s="20" t="s">
        <v>17282</v>
      </c>
      <c r="B3445" s="150"/>
      <c r="C3445" s="213" t="s">
        <v>17239</v>
      </c>
      <c r="D3445" s="109" t="s">
        <v>3958</v>
      </c>
      <c r="E3445" s="109" t="s">
        <v>18968</v>
      </c>
      <c r="F3445" s="391" t="s">
        <v>17275</v>
      </c>
      <c r="G3445" s="23" t="s">
        <v>13610</v>
      </c>
      <c r="H3445" s="23" t="s">
        <v>16619</v>
      </c>
      <c r="I3445" s="23"/>
      <c r="J3445" s="23"/>
      <c r="K3445" s="23"/>
      <c r="L3445" s="375" t="s">
        <v>7787</v>
      </c>
      <c r="M3445" s="351"/>
      <c r="N3445" s="267">
        <f t="shared" si="811"/>
        <v>0</v>
      </c>
      <c r="O3445" s="268">
        <f t="shared" si="812"/>
        <v>0</v>
      </c>
      <c r="P3445" s="239"/>
      <c r="Q3445" s="239"/>
      <c r="R3445" s="240"/>
      <c r="S3445" s="239"/>
      <c r="T3445" s="239"/>
      <c r="U3445" s="240"/>
      <c r="V3445" s="244"/>
      <c r="W3445" s="240"/>
      <c r="X3445" s="278"/>
      <c r="Y3445" s="240"/>
      <c r="Z3445" s="237"/>
      <c r="AA3445" s="279"/>
      <c r="AB3445" s="342"/>
      <c r="AC3445" s="196">
        <f t="shared" si="813"/>
        <v>0</v>
      </c>
      <c r="AD3445" s="196">
        <f t="shared" si="814"/>
        <v>0</v>
      </c>
      <c r="AE3445" s="196">
        <f t="shared" si="815"/>
        <v>0</v>
      </c>
      <c r="AF3445" s="2">
        <f t="shared" si="816"/>
        <v>0</v>
      </c>
      <c r="AG3445" s="2">
        <f t="shared" si="817"/>
        <v>0</v>
      </c>
    </row>
    <row r="3446" spans="1:33">
      <c r="A3446" s="20" t="s">
        <v>12911</v>
      </c>
      <c r="B3446" s="150"/>
      <c r="C3446" s="213" t="s">
        <v>16783</v>
      </c>
      <c r="D3446" s="109" t="s">
        <v>16329</v>
      </c>
      <c r="E3446" s="109"/>
      <c r="F3446" s="391" t="s">
        <v>16784</v>
      </c>
      <c r="G3446" s="23" t="s">
        <v>16291</v>
      </c>
      <c r="H3446" s="23" t="s">
        <v>16557</v>
      </c>
      <c r="I3446" s="23"/>
      <c r="J3446" s="23"/>
      <c r="K3446" s="23"/>
      <c r="L3446" s="375"/>
      <c r="M3446" s="351" t="s">
        <v>7787</v>
      </c>
      <c r="N3446" s="267">
        <f t="shared" si="811"/>
        <v>0</v>
      </c>
      <c r="O3446" s="268">
        <f t="shared" si="812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39"/>
      <c r="Z3446" s="237"/>
      <c r="AA3446" s="279"/>
      <c r="AB3446" s="238"/>
      <c r="AC3446" s="196">
        <f t="shared" si="813"/>
        <v>0</v>
      </c>
      <c r="AD3446" s="196">
        <f t="shared" si="814"/>
        <v>0</v>
      </c>
      <c r="AE3446" s="196">
        <f t="shared" si="815"/>
        <v>0</v>
      </c>
      <c r="AF3446" s="2">
        <f t="shared" si="816"/>
        <v>0</v>
      </c>
      <c r="AG3446" s="2">
        <f t="shared" si="817"/>
        <v>0</v>
      </c>
    </row>
    <row r="3447" spans="1:33">
      <c r="A3447" s="20" t="s">
        <v>12912</v>
      </c>
      <c r="B3447" s="150"/>
      <c r="C3447" s="213" t="s">
        <v>16785</v>
      </c>
      <c r="D3447" s="109" t="s">
        <v>16329</v>
      </c>
      <c r="E3447" s="109"/>
      <c r="F3447" s="391" t="s">
        <v>16786</v>
      </c>
      <c r="G3447" s="23" t="s">
        <v>16291</v>
      </c>
      <c r="H3447" s="23" t="s">
        <v>6133</v>
      </c>
      <c r="I3447" s="23"/>
      <c r="J3447" s="23"/>
      <c r="K3447" s="23"/>
      <c r="L3447" s="375" t="s">
        <v>7787</v>
      </c>
      <c r="M3447" s="351"/>
      <c r="N3447" s="267">
        <f t="shared" si="811"/>
        <v>0</v>
      </c>
      <c r="O3447" s="268">
        <f t="shared" si="812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39"/>
      <c r="Z3447" s="237"/>
      <c r="AA3447" s="279"/>
      <c r="AB3447" s="238"/>
      <c r="AC3447" s="196">
        <f t="shared" si="813"/>
        <v>0</v>
      </c>
      <c r="AD3447" s="196">
        <f t="shared" si="814"/>
        <v>0</v>
      </c>
      <c r="AE3447" s="196">
        <f t="shared" si="815"/>
        <v>0</v>
      </c>
      <c r="AF3447" s="2">
        <f t="shared" si="816"/>
        <v>0</v>
      </c>
      <c r="AG3447" s="2">
        <f t="shared" si="817"/>
        <v>0</v>
      </c>
    </row>
    <row r="3448" spans="1:33">
      <c r="A3448" s="20" t="s">
        <v>12916</v>
      </c>
      <c r="B3448" s="150"/>
      <c r="C3448" s="213" t="s">
        <v>21357</v>
      </c>
      <c r="D3448" s="109" t="s">
        <v>16279</v>
      </c>
      <c r="E3448" s="109"/>
      <c r="F3448" s="391" t="s">
        <v>16787</v>
      </c>
      <c r="G3448" s="23" t="s">
        <v>15962</v>
      </c>
      <c r="H3448" s="23" t="s">
        <v>13240</v>
      </c>
      <c r="I3448" s="23"/>
      <c r="J3448" s="23"/>
      <c r="K3448" s="23"/>
      <c r="L3448" s="375" t="s">
        <v>7787</v>
      </c>
      <c r="M3448" s="351" t="s">
        <v>7787</v>
      </c>
      <c r="N3448" s="267">
        <f t="shared" si="811"/>
        <v>0</v>
      </c>
      <c r="O3448" s="268">
        <f t="shared" si="812"/>
        <v>0</v>
      </c>
      <c r="P3448" s="239"/>
      <c r="Q3448" s="239"/>
      <c r="R3448" s="239"/>
      <c r="S3448" s="239"/>
      <c r="T3448" s="239"/>
      <c r="U3448" s="240"/>
      <c r="V3448" s="244"/>
      <c r="W3448" s="240"/>
      <c r="X3448" s="278"/>
      <c r="Y3448" s="244"/>
      <c r="Z3448" s="237"/>
      <c r="AA3448" s="279"/>
      <c r="AB3448" s="254"/>
      <c r="AC3448" s="196">
        <f t="shared" si="813"/>
        <v>0</v>
      </c>
      <c r="AD3448" s="196">
        <f t="shared" si="814"/>
        <v>0</v>
      </c>
      <c r="AE3448" s="196">
        <f t="shared" si="815"/>
        <v>0</v>
      </c>
      <c r="AF3448" s="2">
        <f t="shared" si="816"/>
        <v>0</v>
      </c>
      <c r="AG3448" s="2">
        <f t="shared" si="817"/>
        <v>0</v>
      </c>
    </row>
    <row r="3449" spans="1:33">
      <c r="A3449" s="20" t="s">
        <v>20235</v>
      </c>
      <c r="B3449" s="150"/>
      <c r="C3449" s="213" t="s">
        <v>21357</v>
      </c>
      <c r="D3449" s="109" t="s">
        <v>5979</v>
      </c>
      <c r="E3449" s="202" t="s">
        <v>20388</v>
      </c>
      <c r="F3449" s="391" t="s">
        <v>12998</v>
      </c>
      <c r="G3449" s="23" t="s">
        <v>13341</v>
      </c>
      <c r="H3449" s="23"/>
      <c r="I3449" s="23"/>
      <c r="J3449" s="23"/>
      <c r="K3449" s="23"/>
      <c r="L3449" s="375" t="s">
        <v>7787</v>
      </c>
      <c r="M3449" s="351"/>
      <c r="N3449" s="267">
        <f t="shared" si="811"/>
        <v>0</v>
      </c>
      <c r="O3449" s="268">
        <f t="shared" si="812"/>
        <v>0</v>
      </c>
      <c r="P3449" s="239"/>
      <c r="Q3449" s="239"/>
      <c r="R3449" s="239"/>
      <c r="S3449" s="239"/>
      <c r="T3449" s="239"/>
      <c r="U3449" s="240"/>
      <c r="V3449" s="244"/>
      <c r="W3449" s="240"/>
      <c r="X3449" s="278"/>
      <c r="Y3449" s="244"/>
      <c r="Z3449" s="237"/>
      <c r="AA3449" s="279"/>
      <c r="AB3449" s="238"/>
      <c r="AC3449" s="196">
        <f t="shared" si="813"/>
        <v>0</v>
      </c>
      <c r="AD3449" s="196">
        <f t="shared" si="814"/>
        <v>0</v>
      </c>
      <c r="AE3449" s="196">
        <f t="shared" si="815"/>
        <v>0</v>
      </c>
      <c r="AF3449" s="2">
        <f t="shared" si="816"/>
        <v>0</v>
      </c>
      <c r="AG3449" s="2">
        <f t="shared" si="817"/>
        <v>0</v>
      </c>
    </row>
    <row r="3450" spans="1:33">
      <c r="A3450" s="20" t="s">
        <v>21462</v>
      </c>
      <c r="B3450" s="150"/>
      <c r="C3450" s="213" t="s">
        <v>21358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 t="s">
        <v>7787</v>
      </c>
      <c r="M3450" s="351" t="s">
        <v>7787</v>
      </c>
      <c r="N3450" s="267">
        <f t="shared" si="811"/>
        <v>0</v>
      </c>
      <c r="O3450" s="268">
        <f t="shared" si="812"/>
        <v>0</v>
      </c>
      <c r="P3450" s="239"/>
      <c r="Q3450" s="239"/>
      <c r="R3450" s="239"/>
      <c r="S3450" s="239"/>
      <c r="T3450" s="239"/>
      <c r="U3450" s="244"/>
      <c r="V3450" s="240"/>
      <c r="W3450" s="240"/>
      <c r="X3450" s="278"/>
      <c r="Y3450" s="244"/>
      <c r="Z3450" s="237"/>
      <c r="AA3450" s="279"/>
      <c r="AB3450" s="238"/>
      <c r="AC3450" s="196">
        <f t="shared" si="813"/>
        <v>0</v>
      </c>
      <c r="AD3450" s="196">
        <f t="shared" si="814"/>
        <v>0</v>
      </c>
      <c r="AE3450" s="196">
        <f t="shared" si="815"/>
        <v>0</v>
      </c>
      <c r="AF3450" s="2">
        <f t="shared" si="816"/>
        <v>0</v>
      </c>
      <c r="AG3450" s="2">
        <f t="shared" si="817"/>
        <v>0</v>
      </c>
    </row>
    <row r="3451" spans="1:33">
      <c r="A3451" s="20" t="s">
        <v>23166</v>
      </c>
      <c r="B3451" s="150"/>
      <c r="C3451" s="213" t="s">
        <v>23040</v>
      </c>
      <c r="D3451" s="109" t="s">
        <v>5979</v>
      </c>
      <c r="E3451" s="202"/>
      <c r="F3451" s="391" t="s">
        <v>12998</v>
      </c>
      <c r="G3451" s="23" t="s">
        <v>13341</v>
      </c>
      <c r="H3451" s="23" t="s">
        <v>13240</v>
      </c>
      <c r="I3451" s="23"/>
      <c r="J3451" s="23"/>
      <c r="K3451" s="23"/>
      <c r="L3451" s="375" t="s">
        <v>27663</v>
      </c>
      <c r="M3451" s="351" t="s">
        <v>7787</v>
      </c>
      <c r="N3451" s="267">
        <f t="shared" si="811"/>
        <v>0</v>
      </c>
      <c r="O3451" s="268">
        <f t="shared" si="812"/>
        <v>0</v>
      </c>
      <c r="P3451" s="239"/>
      <c r="Q3451" s="239"/>
      <c r="R3451" s="239"/>
      <c r="S3451" s="239"/>
      <c r="T3451" s="239"/>
      <c r="U3451" s="240"/>
      <c r="V3451" s="240"/>
      <c r="W3451" s="240"/>
      <c r="X3451" s="278"/>
      <c r="Y3451" s="244"/>
      <c r="Z3451" s="237"/>
      <c r="AA3451" s="279"/>
      <c r="AB3451" s="238"/>
      <c r="AC3451" s="196">
        <f t="shared" si="813"/>
        <v>0</v>
      </c>
      <c r="AD3451" s="196">
        <f t="shared" si="814"/>
        <v>0</v>
      </c>
      <c r="AE3451" s="196">
        <f t="shared" si="815"/>
        <v>0</v>
      </c>
      <c r="AF3451" s="2">
        <f t="shared" si="816"/>
        <v>0</v>
      </c>
      <c r="AG3451" s="2">
        <f t="shared" si="817"/>
        <v>0</v>
      </c>
    </row>
    <row r="3452" spans="1:33">
      <c r="A3452" s="20" t="s">
        <v>26375</v>
      </c>
      <c r="B3452" s="150"/>
      <c r="C3452" s="213" t="s">
        <v>26443</v>
      </c>
      <c r="D3452" s="109" t="s">
        <v>5979</v>
      </c>
      <c r="E3452" s="202"/>
      <c r="F3452" s="391" t="s">
        <v>12998</v>
      </c>
      <c r="G3452" s="23" t="s">
        <v>13341</v>
      </c>
      <c r="H3452" s="23" t="s">
        <v>13240</v>
      </c>
      <c r="I3452" s="23"/>
      <c r="J3452" s="23"/>
      <c r="K3452" s="23"/>
      <c r="L3452" s="375">
        <v>3960</v>
      </c>
      <c r="M3452" s="351" t="s">
        <v>45</v>
      </c>
      <c r="N3452" s="267">
        <f t="shared" ref="N3452" si="818">SUM(L3452:M3452)</f>
        <v>3960</v>
      </c>
      <c r="O3452" s="268">
        <f t="shared" ref="O3452" si="819">SUM(P3452:Z3452)</f>
        <v>2600</v>
      </c>
      <c r="P3452" s="239"/>
      <c r="Q3452" s="239"/>
      <c r="R3452" s="239"/>
      <c r="S3452" s="239"/>
      <c r="T3452" s="239"/>
      <c r="U3452" s="240"/>
      <c r="V3452" s="244">
        <f>4300-3600+4400-3600+3900-3600+3000-3600+3100+4200-3600+6900+700-3600+1500-3600-3600+5300-3600+2800-3600-3600+900+2700-3600+3300-3600+4000-3600+4800-3600+3000-3600+3800-3600+6800+4700-3600+3400-3600-3600+5800-3600+2100-3600-3600</f>
        <v>2600</v>
      </c>
      <c r="W3452" s="240"/>
      <c r="X3452" s="278"/>
      <c r="Y3452" s="244"/>
      <c r="Z3452" s="237"/>
      <c r="AA3452" s="279"/>
      <c r="AB3452" s="238" t="s">
        <v>28004</v>
      </c>
      <c r="AC3452" s="196">
        <f t="shared" si="813"/>
        <v>2600</v>
      </c>
      <c r="AD3452" s="196">
        <f t="shared" si="814"/>
        <v>2600</v>
      </c>
      <c r="AE3452" s="196">
        <f t="shared" si="815"/>
        <v>0</v>
      </c>
      <c r="AF3452" s="2">
        <f t="shared" si="816"/>
        <v>2600</v>
      </c>
      <c r="AG3452" s="2">
        <f t="shared" si="817"/>
        <v>0</v>
      </c>
    </row>
    <row r="3453" spans="1:33">
      <c r="A3453" s="20" t="s">
        <v>27285</v>
      </c>
      <c r="B3453" s="150"/>
      <c r="C3453" s="213" t="s">
        <v>27346</v>
      </c>
      <c r="D3453" s="109" t="s">
        <v>5979</v>
      </c>
      <c r="E3453" s="202"/>
      <c r="F3453" s="391" t="s">
        <v>12998</v>
      </c>
      <c r="G3453" s="23" t="s">
        <v>13341</v>
      </c>
      <c r="H3453" s="23"/>
      <c r="I3453" s="23"/>
      <c r="J3453" s="23"/>
      <c r="K3453" s="23"/>
      <c r="L3453" s="375" t="s">
        <v>27607</v>
      </c>
      <c r="M3453" s="351" t="s">
        <v>27523</v>
      </c>
      <c r="N3453" s="267">
        <f t="shared" ref="N3453" si="820">SUM(L3453:M3453)</f>
        <v>0</v>
      </c>
      <c r="O3453" s="268">
        <f t="shared" ref="O3453" si="821">SUM(P3453:Z3453)</f>
        <v>0</v>
      </c>
      <c r="P3453" s="239"/>
      <c r="Q3453" s="239"/>
      <c r="R3453" s="239"/>
      <c r="S3453" s="239"/>
      <c r="T3453" s="239"/>
      <c r="U3453" s="240"/>
      <c r="V3453" s="244"/>
      <c r="W3453" s="240"/>
      <c r="X3453" s="278"/>
      <c r="Y3453" s="244"/>
      <c r="Z3453" s="237"/>
      <c r="AA3453" s="279"/>
      <c r="AB3453" s="238"/>
      <c r="AC3453" s="196"/>
      <c r="AD3453" s="196"/>
      <c r="AE3453" s="196"/>
    </row>
    <row r="3454" spans="1:33">
      <c r="A3454" s="20" t="s">
        <v>12918</v>
      </c>
      <c r="B3454" s="150"/>
      <c r="C3454" s="213" t="s">
        <v>16788</v>
      </c>
      <c r="D3454" s="109" t="s">
        <v>16279</v>
      </c>
      <c r="E3454" s="109"/>
      <c r="F3454" s="391" t="s">
        <v>16789</v>
      </c>
      <c r="G3454" s="23" t="s">
        <v>15962</v>
      </c>
      <c r="H3454" s="23"/>
      <c r="I3454" s="23"/>
      <c r="J3454" s="23"/>
      <c r="K3454" s="23"/>
      <c r="L3454" s="375" t="s">
        <v>27931</v>
      </c>
      <c r="M3454" s="351" t="s">
        <v>27951</v>
      </c>
      <c r="N3454" s="267">
        <f t="shared" si="811"/>
        <v>0</v>
      </c>
      <c r="O3454" s="268">
        <f t="shared" si="812"/>
        <v>4500</v>
      </c>
      <c r="P3454" s="239"/>
      <c r="Q3454" s="239"/>
      <c r="R3454" s="239"/>
      <c r="S3454" s="239"/>
      <c r="T3454" s="239"/>
      <c r="U3454" s="240"/>
      <c r="V3454" s="244">
        <f>2900+1600</f>
        <v>4500</v>
      </c>
      <c r="W3454" s="240"/>
      <c r="X3454" s="278"/>
      <c r="Y3454" s="244"/>
      <c r="Z3454" s="237"/>
      <c r="AA3454" s="279"/>
      <c r="AB3454" s="238" t="s">
        <v>27942</v>
      </c>
      <c r="AC3454" s="196">
        <f t="shared" si="813"/>
        <v>4500</v>
      </c>
      <c r="AD3454" s="196">
        <f t="shared" si="814"/>
        <v>4500</v>
      </c>
      <c r="AE3454" s="196">
        <f t="shared" si="815"/>
        <v>0</v>
      </c>
      <c r="AF3454" s="2">
        <f t="shared" si="816"/>
        <v>4500</v>
      </c>
      <c r="AG3454" s="2">
        <f t="shared" si="817"/>
        <v>0</v>
      </c>
    </row>
    <row r="3455" spans="1:33">
      <c r="A3455" s="20" t="s">
        <v>17947</v>
      </c>
      <c r="B3455" s="150"/>
      <c r="C3455" s="213" t="s">
        <v>13000</v>
      </c>
      <c r="D3455" s="109" t="s">
        <v>5979</v>
      </c>
      <c r="E3455" s="109" t="s">
        <v>17899</v>
      </c>
      <c r="F3455" s="391" t="s">
        <v>13001</v>
      </c>
      <c r="G3455" s="23" t="s">
        <v>13341</v>
      </c>
      <c r="H3455" s="23"/>
      <c r="I3455" s="23"/>
      <c r="J3455" s="23"/>
      <c r="K3455" s="23"/>
      <c r="L3455" s="375"/>
      <c r="M3455" s="351" t="s">
        <v>7787</v>
      </c>
      <c r="N3455" s="267">
        <f t="shared" si="811"/>
        <v>0</v>
      </c>
      <c r="O3455" s="268">
        <f t="shared" si="812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44"/>
      <c r="Z3455" s="237"/>
      <c r="AA3455" s="279"/>
      <c r="AB3455" s="238"/>
      <c r="AC3455" s="196">
        <f t="shared" si="813"/>
        <v>0</v>
      </c>
      <c r="AD3455" s="196">
        <f t="shared" si="814"/>
        <v>0</v>
      </c>
      <c r="AE3455" s="196">
        <f t="shared" si="815"/>
        <v>0</v>
      </c>
      <c r="AF3455" s="2">
        <f t="shared" si="816"/>
        <v>0</v>
      </c>
      <c r="AG3455" s="2">
        <f t="shared" si="817"/>
        <v>0</v>
      </c>
    </row>
    <row r="3456" spans="1:33">
      <c r="A3456" s="20" t="s">
        <v>17420</v>
      </c>
      <c r="B3456" s="150"/>
      <c r="C3456" s="213" t="s">
        <v>17609</v>
      </c>
      <c r="D3456" s="109" t="s">
        <v>8554</v>
      </c>
      <c r="E3456" s="109"/>
      <c r="F3456" s="391" t="s">
        <v>17610</v>
      </c>
      <c r="G3456" s="23" t="s">
        <v>6133</v>
      </c>
      <c r="H3456" s="23" t="s">
        <v>18067</v>
      </c>
      <c r="I3456" s="23" t="s">
        <v>14782</v>
      </c>
      <c r="J3456" s="23"/>
      <c r="K3456" s="23"/>
      <c r="L3456" s="375"/>
      <c r="M3456" s="351" t="s">
        <v>7787</v>
      </c>
      <c r="N3456" s="267">
        <f t="shared" si="811"/>
        <v>0</v>
      </c>
      <c r="O3456" s="268">
        <f t="shared" si="812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39"/>
      <c r="Z3456" s="237"/>
      <c r="AA3456" s="279"/>
      <c r="AB3456" s="238"/>
      <c r="AC3456" s="196">
        <f t="shared" si="813"/>
        <v>0</v>
      </c>
      <c r="AD3456" s="196">
        <f t="shared" si="814"/>
        <v>0</v>
      </c>
      <c r="AE3456" s="196">
        <f t="shared" si="815"/>
        <v>0</v>
      </c>
      <c r="AF3456" s="2">
        <f t="shared" si="816"/>
        <v>0</v>
      </c>
      <c r="AG3456" s="2">
        <f t="shared" si="817"/>
        <v>0</v>
      </c>
    </row>
    <row r="3457" spans="1:33">
      <c r="A3457" s="20" t="s">
        <v>12924</v>
      </c>
      <c r="B3457" s="150"/>
      <c r="C3457" s="213" t="s">
        <v>16790</v>
      </c>
      <c r="D3457" s="109" t="s">
        <v>16279</v>
      </c>
      <c r="E3457" s="109"/>
      <c r="F3457" s="391" t="s">
        <v>16791</v>
      </c>
      <c r="G3457" s="23" t="s">
        <v>15962</v>
      </c>
      <c r="H3457" s="23"/>
      <c r="I3457" s="23"/>
      <c r="J3457" s="23"/>
      <c r="K3457" s="23"/>
      <c r="L3457" s="375" t="s">
        <v>7787</v>
      </c>
      <c r="M3457" s="351" t="s">
        <v>7787</v>
      </c>
      <c r="N3457" s="267">
        <f t="shared" si="811"/>
        <v>0</v>
      </c>
      <c r="O3457" s="268">
        <f t="shared" si="812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44"/>
      <c r="Z3457" s="237"/>
      <c r="AA3457" s="279"/>
      <c r="AB3457" s="238"/>
      <c r="AC3457" s="196">
        <f t="shared" si="813"/>
        <v>0</v>
      </c>
      <c r="AD3457" s="196">
        <f t="shared" si="814"/>
        <v>0</v>
      </c>
      <c r="AE3457" s="196">
        <f t="shared" si="815"/>
        <v>0</v>
      </c>
      <c r="AF3457" s="2">
        <f t="shared" si="816"/>
        <v>0</v>
      </c>
      <c r="AG3457" s="2">
        <f t="shared" si="817"/>
        <v>0</v>
      </c>
    </row>
    <row r="3458" spans="1:33">
      <c r="A3458" s="20" t="s">
        <v>12925</v>
      </c>
      <c r="B3458" s="150"/>
      <c r="C3458" s="213" t="s">
        <v>16792</v>
      </c>
      <c r="D3458" s="109" t="s">
        <v>16279</v>
      </c>
      <c r="E3458" s="109"/>
      <c r="F3458" s="391" t="s">
        <v>16793</v>
      </c>
      <c r="G3458" s="23" t="s">
        <v>15962</v>
      </c>
      <c r="H3458" s="23"/>
      <c r="I3458" s="23"/>
      <c r="J3458" s="23"/>
      <c r="K3458" s="23"/>
      <c r="L3458" s="375" t="s">
        <v>7787</v>
      </c>
      <c r="M3458" s="351" t="s">
        <v>7787</v>
      </c>
      <c r="N3458" s="267">
        <f t="shared" si="811"/>
        <v>0</v>
      </c>
      <c r="O3458" s="268">
        <f t="shared" si="812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37"/>
      <c r="Z3458" s="237"/>
      <c r="AA3458" s="279"/>
      <c r="AB3458" s="238"/>
      <c r="AC3458" s="196">
        <f t="shared" si="813"/>
        <v>0</v>
      </c>
      <c r="AD3458" s="196">
        <f t="shared" si="814"/>
        <v>0</v>
      </c>
      <c r="AE3458" s="196">
        <f t="shared" si="815"/>
        <v>0</v>
      </c>
      <c r="AF3458" s="2">
        <f t="shared" si="816"/>
        <v>0</v>
      </c>
      <c r="AG3458" s="2">
        <f t="shared" si="817"/>
        <v>0</v>
      </c>
    </row>
    <row r="3459" spans="1:33">
      <c r="A3459" s="20" t="s">
        <v>18412</v>
      </c>
      <c r="B3459" s="150"/>
      <c r="C3459" s="213" t="s">
        <v>13047</v>
      </c>
      <c r="D3459" s="109" t="s">
        <v>5979</v>
      </c>
      <c r="E3459" s="109" t="s">
        <v>18384</v>
      </c>
      <c r="F3459" s="391" t="s">
        <v>13094</v>
      </c>
      <c r="G3459" s="23" t="s">
        <v>13341</v>
      </c>
      <c r="H3459" s="23"/>
      <c r="I3459" s="23"/>
      <c r="J3459" s="23"/>
      <c r="K3459" s="23"/>
      <c r="L3459" s="375"/>
      <c r="M3459" s="351"/>
      <c r="N3459" s="267">
        <f t="shared" si="811"/>
        <v>0</v>
      </c>
      <c r="O3459" s="268">
        <f t="shared" si="812"/>
        <v>0</v>
      </c>
      <c r="P3459" s="239"/>
      <c r="Q3459" s="239"/>
      <c r="R3459" s="239"/>
      <c r="S3459" s="239"/>
      <c r="T3459" s="239"/>
      <c r="U3459" s="240"/>
      <c r="V3459" s="244"/>
      <c r="W3459" s="240"/>
      <c r="X3459" s="278"/>
      <c r="Y3459" s="237"/>
      <c r="Z3459" s="237"/>
      <c r="AA3459" s="279"/>
      <c r="AB3459" s="238"/>
      <c r="AC3459" s="196">
        <f t="shared" si="813"/>
        <v>0</v>
      </c>
      <c r="AD3459" s="196">
        <f t="shared" si="814"/>
        <v>0</v>
      </c>
      <c r="AE3459" s="196">
        <f t="shared" si="815"/>
        <v>0</v>
      </c>
      <c r="AF3459" s="2">
        <f t="shared" si="816"/>
        <v>0</v>
      </c>
      <c r="AG3459" s="2">
        <f t="shared" si="817"/>
        <v>0</v>
      </c>
    </row>
    <row r="3460" spans="1:33">
      <c r="A3460" s="20" t="s">
        <v>17728</v>
      </c>
      <c r="B3460" s="150"/>
      <c r="C3460" s="213" t="s">
        <v>17788</v>
      </c>
      <c r="D3460" s="109" t="s">
        <v>17789</v>
      </c>
      <c r="E3460" s="109" t="s">
        <v>18968</v>
      </c>
      <c r="F3460" s="391" t="s">
        <v>17793</v>
      </c>
      <c r="G3460" s="23" t="s">
        <v>13610</v>
      </c>
      <c r="H3460" s="23" t="s">
        <v>16619</v>
      </c>
      <c r="I3460" s="23"/>
      <c r="J3460" s="23"/>
      <c r="K3460" s="23"/>
      <c r="L3460" s="375"/>
      <c r="M3460" s="351" t="s">
        <v>7787</v>
      </c>
      <c r="N3460" s="267">
        <f t="shared" si="811"/>
        <v>0</v>
      </c>
      <c r="O3460" s="268">
        <f t="shared" si="812"/>
        <v>0</v>
      </c>
      <c r="P3460" s="239"/>
      <c r="Q3460" s="239"/>
      <c r="R3460" s="239"/>
      <c r="S3460" s="239"/>
      <c r="T3460" s="239"/>
      <c r="U3460" s="240"/>
      <c r="V3460" s="244"/>
      <c r="W3460" s="240"/>
      <c r="X3460" s="278"/>
      <c r="Y3460" s="240"/>
      <c r="Z3460" s="237"/>
      <c r="AA3460" s="279"/>
      <c r="AB3460" s="238"/>
      <c r="AC3460" s="196">
        <f t="shared" si="813"/>
        <v>0</v>
      </c>
      <c r="AD3460" s="196">
        <f t="shared" si="814"/>
        <v>0</v>
      </c>
      <c r="AE3460" s="196">
        <f t="shared" si="815"/>
        <v>0</v>
      </c>
      <c r="AF3460" s="2">
        <f t="shared" si="816"/>
        <v>0</v>
      </c>
      <c r="AG3460" s="2">
        <f t="shared" si="817"/>
        <v>0</v>
      </c>
    </row>
    <row r="3461" spans="1:33">
      <c r="A3461" s="20" t="s">
        <v>13106</v>
      </c>
      <c r="B3461" s="150"/>
      <c r="C3461" s="213" t="s">
        <v>20980</v>
      </c>
      <c r="D3461" s="109" t="s">
        <v>20979</v>
      </c>
      <c r="E3461" s="109"/>
      <c r="F3461" s="391" t="s">
        <v>17174</v>
      </c>
      <c r="G3461" s="23" t="s">
        <v>13341</v>
      </c>
      <c r="H3461" s="23" t="s">
        <v>18203</v>
      </c>
      <c r="I3461" s="23" t="s">
        <v>17306</v>
      </c>
      <c r="J3461" s="23" t="s">
        <v>24820</v>
      </c>
      <c r="K3461" s="23"/>
      <c r="L3461" s="375" t="s">
        <v>45</v>
      </c>
      <c r="M3461" s="351" t="s">
        <v>7787</v>
      </c>
      <c r="N3461" s="267">
        <f t="shared" si="811"/>
        <v>0</v>
      </c>
      <c r="O3461" s="268">
        <f t="shared" si="812"/>
        <v>0</v>
      </c>
      <c r="P3461" s="239"/>
      <c r="Q3461" s="239"/>
      <c r="R3461" s="239"/>
      <c r="S3461" s="244"/>
      <c r="T3461" s="239"/>
      <c r="U3461" s="244"/>
      <c r="V3461" s="244"/>
      <c r="W3461" s="240"/>
      <c r="X3461" s="278"/>
      <c r="Y3461" s="244"/>
      <c r="Z3461" s="237"/>
      <c r="AA3461" s="279"/>
      <c r="AB3461" s="238"/>
      <c r="AC3461" s="196">
        <f t="shared" si="813"/>
        <v>0</v>
      </c>
      <c r="AD3461" s="196">
        <f t="shared" si="814"/>
        <v>0</v>
      </c>
      <c r="AE3461" s="196">
        <f t="shared" si="815"/>
        <v>0</v>
      </c>
      <c r="AF3461" s="2">
        <f t="shared" si="816"/>
        <v>0</v>
      </c>
      <c r="AG3461" s="2">
        <f t="shared" si="817"/>
        <v>0</v>
      </c>
    </row>
    <row r="3462" spans="1:33">
      <c r="A3462" s="20" t="s">
        <v>17948</v>
      </c>
      <c r="B3462" s="150"/>
      <c r="C3462" s="213" t="s">
        <v>20980</v>
      </c>
      <c r="D3462" s="109" t="s">
        <v>5979</v>
      </c>
      <c r="E3462" s="109" t="s">
        <v>17899</v>
      </c>
      <c r="F3462" s="391" t="s">
        <v>17174</v>
      </c>
      <c r="G3462" s="23" t="s">
        <v>13341</v>
      </c>
      <c r="H3462" s="23"/>
      <c r="I3462" s="23"/>
      <c r="J3462" s="23"/>
      <c r="K3462" s="23"/>
      <c r="L3462" s="375" t="s">
        <v>7787</v>
      </c>
      <c r="M3462" s="351" t="s">
        <v>7787</v>
      </c>
      <c r="N3462" s="267">
        <f t="shared" si="811"/>
        <v>0</v>
      </c>
      <c r="O3462" s="268">
        <f t="shared" si="812"/>
        <v>0</v>
      </c>
      <c r="P3462" s="239"/>
      <c r="Q3462" s="239"/>
      <c r="R3462" s="239"/>
      <c r="S3462" s="239"/>
      <c r="T3462" s="239"/>
      <c r="U3462" s="240"/>
      <c r="V3462" s="244"/>
      <c r="W3462" s="240"/>
      <c r="X3462" s="278"/>
      <c r="Y3462" s="237"/>
      <c r="Z3462" s="237"/>
      <c r="AA3462" s="279"/>
      <c r="AB3462" s="238"/>
      <c r="AC3462" s="196">
        <f t="shared" si="813"/>
        <v>0</v>
      </c>
      <c r="AD3462" s="196">
        <f t="shared" si="814"/>
        <v>0</v>
      </c>
      <c r="AE3462" s="196">
        <f t="shared" si="815"/>
        <v>0</v>
      </c>
      <c r="AF3462" s="2">
        <f t="shared" si="816"/>
        <v>0</v>
      </c>
      <c r="AG3462" s="2">
        <f t="shared" si="817"/>
        <v>0</v>
      </c>
    </row>
    <row r="3463" spans="1:33">
      <c r="A3463" s="20" t="s">
        <v>21463</v>
      </c>
      <c r="B3463" s="150"/>
      <c r="C3463" s="213" t="s">
        <v>20981</v>
      </c>
      <c r="D3463" s="109" t="s">
        <v>20979</v>
      </c>
      <c r="E3463" s="109"/>
      <c r="F3463" s="391" t="s">
        <v>17174</v>
      </c>
      <c r="G3463" s="23" t="s">
        <v>13341</v>
      </c>
      <c r="H3463" s="23" t="s">
        <v>18203</v>
      </c>
      <c r="I3463" s="23" t="s">
        <v>17306</v>
      </c>
      <c r="J3463" s="23"/>
      <c r="K3463" s="23"/>
      <c r="L3463" s="375" t="s">
        <v>7787</v>
      </c>
      <c r="M3463" s="351" t="s">
        <v>7787</v>
      </c>
      <c r="N3463" s="267">
        <f t="shared" si="811"/>
        <v>0</v>
      </c>
      <c r="O3463" s="268">
        <f t="shared" si="812"/>
        <v>0</v>
      </c>
      <c r="P3463" s="239"/>
      <c r="Q3463" s="239"/>
      <c r="R3463" s="239"/>
      <c r="S3463" s="239"/>
      <c r="T3463" s="239"/>
      <c r="U3463" s="240"/>
      <c r="V3463" s="244"/>
      <c r="W3463" s="240"/>
      <c r="X3463" s="278"/>
      <c r="Y3463" s="237"/>
      <c r="Z3463" s="237"/>
      <c r="AA3463" s="279"/>
      <c r="AB3463" s="238"/>
      <c r="AC3463" s="196">
        <f t="shared" si="813"/>
        <v>0</v>
      </c>
      <c r="AD3463" s="196">
        <f t="shared" si="814"/>
        <v>0</v>
      </c>
      <c r="AE3463" s="196">
        <f t="shared" si="815"/>
        <v>0</v>
      </c>
      <c r="AF3463" s="2">
        <f t="shared" si="816"/>
        <v>0</v>
      </c>
      <c r="AG3463" s="2">
        <f t="shared" si="817"/>
        <v>0</v>
      </c>
    </row>
    <row r="3464" spans="1:33">
      <c r="A3464" s="20" t="s">
        <v>25159</v>
      </c>
      <c r="B3464" s="150"/>
      <c r="C3464" s="213" t="s">
        <v>25218</v>
      </c>
      <c r="D3464" s="109" t="s">
        <v>5979</v>
      </c>
      <c r="E3464" s="109"/>
      <c r="F3464" s="391" t="s">
        <v>17174</v>
      </c>
      <c r="G3464" s="23" t="s">
        <v>13341</v>
      </c>
      <c r="H3464" s="23"/>
      <c r="I3464" s="23"/>
      <c r="J3464" s="23"/>
      <c r="K3464" s="23"/>
      <c r="L3464" s="375" t="s">
        <v>45</v>
      </c>
      <c r="M3464" s="351" t="s">
        <v>45</v>
      </c>
      <c r="N3464" s="267">
        <f t="shared" ref="N3464" si="822">SUM(L3464:M3464)</f>
        <v>0</v>
      </c>
      <c r="O3464" s="268">
        <f t="shared" ref="O3464" si="823">SUM(P3464:Z3464)</f>
        <v>300</v>
      </c>
      <c r="P3464" s="239"/>
      <c r="Q3464" s="239"/>
      <c r="R3464" s="239"/>
      <c r="S3464" s="239"/>
      <c r="T3464" s="239"/>
      <c r="U3464" s="240"/>
      <c r="V3464" s="244">
        <f>1600+2400-3600+3500-3600+800+4000-3600+1200+300+4700-3600-3600-100-100</f>
        <v>300</v>
      </c>
      <c r="W3464" s="240"/>
      <c r="X3464" s="278"/>
      <c r="Y3464" s="237"/>
      <c r="Z3464" s="237"/>
      <c r="AA3464" s="279"/>
      <c r="AB3464" s="238" t="s">
        <v>26662</v>
      </c>
      <c r="AC3464" s="196">
        <f t="shared" si="813"/>
        <v>300</v>
      </c>
      <c r="AD3464" s="196">
        <f t="shared" si="814"/>
        <v>300</v>
      </c>
      <c r="AE3464" s="196">
        <f t="shared" si="815"/>
        <v>0</v>
      </c>
      <c r="AF3464" s="2">
        <f t="shared" si="816"/>
        <v>300</v>
      </c>
      <c r="AG3464" s="2">
        <f t="shared" si="817"/>
        <v>0</v>
      </c>
    </row>
    <row r="3465" spans="1:33">
      <c r="A3465" s="20" t="s">
        <v>17284</v>
      </c>
      <c r="B3465" s="150"/>
      <c r="C3465" s="213" t="s">
        <v>17276</v>
      </c>
      <c r="D3465" s="109" t="s">
        <v>17278</v>
      </c>
      <c r="E3465" s="109"/>
      <c r="F3465" s="391" t="s">
        <v>17296</v>
      </c>
      <c r="G3465" s="23" t="s">
        <v>17277</v>
      </c>
      <c r="H3465" s="23" t="s">
        <v>15190</v>
      </c>
      <c r="I3465" s="23"/>
      <c r="J3465" s="23"/>
      <c r="K3465" s="23"/>
      <c r="L3465" s="375" t="s">
        <v>7787</v>
      </c>
      <c r="M3465" s="351" t="s">
        <v>7787</v>
      </c>
      <c r="N3465" s="267">
        <f t="shared" si="811"/>
        <v>0</v>
      </c>
      <c r="O3465" s="268">
        <f t="shared" si="812"/>
        <v>0</v>
      </c>
      <c r="P3465" s="239"/>
      <c r="Q3465" s="239"/>
      <c r="R3465" s="239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13"/>
        <v>0</v>
      </c>
      <c r="AD3465" s="196">
        <f t="shared" si="814"/>
        <v>0</v>
      </c>
      <c r="AE3465" s="196">
        <f t="shared" si="815"/>
        <v>0</v>
      </c>
      <c r="AF3465" s="2">
        <f t="shared" si="816"/>
        <v>0</v>
      </c>
      <c r="AG3465" s="2">
        <f t="shared" si="817"/>
        <v>0</v>
      </c>
    </row>
    <row r="3466" spans="1:33">
      <c r="A3466" s="20" t="s">
        <v>17293</v>
      </c>
      <c r="B3466" s="150"/>
      <c r="C3466" s="213" t="s">
        <v>17490</v>
      </c>
      <c r="D3466" s="109" t="s">
        <v>17491</v>
      </c>
      <c r="E3466" s="109" t="s">
        <v>18968</v>
      </c>
      <c r="F3466" s="391" t="s">
        <v>17520</v>
      </c>
      <c r="G3466" s="23" t="s">
        <v>13610</v>
      </c>
      <c r="H3466" s="23" t="s">
        <v>16619</v>
      </c>
      <c r="I3466" s="23"/>
      <c r="J3466" s="23"/>
      <c r="K3466" s="23"/>
      <c r="L3466" s="375"/>
      <c r="M3466" s="351" t="s">
        <v>7787</v>
      </c>
      <c r="N3466" s="267">
        <f t="shared" si="811"/>
        <v>0</v>
      </c>
      <c r="O3466" s="268">
        <f t="shared" si="812"/>
        <v>0</v>
      </c>
      <c r="P3466" s="239"/>
      <c r="Q3466" s="239"/>
      <c r="R3466" s="239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13"/>
        <v>0</v>
      </c>
      <c r="AD3466" s="196">
        <f t="shared" si="814"/>
        <v>0</v>
      </c>
      <c r="AE3466" s="196">
        <f t="shared" si="815"/>
        <v>0</v>
      </c>
      <c r="AF3466" s="2">
        <f t="shared" si="816"/>
        <v>0</v>
      </c>
      <c r="AG3466" s="2">
        <f t="shared" si="817"/>
        <v>0</v>
      </c>
    </row>
    <row r="3467" spans="1:33">
      <c r="A3467" s="20" t="s">
        <v>19924</v>
      </c>
      <c r="B3467" s="150"/>
      <c r="C3467" s="213" t="s">
        <v>19359</v>
      </c>
      <c r="D3467" s="109" t="s">
        <v>3137</v>
      </c>
      <c r="E3467" s="109"/>
      <c r="F3467" s="391" t="s">
        <v>19364</v>
      </c>
      <c r="G3467" s="23" t="s">
        <v>13301</v>
      </c>
      <c r="H3467" s="23" t="s">
        <v>25186</v>
      </c>
      <c r="I3467" s="23"/>
      <c r="J3467" s="23"/>
      <c r="K3467" s="23"/>
      <c r="L3467" s="375" t="s">
        <v>7787</v>
      </c>
      <c r="M3467" s="351" t="s">
        <v>7787</v>
      </c>
      <c r="N3467" s="267">
        <f t="shared" si="811"/>
        <v>0</v>
      </c>
      <c r="O3467" s="268">
        <f t="shared" si="812"/>
        <v>0</v>
      </c>
      <c r="P3467" s="239"/>
      <c r="Q3467" s="244"/>
      <c r="R3467" s="244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13"/>
        <v>0</v>
      </c>
      <c r="AD3467" s="196">
        <f t="shared" si="814"/>
        <v>0</v>
      </c>
      <c r="AE3467" s="196">
        <f t="shared" si="815"/>
        <v>0</v>
      </c>
      <c r="AF3467" s="2">
        <f t="shared" si="816"/>
        <v>0</v>
      </c>
      <c r="AG3467" s="2">
        <f t="shared" si="817"/>
        <v>0</v>
      </c>
    </row>
    <row r="3468" spans="1:33">
      <c r="A3468" s="20" t="s">
        <v>17283</v>
      </c>
      <c r="B3468" s="150"/>
      <c r="C3468" s="213" t="s">
        <v>17236</v>
      </c>
      <c r="D3468" s="109" t="s">
        <v>17237</v>
      </c>
      <c r="E3468" s="109"/>
      <c r="F3468" s="391" t="s">
        <v>17295</v>
      </c>
      <c r="G3468" s="23" t="s">
        <v>13341</v>
      </c>
      <c r="H3468" s="23" t="s">
        <v>18203</v>
      </c>
      <c r="I3468" s="23" t="s">
        <v>17306</v>
      </c>
      <c r="J3468" s="23"/>
      <c r="K3468" s="23"/>
      <c r="L3468" s="375" t="s">
        <v>45</v>
      </c>
      <c r="M3468" s="351" t="s">
        <v>7787</v>
      </c>
      <c r="N3468" s="267">
        <f t="shared" si="811"/>
        <v>0</v>
      </c>
      <c r="O3468" s="268">
        <f t="shared" si="812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13"/>
        <v>0</v>
      </c>
      <c r="AD3468" s="196">
        <f t="shared" si="814"/>
        <v>0</v>
      </c>
      <c r="AE3468" s="196">
        <f t="shared" si="815"/>
        <v>0</v>
      </c>
      <c r="AF3468" s="2">
        <f t="shared" si="816"/>
        <v>0</v>
      </c>
      <c r="AG3468" s="2">
        <f t="shared" si="817"/>
        <v>0</v>
      </c>
    </row>
    <row r="3469" spans="1:33">
      <c r="A3469" s="20" t="s">
        <v>17949</v>
      </c>
      <c r="B3469" s="150"/>
      <c r="C3469" s="213" t="s">
        <v>17236</v>
      </c>
      <c r="D3469" s="109" t="s">
        <v>5979</v>
      </c>
      <c r="E3469" s="109" t="s">
        <v>17899</v>
      </c>
      <c r="F3469" s="391" t="s">
        <v>17295</v>
      </c>
      <c r="G3469" s="23" t="s">
        <v>13341</v>
      </c>
      <c r="H3469" s="23"/>
      <c r="I3469" s="23"/>
      <c r="J3469" s="23"/>
      <c r="K3469" s="23"/>
      <c r="L3469" s="375" t="s">
        <v>7787</v>
      </c>
      <c r="M3469" s="351"/>
      <c r="N3469" s="267">
        <f t="shared" si="811"/>
        <v>0</v>
      </c>
      <c r="O3469" s="268">
        <f t="shared" si="812"/>
        <v>0</v>
      </c>
      <c r="P3469" s="239"/>
      <c r="Q3469" s="239"/>
      <c r="R3469" s="239"/>
      <c r="S3469" s="239"/>
      <c r="T3469" s="239"/>
      <c r="U3469" s="240"/>
      <c r="V3469" s="244"/>
      <c r="W3469" s="240"/>
      <c r="X3469" s="278"/>
      <c r="Y3469" s="237"/>
      <c r="Z3469" s="237"/>
      <c r="AA3469" s="279"/>
      <c r="AB3469" s="238"/>
      <c r="AC3469" s="196">
        <f t="shared" si="813"/>
        <v>0</v>
      </c>
      <c r="AD3469" s="196">
        <f t="shared" si="814"/>
        <v>0</v>
      </c>
      <c r="AE3469" s="196">
        <f t="shared" si="815"/>
        <v>0</v>
      </c>
      <c r="AF3469" s="2">
        <f t="shared" si="816"/>
        <v>0</v>
      </c>
      <c r="AG3469" s="2">
        <f t="shared" si="817"/>
        <v>0</v>
      </c>
    </row>
    <row r="3470" spans="1:33">
      <c r="A3470" s="20" t="s">
        <v>17729</v>
      </c>
      <c r="B3470" s="150"/>
      <c r="C3470" s="213" t="s">
        <v>17785</v>
      </c>
      <c r="D3470" s="109" t="s">
        <v>5979</v>
      </c>
      <c r="E3470" s="109"/>
      <c r="F3470" s="391" t="s">
        <v>17837</v>
      </c>
      <c r="G3470" s="23" t="s">
        <v>17786</v>
      </c>
      <c r="H3470" s="23" t="s">
        <v>17787</v>
      </c>
      <c r="I3470" s="23"/>
      <c r="J3470" s="23"/>
      <c r="K3470" s="23"/>
      <c r="L3470" s="375" t="s">
        <v>7787</v>
      </c>
      <c r="M3470" s="351" t="s">
        <v>7787</v>
      </c>
      <c r="N3470" s="267">
        <f t="shared" si="811"/>
        <v>0</v>
      </c>
      <c r="O3470" s="268">
        <f t="shared" si="812"/>
        <v>0</v>
      </c>
      <c r="P3470" s="239"/>
      <c r="Q3470" s="239"/>
      <c r="R3470" s="239"/>
      <c r="S3470" s="239"/>
      <c r="T3470" s="239"/>
      <c r="U3470" s="240"/>
      <c r="V3470" s="244"/>
      <c r="W3470" s="240"/>
      <c r="X3470" s="278"/>
      <c r="Y3470" s="237"/>
      <c r="Z3470" s="237"/>
      <c r="AA3470" s="279"/>
      <c r="AB3470" s="238"/>
      <c r="AC3470" s="196">
        <f t="shared" si="813"/>
        <v>0</v>
      </c>
      <c r="AD3470" s="196">
        <f t="shared" si="814"/>
        <v>0</v>
      </c>
      <c r="AE3470" s="196">
        <f t="shared" si="815"/>
        <v>0</v>
      </c>
      <c r="AF3470" s="2">
        <f t="shared" si="816"/>
        <v>0</v>
      </c>
      <c r="AG3470" s="2">
        <f t="shared" si="817"/>
        <v>0</v>
      </c>
    </row>
    <row r="3471" spans="1:33">
      <c r="A3471" s="20" t="s">
        <v>17286</v>
      </c>
      <c r="B3471" s="150"/>
      <c r="C3471" s="213" t="s">
        <v>17359</v>
      </c>
      <c r="D3471" s="109" t="s">
        <v>3137</v>
      </c>
      <c r="E3471" s="109" t="s">
        <v>26645</v>
      </c>
      <c r="F3471" s="391" t="s">
        <v>17415</v>
      </c>
      <c r="G3471" s="23" t="s">
        <v>15190</v>
      </c>
      <c r="H3471" s="23" t="s">
        <v>13214</v>
      </c>
      <c r="I3471" s="23" t="s">
        <v>14782</v>
      </c>
      <c r="J3471" s="23" t="s">
        <v>13888</v>
      </c>
      <c r="K3471" s="23"/>
      <c r="L3471" s="375" t="s">
        <v>7787</v>
      </c>
      <c r="M3471" s="351" t="s">
        <v>7787</v>
      </c>
      <c r="N3471" s="267">
        <f t="shared" si="811"/>
        <v>0</v>
      </c>
      <c r="O3471" s="268">
        <f t="shared" si="812"/>
        <v>3800</v>
      </c>
      <c r="P3471" s="239"/>
      <c r="Q3471" s="239"/>
      <c r="R3471" s="239"/>
      <c r="S3471" s="239"/>
      <c r="T3471" s="239">
        <f>3100+2700-3000-2500+2100+2600-2400-200+2400-1000</f>
        <v>3800</v>
      </c>
      <c r="U3471" s="240"/>
      <c r="V3471" s="239"/>
      <c r="W3471" s="240"/>
      <c r="X3471" s="278"/>
      <c r="Y3471" s="237"/>
      <c r="Z3471" s="237"/>
      <c r="AA3471" s="279"/>
      <c r="AB3471" s="238" t="s">
        <v>27741</v>
      </c>
      <c r="AC3471" s="196">
        <f t="shared" si="813"/>
        <v>3800</v>
      </c>
      <c r="AD3471" s="196">
        <f t="shared" si="814"/>
        <v>3800</v>
      </c>
      <c r="AE3471" s="196">
        <f t="shared" si="815"/>
        <v>0</v>
      </c>
      <c r="AF3471" s="2">
        <f t="shared" si="816"/>
        <v>3800</v>
      </c>
      <c r="AG3471" s="2">
        <f t="shared" si="817"/>
        <v>0</v>
      </c>
    </row>
    <row r="3472" spans="1:33">
      <c r="A3472" s="20" t="s">
        <v>17732</v>
      </c>
      <c r="B3472" s="150"/>
      <c r="C3472" s="213" t="s">
        <v>17842</v>
      </c>
      <c r="D3472" s="109" t="s">
        <v>8056</v>
      </c>
      <c r="E3472" s="109"/>
      <c r="F3472" s="391" t="s">
        <v>17851</v>
      </c>
      <c r="G3472" s="23" t="s">
        <v>17843</v>
      </c>
      <c r="H3472" s="23"/>
      <c r="I3472" s="23"/>
      <c r="J3472" s="23"/>
      <c r="K3472" s="23"/>
      <c r="L3472" s="375" t="s">
        <v>45</v>
      </c>
      <c r="M3472" s="351" t="s">
        <v>7787</v>
      </c>
      <c r="N3472" s="267">
        <f t="shared" si="811"/>
        <v>0</v>
      </c>
      <c r="O3472" s="268">
        <f t="shared" si="812"/>
        <v>0</v>
      </c>
      <c r="P3472" s="239"/>
      <c r="Q3472" s="239"/>
      <c r="R3472" s="239"/>
      <c r="S3472" s="239"/>
      <c r="T3472" s="239"/>
      <c r="U3472" s="240"/>
      <c r="V3472" s="244"/>
      <c r="W3472" s="240"/>
      <c r="X3472" s="278"/>
      <c r="Y3472" s="237"/>
      <c r="Z3472" s="237"/>
      <c r="AA3472" s="279"/>
      <c r="AB3472" s="238"/>
      <c r="AC3472" s="196">
        <f t="shared" si="813"/>
        <v>0</v>
      </c>
      <c r="AD3472" s="196">
        <f t="shared" si="814"/>
        <v>0</v>
      </c>
      <c r="AE3472" s="196">
        <f t="shared" si="815"/>
        <v>0</v>
      </c>
      <c r="AF3472" s="2">
        <f t="shared" si="816"/>
        <v>0</v>
      </c>
      <c r="AG3472" s="2">
        <f t="shared" si="817"/>
        <v>0</v>
      </c>
    </row>
    <row r="3473" spans="1:33">
      <c r="A3473" s="20" t="s">
        <v>20236</v>
      </c>
      <c r="B3473" s="150"/>
      <c r="C3473" s="213" t="s">
        <v>23435</v>
      </c>
      <c r="D3473" s="109" t="s">
        <v>20443</v>
      </c>
      <c r="E3473" s="109"/>
      <c r="F3473" s="391" t="s">
        <v>20450</v>
      </c>
      <c r="G3473" s="23" t="s">
        <v>20444</v>
      </c>
      <c r="H3473" s="23"/>
      <c r="I3473" s="23"/>
      <c r="J3473" s="23"/>
      <c r="K3473" s="23"/>
      <c r="L3473" s="375" t="s">
        <v>27445</v>
      </c>
      <c r="M3473" s="351" t="s">
        <v>45</v>
      </c>
      <c r="N3473" s="267">
        <f t="shared" si="811"/>
        <v>0</v>
      </c>
      <c r="O3473" s="268">
        <f t="shared" si="812"/>
        <v>0</v>
      </c>
      <c r="P3473" s="239"/>
      <c r="Q3473" s="239"/>
      <c r="R3473" s="239"/>
      <c r="S3473" s="239"/>
      <c r="T3473" s="239"/>
      <c r="U3473" s="244"/>
      <c r="V3473" s="240"/>
      <c r="W3473" s="240"/>
      <c r="X3473" s="278"/>
      <c r="Y3473" s="243"/>
      <c r="Z3473" s="237"/>
      <c r="AA3473" s="279"/>
      <c r="AB3473" s="238"/>
      <c r="AC3473" s="196">
        <f t="shared" si="813"/>
        <v>0</v>
      </c>
      <c r="AD3473" s="196">
        <f t="shared" si="814"/>
        <v>0</v>
      </c>
      <c r="AE3473" s="196">
        <f t="shared" si="815"/>
        <v>0</v>
      </c>
      <c r="AF3473" s="2">
        <f t="shared" si="816"/>
        <v>0</v>
      </c>
      <c r="AG3473" s="2">
        <f t="shared" si="817"/>
        <v>0</v>
      </c>
    </row>
    <row r="3474" spans="1:33">
      <c r="A3474" s="20" t="s">
        <v>23423</v>
      </c>
      <c r="B3474" s="150"/>
      <c r="C3474" s="213" t="s">
        <v>23436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 t="s">
        <v>28053</v>
      </c>
      <c r="M3474" s="351" t="s">
        <v>45</v>
      </c>
      <c r="N3474" s="267">
        <f t="shared" si="811"/>
        <v>0</v>
      </c>
      <c r="O3474" s="268">
        <f t="shared" si="812"/>
        <v>700</v>
      </c>
      <c r="P3474" s="239"/>
      <c r="Q3474" s="239"/>
      <c r="R3474" s="239"/>
      <c r="S3474" s="239"/>
      <c r="T3474" s="239"/>
      <c r="U3474" s="244"/>
      <c r="V3474" s="244">
        <v>700</v>
      </c>
      <c r="W3474" s="240"/>
      <c r="X3474" s="278"/>
      <c r="Y3474" s="243"/>
      <c r="Z3474" s="237"/>
      <c r="AA3474" s="279"/>
      <c r="AB3474" s="238" t="s">
        <v>28027</v>
      </c>
      <c r="AC3474" s="196">
        <f t="shared" si="813"/>
        <v>700</v>
      </c>
      <c r="AD3474" s="196">
        <f t="shared" si="814"/>
        <v>700</v>
      </c>
      <c r="AE3474" s="196">
        <f t="shared" si="815"/>
        <v>0</v>
      </c>
      <c r="AF3474" s="2">
        <f t="shared" si="816"/>
        <v>700</v>
      </c>
      <c r="AG3474" s="2">
        <f t="shared" si="817"/>
        <v>0</v>
      </c>
    </row>
    <row r="3475" spans="1:33">
      <c r="A3475" s="20" t="s">
        <v>27081</v>
      </c>
      <c r="B3475" s="150"/>
      <c r="C3475" s="213" t="s">
        <v>26613</v>
      </c>
      <c r="D3475" s="109" t="s">
        <v>11756</v>
      </c>
      <c r="E3475" s="109"/>
      <c r="F3475" s="391" t="s">
        <v>20450</v>
      </c>
      <c r="G3475" s="23" t="s">
        <v>15443</v>
      </c>
      <c r="H3475" s="23"/>
      <c r="I3475" s="23"/>
      <c r="J3475" s="23"/>
      <c r="K3475" s="23"/>
      <c r="L3475" s="375" t="s">
        <v>27764</v>
      </c>
      <c r="M3475" s="351" t="s">
        <v>45</v>
      </c>
      <c r="N3475" s="267">
        <f t="shared" ref="N3475" si="824">SUM(L3475:M3475)</f>
        <v>0</v>
      </c>
      <c r="O3475" s="268">
        <f t="shared" ref="O3475" si="825">SUM(P3475:Z3475)</f>
        <v>0</v>
      </c>
      <c r="P3475" s="239"/>
      <c r="Q3475" s="239"/>
      <c r="R3475" s="239"/>
      <c r="S3475" s="239"/>
      <c r="T3475" s="239"/>
      <c r="U3475" s="244"/>
      <c r="V3475" s="244"/>
      <c r="W3475" s="240"/>
      <c r="X3475" s="278"/>
      <c r="Y3475" s="243"/>
      <c r="Z3475" s="237"/>
      <c r="AA3475" s="279"/>
      <c r="AB3475" s="238"/>
      <c r="AC3475" s="196">
        <f t="shared" si="813"/>
        <v>0</v>
      </c>
      <c r="AD3475" s="196">
        <f t="shared" si="814"/>
        <v>0</v>
      </c>
      <c r="AE3475" s="196">
        <f t="shared" si="815"/>
        <v>0</v>
      </c>
      <c r="AF3475" s="2">
        <f t="shared" si="816"/>
        <v>0</v>
      </c>
      <c r="AG3475" s="2">
        <f t="shared" si="817"/>
        <v>0</v>
      </c>
    </row>
    <row r="3476" spans="1:33">
      <c r="A3476" s="20"/>
      <c r="B3476" s="150"/>
      <c r="C3476" s="213" t="s">
        <v>27714</v>
      </c>
      <c r="D3476" s="109" t="s">
        <v>11756</v>
      </c>
      <c r="E3476" s="109"/>
      <c r="F3476" s="391" t="s">
        <v>20450</v>
      </c>
      <c r="G3476" s="23" t="s">
        <v>15443</v>
      </c>
      <c r="H3476" s="23"/>
      <c r="I3476" s="23"/>
      <c r="J3476" s="23"/>
      <c r="K3476" s="23"/>
      <c r="L3476" s="375">
        <f>610+1310</f>
        <v>1920</v>
      </c>
      <c r="M3476" s="351"/>
      <c r="N3476" s="267">
        <f t="shared" ref="N3476" si="826">SUM(L3476:M3476)</f>
        <v>1920</v>
      </c>
      <c r="O3476" s="268">
        <f t="shared" ref="O3476" si="827">SUM(P3476:Z3476)</f>
        <v>2600</v>
      </c>
      <c r="P3476" s="239"/>
      <c r="Q3476" s="239"/>
      <c r="R3476" s="239"/>
      <c r="S3476" s="239"/>
      <c r="T3476" s="239"/>
      <c r="U3476" s="244"/>
      <c r="V3476" s="244">
        <f>4100-3600+2600+3800-3000-3600+4000-3600+8200+2800-3600+2800-3600-3600+2400-600-4200+3500-3600+3600-3600+2700-3600+3700-3600+4200+1300-3600+1300-3600+6200-3600</f>
        <v>2600</v>
      </c>
      <c r="W3476" s="240"/>
      <c r="X3476" s="278"/>
      <c r="Y3476" s="243"/>
      <c r="Z3476" s="237"/>
      <c r="AA3476" s="279"/>
      <c r="AB3476" s="238" t="s">
        <v>28015</v>
      </c>
      <c r="AC3476" s="196"/>
      <c r="AD3476" s="196"/>
      <c r="AE3476" s="196"/>
    </row>
    <row r="3477" spans="1:33">
      <c r="A3477" s="20" t="s">
        <v>2825</v>
      </c>
      <c r="B3477" s="150"/>
      <c r="C3477" s="21" t="s">
        <v>16794</v>
      </c>
      <c r="D3477" s="109" t="s">
        <v>16795</v>
      </c>
      <c r="E3477" s="109"/>
      <c r="F3477" s="391" t="s">
        <v>16796</v>
      </c>
      <c r="G3477" s="23" t="s">
        <v>16454</v>
      </c>
      <c r="H3477" s="23" t="s">
        <v>16141</v>
      </c>
      <c r="I3477" s="23" t="s">
        <v>16070</v>
      </c>
      <c r="J3477" s="23"/>
      <c r="K3477" s="23"/>
      <c r="L3477" s="375" t="s">
        <v>7787</v>
      </c>
      <c r="M3477" s="351" t="s">
        <v>7787</v>
      </c>
      <c r="N3477" s="267">
        <f t="shared" si="811"/>
        <v>0</v>
      </c>
      <c r="O3477" s="268">
        <f t="shared" si="812"/>
        <v>0</v>
      </c>
      <c r="P3477" s="239"/>
      <c r="Q3477" s="239"/>
      <c r="R3477" s="239"/>
      <c r="S3477" s="239"/>
      <c r="T3477" s="239"/>
      <c r="U3477" s="240"/>
      <c r="V3477" s="239"/>
      <c r="W3477" s="240"/>
      <c r="X3477" s="278"/>
      <c r="Y3477" s="239"/>
      <c r="Z3477" s="237"/>
      <c r="AA3477" s="279"/>
      <c r="AB3477" s="238"/>
      <c r="AC3477" s="196">
        <f t="shared" si="813"/>
        <v>0</v>
      </c>
      <c r="AD3477" s="196">
        <f t="shared" si="814"/>
        <v>0</v>
      </c>
      <c r="AE3477" s="196">
        <f t="shared" si="815"/>
        <v>0</v>
      </c>
      <c r="AF3477" s="2">
        <f t="shared" si="816"/>
        <v>0</v>
      </c>
      <c r="AG3477" s="2">
        <f t="shared" si="817"/>
        <v>0</v>
      </c>
    </row>
    <row r="3478" spans="1:33">
      <c r="A3478" s="20" t="s">
        <v>2837</v>
      </c>
      <c r="B3478" s="162" t="s">
        <v>5887</v>
      </c>
      <c r="C3478" s="21" t="s">
        <v>841</v>
      </c>
      <c r="D3478" s="109" t="s">
        <v>15161</v>
      </c>
      <c r="E3478" s="109"/>
      <c r="F3478" s="391" t="s">
        <v>16797</v>
      </c>
      <c r="G3478" s="23" t="s">
        <v>13934</v>
      </c>
      <c r="H3478" s="23" t="s">
        <v>6133</v>
      </c>
      <c r="I3478" s="23" t="s">
        <v>13350</v>
      </c>
      <c r="J3478" s="23" t="s">
        <v>25417</v>
      </c>
      <c r="K3478" s="23" t="s">
        <v>25535</v>
      </c>
      <c r="L3478" s="375"/>
      <c r="M3478" s="351" t="s">
        <v>45</v>
      </c>
      <c r="N3478" s="267">
        <f t="shared" si="811"/>
        <v>0</v>
      </c>
      <c r="O3478" s="268">
        <f t="shared" si="812"/>
        <v>2400</v>
      </c>
      <c r="P3478" s="239"/>
      <c r="Q3478" s="241">
        <f>1150-500+1400-400-200-600-300-300+2850-500-200</f>
        <v>2400</v>
      </c>
      <c r="R3478" s="241"/>
      <c r="S3478" s="239"/>
      <c r="T3478" s="239"/>
      <c r="U3478" s="240"/>
      <c r="V3478" s="240"/>
      <c r="W3478" s="240"/>
      <c r="X3478" s="278"/>
      <c r="Y3478" s="237"/>
      <c r="Z3478" s="237"/>
      <c r="AA3478" s="279"/>
      <c r="AB3478" s="238" t="s">
        <v>27979</v>
      </c>
      <c r="AC3478" s="196">
        <f t="shared" si="813"/>
        <v>2400</v>
      </c>
      <c r="AD3478" s="196">
        <f t="shared" si="814"/>
        <v>2400</v>
      </c>
      <c r="AE3478" s="196">
        <f t="shared" si="815"/>
        <v>0</v>
      </c>
      <c r="AF3478" s="2">
        <f t="shared" si="816"/>
        <v>2400</v>
      </c>
      <c r="AG3478" s="2">
        <f t="shared" si="817"/>
        <v>0</v>
      </c>
    </row>
    <row r="3479" spans="1:33">
      <c r="A3479" s="20" t="s">
        <v>17423</v>
      </c>
      <c r="B3479" s="162"/>
      <c r="C3479" s="21" t="s">
        <v>24677</v>
      </c>
      <c r="D3479" s="109" t="s">
        <v>17625</v>
      </c>
      <c r="E3479" s="109" t="s">
        <v>5724</v>
      </c>
      <c r="F3479" s="391" t="s">
        <v>17687</v>
      </c>
      <c r="G3479" s="23" t="s">
        <v>15025</v>
      </c>
      <c r="H3479" s="23"/>
      <c r="I3479" s="23"/>
      <c r="J3479" s="23"/>
      <c r="K3479" s="23"/>
      <c r="L3479" s="375" t="s">
        <v>45</v>
      </c>
      <c r="M3479" s="351">
        <v>10800</v>
      </c>
      <c r="N3479" s="267">
        <f t="shared" ref="N3479:N3544" si="828">SUM(L3479:M3479)</f>
        <v>10800</v>
      </c>
      <c r="O3479" s="268">
        <f t="shared" ref="O3479:O3544" si="829">SUM(P3479:Z3479)</f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13"/>
        <v>0</v>
      </c>
      <c r="AD3479" s="196">
        <f t="shared" si="814"/>
        <v>0</v>
      </c>
      <c r="AE3479" s="196">
        <f t="shared" si="815"/>
        <v>0</v>
      </c>
      <c r="AF3479" s="2">
        <f t="shared" si="816"/>
        <v>0</v>
      </c>
      <c r="AG3479" s="2">
        <f t="shared" si="817"/>
        <v>0</v>
      </c>
    </row>
    <row r="3480" spans="1:33">
      <c r="A3480" s="20" t="s">
        <v>21464</v>
      </c>
      <c r="B3480" s="162"/>
      <c r="C3480" s="21" t="s">
        <v>17624</v>
      </c>
      <c r="D3480" s="109" t="s">
        <v>20840</v>
      </c>
      <c r="E3480" s="109" t="s">
        <v>20841</v>
      </c>
      <c r="F3480" s="391" t="s">
        <v>17687</v>
      </c>
      <c r="G3480" s="23" t="s">
        <v>15025</v>
      </c>
      <c r="H3480" s="23"/>
      <c r="I3480" s="23"/>
      <c r="J3480" s="23"/>
      <c r="K3480" s="23"/>
      <c r="L3480" s="375" t="s">
        <v>7787</v>
      </c>
      <c r="M3480" s="351" t="s">
        <v>7787</v>
      </c>
      <c r="N3480" s="267">
        <f t="shared" si="828"/>
        <v>0</v>
      </c>
      <c r="O3480" s="268">
        <f t="shared" si="829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13"/>
        <v>0</v>
      </c>
      <c r="AD3480" s="196">
        <f t="shared" si="814"/>
        <v>0</v>
      </c>
      <c r="AE3480" s="196">
        <f t="shared" si="815"/>
        <v>0</v>
      </c>
      <c r="AF3480" s="2">
        <f t="shared" si="816"/>
        <v>0</v>
      </c>
      <c r="AG3480" s="2">
        <f t="shared" si="817"/>
        <v>0</v>
      </c>
    </row>
    <row r="3481" spans="1:33">
      <c r="A3481" s="20" t="s">
        <v>17419</v>
      </c>
      <c r="B3481" s="162"/>
      <c r="C3481" s="21" t="s">
        <v>17604</v>
      </c>
      <c r="D3481" s="109" t="s">
        <v>17605</v>
      </c>
      <c r="E3481" s="109"/>
      <c r="F3481" s="391" t="s">
        <v>17608</v>
      </c>
      <c r="G3481" s="23" t="s">
        <v>13341</v>
      </c>
      <c r="H3481" s="23"/>
      <c r="I3481" s="23"/>
      <c r="J3481" s="23"/>
      <c r="K3481" s="23"/>
      <c r="L3481" s="375" t="s">
        <v>7787</v>
      </c>
      <c r="M3481" s="351" t="s">
        <v>7787</v>
      </c>
      <c r="N3481" s="267">
        <f t="shared" si="828"/>
        <v>0</v>
      </c>
      <c r="O3481" s="268">
        <f t="shared" si="829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13"/>
        <v>0</v>
      </c>
      <c r="AD3481" s="196">
        <f t="shared" si="814"/>
        <v>0</v>
      </c>
      <c r="AE3481" s="196">
        <f t="shared" si="815"/>
        <v>0</v>
      </c>
      <c r="AF3481" s="2">
        <f t="shared" si="816"/>
        <v>0</v>
      </c>
      <c r="AG3481" s="2">
        <f t="shared" si="817"/>
        <v>0</v>
      </c>
    </row>
    <row r="3482" spans="1:33">
      <c r="A3482" s="20" t="s">
        <v>17950</v>
      </c>
      <c r="B3482" s="162"/>
      <c r="C3482" s="21" t="s">
        <v>17941</v>
      </c>
      <c r="D3482" s="109" t="s">
        <v>8056</v>
      </c>
      <c r="E3482" s="109"/>
      <c r="F3482" s="391" t="s">
        <v>17943</v>
      </c>
      <c r="G3482" s="23" t="s">
        <v>17942</v>
      </c>
      <c r="H3482" s="23"/>
      <c r="I3482" s="23"/>
      <c r="J3482" s="23"/>
      <c r="K3482" s="23"/>
      <c r="L3482" s="375" t="s">
        <v>7787</v>
      </c>
      <c r="M3482" s="351"/>
      <c r="N3482" s="267">
        <f t="shared" si="828"/>
        <v>0</v>
      </c>
      <c r="O3482" s="268">
        <f t="shared" si="829"/>
        <v>0</v>
      </c>
      <c r="P3482" s="239"/>
      <c r="Q3482" s="239"/>
      <c r="R3482" s="239"/>
      <c r="S3482" s="239"/>
      <c r="T3482" s="239"/>
      <c r="U3482" s="240"/>
      <c r="V3482" s="240"/>
      <c r="W3482" s="240"/>
      <c r="X3482" s="278"/>
      <c r="Y3482" s="237"/>
      <c r="Z3482" s="243"/>
      <c r="AA3482" s="297"/>
      <c r="AB3482" s="238"/>
      <c r="AC3482" s="196">
        <f t="shared" si="813"/>
        <v>0</v>
      </c>
      <c r="AD3482" s="196">
        <f t="shared" si="814"/>
        <v>0</v>
      </c>
      <c r="AE3482" s="196">
        <f t="shared" si="815"/>
        <v>0</v>
      </c>
      <c r="AF3482" s="2">
        <f t="shared" si="816"/>
        <v>0</v>
      </c>
      <c r="AG3482" s="2">
        <f t="shared" si="817"/>
        <v>0</v>
      </c>
    </row>
    <row r="3483" spans="1:33">
      <c r="A3483" s="20" t="s">
        <v>17951</v>
      </c>
      <c r="B3483" s="162"/>
      <c r="C3483" s="21" t="s">
        <v>17901</v>
      </c>
      <c r="D3483" s="109" t="s">
        <v>8056</v>
      </c>
      <c r="E3483" s="109"/>
      <c r="F3483" s="391" t="s">
        <v>17905</v>
      </c>
      <c r="G3483" s="23" t="s">
        <v>17903</v>
      </c>
      <c r="H3483" s="23" t="s">
        <v>6133</v>
      </c>
      <c r="I3483" s="23"/>
      <c r="J3483" s="23"/>
      <c r="K3483" s="23"/>
      <c r="L3483" s="375" t="s">
        <v>7787</v>
      </c>
      <c r="M3483" s="351"/>
      <c r="N3483" s="267">
        <f t="shared" si="828"/>
        <v>0</v>
      </c>
      <c r="O3483" s="268">
        <f t="shared" si="829"/>
        <v>0</v>
      </c>
      <c r="P3483" s="239"/>
      <c r="Q3483" s="239"/>
      <c r="R3483" s="239"/>
      <c r="S3483" s="239"/>
      <c r="T3483" s="239"/>
      <c r="U3483" s="240"/>
      <c r="V3483" s="240"/>
      <c r="W3483" s="240"/>
      <c r="X3483" s="278"/>
      <c r="Y3483" s="237"/>
      <c r="Z3483" s="243"/>
      <c r="AA3483" s="297"/>
      <c r="AB3483" s="238"/>
      <c r="AC3483" s="196">
        <f t="shared" si="813"/>
        <v>0</v>
      </c>
      <c r="AD3483" s="196">
        <f t="shared" si="814"/>
        <v>0</v>
      </c>
      <c r="AE3483" s="196">
        <f t="shared" si="815"/>
        <v>0</v>
      </c>
      <c r="AF3483" s="2">
        <f t="shared" si="816"/>
        <v>0</v>
      </c>
      <c r="AG3483" s="2">
        <f t="shared" si="817"/>
        <v>0</v>
      </c>
    </row>
    <row r="3484" spans="1:33">
      <c r="A3484" s="20" t="s">
        <v>17424</v>
      </c>
      <c r="B3484" s="162"/>
      <c r="C3484" s="21" t="s">
        <v>17902</v>
      </c>
      <c r="D3484" s="109" t="s">
        <v>17689</v>
      </c>
      <c r="E3484" s="109" t="s">
        <v>17691</v>
      </c>
      <c r="F3484" s="391" t="s">
        <v>17690</v>
      </c>
      <c r="G3484" s="23" t="s">
        <v>13610</v>
      </c>
      <c r="H3484" s="23" t="s">
        <v>18805</v>
      </c>
      <c r="I3484" s="23" t="s">
        <v>14099</v>
      </c>
      <c r="J3484" s="23"/>
      <c r="K3484" s="23"/>
      <c r="L3484" s="375"/>
      <c r="M3484" s="351"/>
      <c r="N3484" s="267">
        <f t="shared" si="828"/>
        <v>0</v>
      </c>
      <c r="O3484" s="268">
        <f t="shared" si="829"/>
        <v>3000</v>
      </c>
      <c r="P3484" s="239"/>
      <c r="Q3484" s="239"/>
      <c r="R3484" s="239"/>
      <c r="S3484" s="239"/>
      <c r="T3484" s="239"/>
      <c r="U3484" s="240">
        <f>2000+2900-1900</f>
        <v>3000</v>
      </c>
      <c r="V3484" s="240"/>
      <c r="W3484" s="240"/>
      <c r="X3484" s="278"/>
      <c r="Y3484" s="240"/>
      <c r="Z3484" s="243"/>
      <c r="AA3484" s="297"/>
      <c r="AB3484" s="238" t="s">
        <v>25454</v>
      </c>
      <c r="AC3484" s="196">
        <f t="shared" si="813"/>
        <v>3000</v>
      </c>
      <c r="AD3484" s="196">
        <f t="shared" si="814"/>
        <v>3000</v>
      </c>
      <c r="AE3484" s="196">
        <f t="shared" si="815"/>
        <v>0</v>
      </c>
      <c r="AF3484" s="2">
        <f t="shared" si="816"/>
        <v>3000</v>
      </c>
      <c r="AG3484" s="2">
        <f t="shared" si="817"/>
        <v>0</v>
      </c>
    </row>
    <row r="3485" spans="1:33">
      <c r="A3485" s="20" t="s">
        <v>17730</v>
      </c>
      <c r="B3485" s="162"/>
      <c r="C3485" s="21" t="s">
        <v>17838</v>
      </c>
      <c r="D3485" s="109" t="s">
        <v>7960</v>
      </c>
      <c r="E3485" s="109" t="s">
        <v>17839</v>
      </c>
      <c r="F3485" s="391" t="s">
        <v>17850</v>
      </c>
      <c r="G3485" s="23" t="s">
        <v>15025</v>
      </c>
      <c r="H3485" s="23" t="s">
        <v>14099</v>
      </c>
      <c r="I3485" s="23"/>
      <c r="J3485" s="23"/>
      <c r="K3485" s="23"/>
      <c r="L3485" s="375" t="s">
        <v>7787</v>
      </c>
      <c r="M3485" s="351"/>
      <c r="N3485" s="267">
        <f t="shared" si="828"/>
        <v>0</v>
      </c>
      <c r="O3485" s="268">
        <f t="shared" si="829"/>
        <v>0</v>
      </c>
      <c r="P3485" s="239"/>
      <c r="Q3485" s="239"/>
      <c r="R3485" s="239"/>
      <c r="S3485" s="239"/>
      <c r="T3485" s="239"/>
      <c r="U3485" s="239"/>
      <c r="V3485" s="240"/>
      <c r="W3485" s="240"/>
      <c r="X3485" s="278"/>
      <c r="Y3485" s="237"/>
      <c r="Z3485" s="243"/>
      <c r="AA3485" s="297"/>
      <c r="AB3485" s="238"/>
      <c r="AC3485" s="196">
        <f t="shared" si="813"/>
        <v>0</v>
      </c>
      <c r="AD3485" s="196">
        <f t="shared" si="814"/>
        <v>0</v>
      </c>
      <c r="AE3485" s="196">
        <f t="shared" si="815"/>
        <v>0</v>
      </c>
      <c r="AF3485" s="2">
        <f t="shared" si="816"/>
        <v>0</v>
      </c>
      <c r="AG3485" s="2">
        <f t="shared" si="817"/>
        <v>0</v>
      </c>
    </row>
    <row r="3486" spans="1:33">
      <c r="A3486" s="20" t="s">
        <v>27082</v>
      </c>
      <c r="B3486" s="162"/>
      <c r="C3486" s="21" t="s">
        <v>25680</v>
      </c>
      <c r="D3486" s="109" t="s">
        <v>24880</v>
      </c>
      <c r="E3486" s="109" t="s">
        <v>24884</v>
      </c>
      <c r="F3486" s="391" t="s">
        <v>24881</v>
      </c>
      <c r="G3486" s="23" t="s">
        <v>24882</v>
      </c>
      <c r="H3486" s="23" t="s">
        <v>24883</v>
      </c>
      <c r="I3486" s="23"/>
      <c r="J3486" s="23"/>
      <c r="K3486" s="23"/>
      <c r="L3486" s="375" t="s">
        <v>7787</v>
      </c>
      <c r="M3486" s="351"/>
      <c r="N3486" s="267">
        <f t="shared" ref="N3486" si="830">SUM(L3486:M3486)</f>
        <v>0</v>
      </c>
      <c r="O3486" s="268">
        <f t="shared" ref="O3486" si="831">SUM(P3486:Z3486)</f>
        <v>5600</v>
      </c>
      <c r="P3486" s="239"/>
      <c r="Q3486" s="239"/>
      <c r="R3486" s="239"/>
      <c r="S3486" s="239"/>
      <c r="T3486" s="239"/>
      <c r="U3486" s="239">
        <f>10000-500-2600+10000-500-3600-4800-2400</f>
        <v>5600</v>
      </c>
      <c r="V3486" s="240"/>
      <c r="W3486" s="240"/>
      <c r="X3486" s="278"/>
      <c r="Y3486" s="237"/>
      <c r="Z3486" s="243"/>
      <c r="AA3486" s="297"/>
      <c r="AB3486" s="238"/>
      <c r="AC3486" s="196">
        <f t="shared" si="813"/>
        <v>5600</v>
      </c>
      <c r="AD3486" s="196">
        <f t="shared" si="814"/>
        <v>5600</v>
      </c>
      <c r="AE3486" s="196">
        <f t="shared" si="815"/>
        <v>0</v>
      </c>
      <c r="AF3486" s="2">
        <f t="shared" si="816"/>
        <v>5600</v>
      </c>
      <c r="AG3486" s="2">
        <f t="shared" si="817"/>
        <v>0</v>
      </c>
    </row>
    <row r="3487" spans="1:33">
      <c r="A3487" s="20" t="s">
        <v>17733</v>
      </c>
      <c r="B3487" s="162"/>
      <c r="C3487" s="21" t="s">
        <v>17856</v>
      </c>
      <c r="D3487" s="109" t="s">
        <v>3137</v>
      </c>
      <c r="E3487" s="109"/>
      <c r="F3487" s="391" t="s">
        <v>17869</v>
      </c>
      <c r="G3487" s="23" t="s">
        <v>17857</v>
      </c>
      <c r="H3487" s="23"/>
      <c r="I3487" s="23"/>
      <c r="J3487" s="23"/>
      <c r="K3487" s="23"/>
      <c r="L3487" s="375" t="s">
        <v>7787</v>
      </c>
      <c r="M3487" s="351"/>
      <c r="N3487" s="267">
        <f t="shared" si="828"/>
        <v>0</v>
      </c>
      <c r="O3487" s="268">
        <f t="shared" si="829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13"/>
        <v>0</v>
      </c>
      <c r="AD3487" s="196">
        <f t="shared" si="814"/>
        <v>0</v>
      </c>
      <c r="AE3487" s="196">
        <f t="shared" si="815"/>
        <v>0</v>
      </c>
      <c r="AF3487" s="2">
        <f t="shared" si="816"/>
        <v>0</v>
      </c>
      <c r="AG3487" s="2">
        <f t="shared" si="817"/>
        <v>0</v>
      </c>
    </row>
    <row r="3488" spans="1:33">
      <c r="A3488" s="20" t="s">
        <v>17731</v>
      </c>
      <c r="B3488" s="162"/>
      <c r="C3488" s="21" t="s">
        <v>17844</v>
      </c>
      <c r="D3488" s="109" t="s">
        <v>17845</v>
      </c>
      <c r="E3488" s="109"/>
      <c r="F3488" s="391" t="s">
        <v>17849</v>
      </c>
      <c r="G3488" s="23" t="s">
        <v>17846</v>
      </c>
      <c r="H3488" s="23" t="s">
        <v>6133</v>
      </c>
      <c r="I3488" s="23"/>
      <c r="J3488" s="23"/>
      <c r="K3488" s="23"/>
      <c r="L3488" s="375" t="s">
        <v>7787</v>
      </c>
      <c r="M3488" s="351"/>
      <c r="N3488" s="267">
        <f t="shared" si="828"/>
        <v>0</v>
      </c>
      <c r="O3488" s="268">
        <f t="shared" si="829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13"/>
        <v>0</v>
      </c>
      <c r="AD3488" s="196">
        <f t="shared" si="814"/>
        <v>0</v>
      </c>
      <c r="AE3488" s="196">
        <f t="shared" si="815"/>
        <v>0</v>
      </c>
      <c r="AF3488" s="2">
        <f t="shared" si="816"/>
        <v>0</v>
      </c>
      <c r="AG3488" s="2">
        <f t="shared" si="817"/>
        <v>0</v>
      </c>
    </row>
    <row r="3489" spans="1:33">
      <c r="A3489" s="20" t="s">
        <v>17952</v>
      </c>
      <c r="B3489" s="162"/>
      <c r="C3489" s="21" t="s">
        <v>17875</v>
      </c>
      <c r="D3489" s="109" t="s">
        <v>3137</v>
      </c>
      <c r="E3489" s="109"/>
      <c r="F3489" s="391" t="s">
        <v>17897</v>
      </c>
      <c r="G3489" s="23" t="s">
        <v>6133</v>
      </c>
      <c r="H3489" s="23"/>
      <c r="I3489" s="23"/>
      <c r="J3489" s="23"/>
      <c r="K3489" s="23"/>
      <c r="L3489" s="375" t="s">
        <v>7787</v>
      </c>
      <c r="M3489" s="351"/>
      <c r="N3489" s="267">
        <f t="shared" si="828"/>
        <v>0</v>
      </c>
      <c r="O3489" s="268">
        <f t="shared" si="829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13"/>
        <v>0</v>
      </c>
      <c r="AD3489" s="196">
        <f t="shared" si="814"/>
        <v>0</v>
      </c>
      <c r="AE3489" s="196">
        <f t="shared" si="815"/>
        <v>0</v>
      </c>
      <c r="AF3489" s="2">
        <f t="shared" si="816"/>
        <v>0</v>
      </c>
      <c r="AG3489" s="2">
        <f t="shared" si="817"/>
        <v>0</v>
      </c>
    </row>
    <row r="3490" spans="1:33">
      <c r="A3490" s="20" t="s">
        <v>17953</v>
      </c>
      <c r="B3490" s="162"/>
      <c r="C3490" s="21" t="s">
        <v>17871</v>
      </c>
      <c r="D3490" s="109" t="s">
        <v>3137</v>
      </c>
      <c r="E3490" s="109"/>
      <c r="F3490" s="391" t="s">
        <v>17898</v>
      </c>
      <c r="G3490" s="23" t="s">
        <v>6133</v>
      </c>
      <c r="H3490" s="23" t="s">
        <v>13409</v>
      </c>
      <c r="I3490" s="23"/>
      <c r="J3490" s="23"/>
      <c r="K3490" s="23"/>
      <c r="L3490" s="375" t="s">
        <v>7787</v>
      </c>
      <c r="M3490" s="351" t="s">
        <v>7787</v>
      </c>
      <c r="N3490" s="267">
        <f t="shared" si="828"/>
        <v>0</v>
      </c>
      <c r="O3490" s="268">
        <f t="shared" si="829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13"/>
        <v>0</v>
      </c>
      <c r="AD3490" s="196">
        <f t="shared" si="814"/>
        <v>0</v>
      </c>
      <c r="AE3490" s="196">
        <f t="shared" si="815"/>
        <v>0</v>
      </c>
      <c r="AF3490" s="2">
        <f t="shared" si="816"/>
        <v>0</v>
      </c>
      <c r="AG3490" s="2">
        <f t="shared" si="817"/>
        <v>0</v>
      </c>
    </row>
    <row r="3491" spans="1:33">
      <c r="A3491" s="20" t="s">
        <v>18405</v>
      </c>
      <c r="B3491" s="162"/>
      <c r="C3491" s="21" t="s">
        <v>22062</v>
      </c>
      <c r="D3491" s="109" t="s">
        <v>5979</v>
      </c>
      <c r="E3491" s="109"/>
      <c r="F3491" s="391" t="s">
        <v>18415</v>
      </c>
      <c r="G3491" s="23" t="s">
        <v>18339</v>
      </c>
      <c r="H3491" s="23" t="s">
        <v>18203</v>
      </c>
      <c r="I3491" s="23" t="s">
        <v>17306</v>
      </c>
      <c r="J3491" s="23"/>
      <c r="K3491" s="23"/>
      <c r="L3491" s="375" t="s">
        <v>7787</v>
      </c>
      <c r="M3491" s="351"/>
      <c r="N3491" s="267">
        <f t="shared" si="828"/>
        <v>0</v>
      </c>
      <c r="O3491" s="268">
        <f t="shared" si="829"/>
        <v>0</v>
      </c>
      <c r="P3491" s="239"/>
      <c r="Q3491" s="239"/>
      <c r="R3491" s="239"/>
      <c r="S3491" s="239"/>
      <c r="T3491" s="239"/>
      <c r="U3491" s="240"/>
      <c r="V3491" s="240"/>
      <c r="W3491" s="240"/>
      <c r="X3491" s="278"/>
      <c r="Y3491" s="237"/>
      <c r="Z3491" s="243"/>
      <c r="AA3491" s="297"/>
      <c r="AB3491" s="238"/>
      <c r="AC3491" s="196">
        <f t="shared" si="813"/>
        <v>0</v>
      </c>
      <c r="AD3491" s="196">
        <f t="shared" si="814"/>
        <v>0</v>
      </c>
      <c r="AE3491" s="196">
        <f t="shared" si="815"/>
        <v>0</v>
      </c>
      <c r="AF3491" s="2">
        <f t="shared" si="816"/>
        <v>0</v>
      </c>
      <c r="AG3491" s="2">
        <f t="shared" si="817"/>
        <v>0</v>
      </c>
    </row>
    <row r="3492" spans="1:33">
      <c r="A3492" s="20" t="s">
        <v>22209</v>
      </c>
      <c r="B3492" s="162"/>
      <c r="C3492" s="21" t="s">
        <v>22273</v>
      </c>
      <c r="D3492" s="109" t="s">
        <v>5979</v>
      </c>
      <c r="E3492" s="109"/>
      <c r="F3492" s="391" t="s">
        <v>18415</v>
      </c>
      <c r="G3492" s="23" t="s">
        <v>15443</v>
      </c>
      <c r="H3492" s="23" t="s">
        <v>17306</v>
      </c>
      <c r="I3492" s="23" t="s">
        <v>18203</v>
      </c>
      <c r="J3492" s="23"/>
      <c r="K3492" s="23"/>
      <c r="L3492" s="375" t="s">
        <v>7787</v>
      </c>
      <c r="M3492" s="351"/>
      <c r="N3492" s="267">
        <f t="shared" si="828"/>
        <v>0</v>
      </c>
      <c r="O3492" s="268">
        <f t="shared" si="829"/>
        <v>0</v>
      </c>
      <c r="P3492" s="239"/>
      <c r="Q3492" s="239"/>
      <c r="R3492" s="239"/>
      <c r="S3492" s="239"/>
      <c r="T3492" s="239"/>
      <c r="U3492" s="240"/>
      <c r="V3492" s="240"/>
      <c r="W3492" s="240"/>
      <c r="X3492" s="278"/>
      <c r="Y3492" s="237"/>
      <c r="Z3492" s="243"/>
      <c r="AA3492" s="297"/>
      <c r="AB3492" s="238"/>
      <c r="AC3492" s="196">
        <f t="shared" si="813"/>
        <v>0</v>
      </c>
      <c r="AD3492" s="196">
        <f t="shared" si="814"/>
        <v>0</v>
      </c>
      <c r="AE3492" s="196">
        <f t="shared" si="815"/>
        <v>0</v>
      </c>
      <c r="AF3492" s="2">
        <f t="shared" si="816"/>
        <v>0</v>
      </c>
      <c r="AG3492" s="2">
        <f t="shared" si="817"/>
        <v>0</v>
      </c>
    </row>
    <row r="3493" spans="1:33">
      <c r="A3493" s="20" t="s">
        <v>23110</v>
      </c>
      <c r="B3493" s="162"/>
      <c r="C3493" s="21" t="s">
        <v>23099</v>
      </c>
      <c r="D3493" s="109" t="s">
        <v>5979</v>
      </c>
      <c r="E3493" s="109"/>
      <c r="F3493" s="391" t="s">
        <v>18415</v>
      </c>
      <c r="G3493" s="23" t="s">
        <v>15443</v>
      </c>
      <c r="H3493" s="23"/>
      <c r="I3493" s="23"/>
      <c r="J3493" s="23"/>
      <c r="K3493" s="23"/>
      <c r="L3493" s="375" t="s">
        <v>45</v>
      </c>
      <c r="M3493" s="351" t="s">
        <v>45</v>
      </c>
      <c r="N3493" s="267">
        <f t="shared" si="828"/>
        <v>0</v>
      </c>
      <c r="O3493" s="268">
        <f t="shared" si="829"/>
        <v>1500</v>
      </c>
      <c r="P3493" s="239"/>
      <c r="Q3493" s="239"/>
      <c r="R3493" s="239"/>
      <c r="S3493" s="239"/>
      <c r="T3493" s="239"/>
      <c r="U3493" s="240"/>
      <c r="V3493" s="240">
        <f>2000+3300+3100+3100-300+3100+3000-7200-3600-3600-100-1300</f>
        <v>1500</v>
      </c>
      <c r="W3493" s="240"/>
      <c r="X3493" s="278"/>
      <c r="Y3493" s="237"/>
      <c r="Z3493" s="243"/>
      <c r="AA3493" s="297"/>
      <c r="AB3493" s="238" t="s">
        <v>25496</v>
      </c>
      <c r="AC3493" s="196">
        <f t="shared" si="813"/>
        <v>1500</v>
      </c>
      <c r="AD3493" s="196">
        <f t="shared" si="814"/>
        <v>1500</v>
      </c>
      <c r="AE3493" s="196">
        <f t="shared" si="815"/>
        <v>0</v>
      </c>
      <c r="AF3493" s="2">
        <f t="shared" si="816"/>
        <v>1500</v>
      </c>
      <c r="AG3493" s="2">
        <f t="shared" si="817"/>
        <v>0</v>
      </c>
    </row>
    <row r="3494" spans="1:33">
      <c r="A3494" s="20" t="s">
        <v>21465</v>
      </c>
      <c r="B3494" s="162"/>
      <c r="C3494" s="21" t="s">
        <v>18338</v>
      </c>
      <c r="D3494" s="109" t="s">
        <v>5979</v>
      </c>
      <c r="E3494" s="109" t="s">
        <v>20974</v>
      </c>
      <c r="F3494" s="391" t="s">
        <v>18415</v>
      </c>
      <c r="G3494" s="23"/>
      <c r="H3494" s="23"/>
      <c r="I3494" s="23"/>
      <c r="J3494" s="23"/>
      <c r="K3494" s="23"/>
      <c r="L3494" s="375" t="s">
        <v>7787</v>
      </c>
      <c r="M3494" s="351" t="s">
        <v>7787</v>
      </c>
      <c r="N3494" s="267">
        <f t="shared" si="828"/>
        <v>0</v>
      </c>
      <c r="O3494" s="268">
        <f t="shared" si="829"/>
        <v>0</v>
      </c>
      <c r="P3494" s="239"/>
      <c r="Q3494" s="239"/>
      <c r="R3494" s="239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/>
      <c r="AC3494" s="196">
        <f t="shared" si="813"/>
        <v>0</v>
      </c>
      <c r="AD3494" s="196">
        <f t="shared" si="814"/>
        <v>0</v>
      </c>
      <c r="AE3494" s="196">
        <f t="shared" si="815"/>
        <v>0</v>
      </c>
      <c r="AF3494" s="2">
        <f t="shared" si="816"/>
        <v>0</v>
      </c>
      <c r="AG3494" s="2">
        <f t="shared" si="817"/>
        <v>0</v>
      </c>
    </row>
    <row r="3495" spans="1:33">
      <c r="A3495" s="20" t="s">
        <v>17969</v>
      </c>
      <c r="B3495" s="162"/>
      <c r="C3495" s="21" t="s">
        <v>18257</v>
      </c>
      <c r="D3495" s="109" t="s">
        <v>3137</v>
      </c>
      <c r="E3495" s="109"/>
      <c r="F3495" s="391" t="s">
        <v>18319</v>
      </c>
      <c r="G3495" s="23" t="s">
        <v>6133</v>
      </c>
      <c r="H3495" s="23" t="s">
        <v>19845</v>
      </c>
      <c r="I3495" s="23"/>
      <c r="J3495" s="23"/>
      <c r="K3495" s="23"/>
      <c r="L3495" s="375" t="s">
        <v>7787</v>
      </c>
      <c r="M3495" s="351" t="s">
        <v>7787</v>
      </c>
      <c r="N3495" s="267">
        <f t="shared" si="828"/>
        <v>0</v>
      </c>
      <c r="O3495" s="268">
        <f t="shared" si="829"/>
        <v>0</v>
      </c>
      <c r="P3495" s="239"/>
      <c r="Q3495" s="239"/>
      <c r="R3495" s="239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/>
      <c r="AC3495" s="196">
        <f t="shared" si="813"/>
        <v>0</v>
      </c>
      <c r="AD3495" s="196">
        <f t="shared" si="814"/>
        <v>0</v>
      </c>
      <c r="AE3495" s="196">
        <f t="shared" si="815"/>
        <v>0</v>
      </c>
      <c r="AF3495" s="2">
        <f t="shared" si="816"/>
        <v>0</v>
      </c>
      <c r="AG3495" s="2">
        <f t="shared" si="817"/>
        <v>0</v>
      </c>
    </row>
    <row r="3496" spans="1:33">
      <c r="A3496" s="20" t="s">
        <v>17970</v>
      </c>
      <c r="B3496" s="162"/>
      <c r="C3496" s="21" t="s">
        <v>18321</v>
      </c>
      <c r="D3496" s="109" t="s">
        <v>3137</v>
      </c>
      <c r="E3496" s="109"/>
      <c r="F3496" s="391" t="s">
        <v>18323</v>
      </c>
      <c r="G3496" s="23" t="s">
        <v>6133</v>
      </c>
      <c r="H3496" s="23" t="s">
        <v>22854</v>
      </c>
      <c r="I3496" s="23" t="s">
        <v>23380</v>
      </c>
      <c r="J3496" s="23" t="s">
        <v>27149</v>
      </c>
      <c r="K3496" s="23"/>
      <c r="L3496" s="375" t="s">
        <v>45</v>
      </c>
      <c r="M3496" s="351" t="s">
        <v>7787</v>
      </c>
      <c r="N3496" s="267">
        <f t="shared" si="828"/>
        <v>0</v>
      </c>
      <c r="O3496" s="268">
        <f t="shared" si="829"/>
        <v>2400</v>
      </c>
      <c r="P3496" s="241"/>
      <c r="Q3496" s="241">
        <f>1750+200-750-500-500+1100-700-50-50-100+850-300+1650+300-500</f>
        <v>2400</v>
      </c>
      <c r="R3496" s="241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 t="s">
        <v>26994</v>
      </c>
      <c r="AC3496" s="196">
        <f t="shared" si="813"/>
        <v>2400</v>
      </c>
      <c r="AD3496" s="196">
        <f t="shared" si="814"/>
        <v>2400</v>
      </c>
      <c r="AE3496" s="196">
        <f t="shared" si="815"/>
        <v>0</v>
      </c>
      <c r="AF3496" s="2">
        <f t="shared" si="816"/>
        <v>2400</v>
      </c>
      <c r="AG3496" s="2">
        <f t="shared" si="817"/>
        <v>0</v>
      </c>
    </row>
    <row r="3497" spans="1:33">
      <c r="A3497" s="20" t="s">
        <v>17971</v>
      </c>
      <c r="B3497" s="162"/>
      <c r="C3497" s="21" t="s">
        <v>18318</v>
      </c>
      <c r="D3497" s="109" t="s">
        <v>3137</v>
      </c>
      <c r="E3497" s="109"/>
      <c r="F3497" s="391" t="s">
        <v>18320</v>
      </c>
      <c r="G3497" s="23" t="s">
        <v>17522</v>
      </c>
      <c r="H3497" s="23"/>
      <c r="I3497" s="23"/>
      <c r="J3497" s="23"/>
      <c r="K3497" s="23"/>
      <c r="L3497" s="375" t="s">
        <v>7787</v>
      </c>
      <c r="M3497" s="351"/>
      <c r="N3497" s="267">
        <f t="shared" si="828"/>
        <v>0</v>
      </c>
      <c r="O3497" s="268">
        <f t="shared" si="829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13"/>
        <v>0</v>
      </c>
      <c r="AD3497" s="196">
        <f t="shared" si="814"/>
        <v>0</v>
      </c>
      <c r="AE3497" s="196">
        <f t="shared" si="815"/>
        <v>0</v>
      </c>
      <c r="AF3497" s="2">
        <f t="shared" si="816"/>
        <v>0</v>
      </c>
      <c r="AG3497" s="2">
        <f t="shared" si="817"/>
        <v>0</v>
      </c>
    </row>
    <row r="3498" spans="1:33">
      <c r="A3498" s="20" t="s">
        <v>18675</v>
      </c>
      <c r="B3498" s="162"/>
      <c r="C3498" s="21" t="s">
        <v>18641</v>
      </c>
      <c r="D3498" s="109" t="s">
        <v>18642</v>
      </c>
      <c r="E3498" s="109"/>
      <c r="F3498" s="391" t="s">
        <v>18686</v>
      </c>
      <c r="G3498" s="23" t="s">
        <v>15025</v>
      </c>
      <c r="H3498" s="23"/>
      <c r="I3498" s="23"/>
      <c r="J3498" s="23"/>
      <c r="K3498" s="23" t="s">
        <v>18969</v>
      </c>
      <c r="L3498" s="375"/>
      <c r="M3498" s="351" t="s">
        <v>7787</v>
      </c>
      <c r="N3498" s="267">
        <f t="shared" si="828"/>
        <v>0</v>
      </c>
      <c r="O3498" s="268">
        <f t="shared" si="829"/>
        <v>0</v>
      </c>
      <c r="P3498" s="239"/>
      <c r="Q3498" s="239"/>
      <c r="R3498" s="239"/>
      <c r="S3498" s="239"/>
      <c r="T3498" s="239"/>
      <c r="U3498" s="240"/>
      <c r="V3498" s="240"/>
      <c r="W3498" s="240"/>
      <c r="X3498" s="278"/>
      <c r="Y3498" s="237"/>
      <c r="Z3498" s="243"/>
      <c r="AA3498" s="297"/>
      <c r="AB3498" s="238"/>
      <c r="AC3498" s="196">
        <f t="shared" si="813"/>
        <v>0</v>
      </c>
      <c r="AD3498" s="196">
        <f t="shared" si="814"/>
        <v>0</v>
      </c>
      <c r="AE3498" s="196">
        <f t="shared" si="815"/>
        <v>0</v>
      </c>
      <c r="AF3498" s="2">
        <f t="shared" si="816"/>
        <v>0</v>
      </c>
      <c r="AG3498" s="2">
        <f t="shared" si="817"/>
        <v>0</v>
      </c>
    </row>
    <row r="3499" spans="1:33">
      <c r="A3499" s="20" t="s">
        <v>19961</v>
      </c>
      <c r="B3499" s="162"/>
      <c r="C3499" s="21" t="s">
        <v>18641</v>
      </c>
      <c r="D3499" s="109" t="s">
        <v>19979</v>
      </c>
      <c r="E3499" s="109"/>
      <c r="F3499" s="391" t="s">
        <v>18686</v>
      </c>
      <c r="G3499" s="23" t="s">
        <v>15025</v>
      </c>
      <c r="H3499" s="23"/>
      <c r="I3499" s="23"/>
      <c r="J3499" s="23"/>
      <c r="K3499" s="23"/>
      <c r="L3499" s="375" t="s">
        <v>7787</v>
      </c>
      <c r="M3499" s="351"/>
      <c r="N3499" s="267">
        <f t="shared" si="828"/>
        <v>0</v>
      </c>
      <c r="O3499" s="268">
        <f t="shared" si="829"/>
        <v>0</v>
      </c>
      <c r="P3499" s="239"/>
      <c r="Q3499" s="239"/>
      <c r="R3499" s="239"/>
      <c r="S3499" s="239"/>
      <c r="T3499" s="239"/>
      <c r="U3499" s="240"/>
      <c r="V3499" s="240"/>
      <c r="W3499" s="240"/>
      <c r="X3499" s="278"/>
      <c r="Y3499" s="237"/>
      <c r="Z3499" s="243"/>
      <c r="AA3499" s="297"/>
      <c r="AB3499" s="238"/>
      <c r="AC3499" s="196">
        <f t="shared" si="813"/>
        <v>0</v>
      </c>
      <c r="AD3499" s="196">
        <f t="shared" si="814"/>
        <v>0</v>
      </c>
      <c r="AE3499" s="196">
        <f t="shared" si="815"/>
        <v>0</v>
      </c>
      <c r="AF3499" s="2">
        <f t="shared" si="816"/>
        <v>0</v>
      </c>
      <c r="AG3499" s="2">
        <f t="shared" si="817"/>
        <v>0</v>
      </c>
    </row>
    <row r="3500" spans="1:33">
      <c r="A3500" s="20" t="s">
        <v>2811</v>
      </c>
      <c r="B3500" s="162" t="s">
        <v>5886</v>
      </c>
      <c r="C3500" s="21" t="s">
        <v>16798</v>
      </c>
      <c r="D3500" s="109" t="s">
        <v>16684</v>
      </c>
      <c r="E3500" s="109" t="s">
        <v>24312</v>
      </c>
      <c r="F3500" s="391" t="s">
        <v>16659</v>
      </c>
      <c r="G3500" s="23" t="s">
        <v>6133</v>
      </c>
      <c r="H3500" s="23"/>
      <c r="I3500" s="23"/>
      <c r="J3500" s="23"/>
      <c r="K3500" s="23"/>
      <c r="L3500" s="375"/>
      <c r="M3500" s="351"/>
      <c r="N3500" s="267">
        <f t="shared" si="828"/>
        <v>0</v>
      </c>
      <c r="O3500" s="268">
        <f t="shared" si="829"/>
        <v>400</v>
      </c>
      <c r="P3500" s="239"/>
      <c r="Q3500" s="239">
        <f>500-50-50</f>
        <v>400</v>
      </c>
      <c r="R3500" s="239"/>
      <c r="S3500" s="239"/>
      <c r="T3500" s="239"/>
      <c r="U3500" s="240"/>
      <c r="V3500" s="240"/>
      <c r="W3500" s="240"/>
      <c r="X3500" s="278"/>
      <c r="Y3500" s="237"/>
      <c r="Z3500" s="239"/>
      <c r="AA3500" s="239"/>
      <c r="AB3500" s="238"/>
      <c r="AC3500" s="196">
        <f t="shared" si="813"/>
        <v>400</v>
      </c>
      <c r="AD3500" s="196">
        <f t="shared" si="814"/>
        <v>400</v>
      </c>
      <c r="AE3500" s="196">
        <f t="shared" si="815"/>
        <v>0</v>
      </c>
      <c r="AF3500" s="2">
        <f t="shared" si="816"/>
        <v>400</v>
      </c>
      <c r="AG3500" s="2">
        <f t="shared" si="817"/>
        <v>0</v>
      </c>
    </row>
    <row r="3501" spans="1:33">
      <c r="A3501" s="20" t="s">
        <v>2808</v>
      </c>
      <c r="B3501" s="150"/>
      <c r="C3501" s="21" t="s">
        <v>16798</v>
      </c>
      <c r="D3501" s="109" t="s">
        <v>16442</v>
      </c>
      <c r="E3501" s="109"/>
      <c r="F3501" s="391" t="s">
        <v>16659</v>
      </c>
      <c r="G3501" s="23"/>
      <c r="H3501" s="23"/>
      <c r="I3501" s="23"/>
      <c r="J3501" s="23"/>
      <c r="K3501" s="23"/>
      <c r="L3501" s="350"/>
      <c r="M3501" s="351"/>
      <c r="N3501" s="267">
        <f t="shared" si="828"/>
        <v>0</v>
      </c>
      <c r="O3501" s="268">
        <f t="shared" si="829"/>
        <v>0</v>
      </c>
      <c r="P3501" s="239"/>
      <c r="Q3501" s="239"/>
      <c r="R3501" s="239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si="813"/>
        <v>0</v>
      </c>
      <c r="AD3501" s="196">
        <f t="shared" si="814"/>
        <v>0</v>
      </c>
      <c r="AE3501" s="196">
        <f t="shared" si="815"/>
        <v>0</v>
      </c>
      <c r="AF3501" s="2">
        <f t="shared" si="816"/>
        <v>0</v>
      </c>
      <c r="AG3501" s="2">
        <f t="shared" si="817"/>
        <v>0</v>
      </c>
    </row>
    <row r="3502" spans="1:33">
      <c r="A3502" s="20" t="s">
        <v>2809</v>
      </c>
      <c r="B3502" s="150"/>
      <c r="C3502" s="21" t="s">
        <v>16798</v>
      </c>
      <c r="D3502" s="109" t="s">
        <v>16656</v>
      </c>
      <c r="E3502" s="109"/>
      <c r="F3502" s="391" t="s">
        <v>16799</v>
      </c>
      <c r="G3502" s="23" t="s">
        <v>13249</v>
      </c>
      <c r="H3502" s="23" t="s">
        <v>13215</v>
      </c>
      <c r="I3502" s="23"/>
      <c r="J3502" s="23"/>
      <c r="K3502" s="23"/>
      <c r="L3502" s="375" t="s">
        <v>7787</v>
      </c>
      <c r="M3502" s="351"/>
      <c r="N3502" s="267">
        <f t="shared" si="828"/>
        <v>0</v>
      </c>
      <c r="O3502" s="268">
        <f t="shared" si="829"/>
        <v>0</v>
      </c>
      <c r="P3502" s="239"/>
      <c r="Q3502" s="239"/>
      <c r="R3502" s="241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si="813"/>
        <v>0</v>
      </c>
      <c r="AD3502" s="196">
        <f t="shared" si="814"/>
        <v>0</v>
      </c>
      <c r="AE3502" s="196">
        <f t="shared" si="815"/>
        <v>0</v>
      </c>
      <c r="AF3502" s="2">
        <f t="shared" si="816"/>
        <v>0</v>
      </c>
      <c r="AG3502" s="2">
        <f t="shared" si="817"/>
        <v>0</v>
      </c>
    </row>
    <row r="3503" spans="1:33">
      <c r="A3503" s="20" t="s">
        <v>2810</v>
      </c>
      <c r="B3503" s="156" t="s">
        <v>16800</v>
      </c>
      <c r="C3503" s="21" t="s">
        <v>16798</v>
      </c>
      <c r="D3503" s="109" t="s">
        <v>16656</v>
      </c>
      <c r="E3503" s="109"/>
      <c r="F3503" s="391" t="s">
        <v>16659</v>
      </c>
      <c r="G3503" s="23" t="s">
        <v>16454</v>
      </c>
      <c r="H3503" s="23" t="s">
        <v>16141</v>
      </c>
      <c r="I3503" s="23"/>
      <c r="J3503" s="23"/>
      <c r="K3503" s="23"/>
      <c r="L3503" s="375" t="s">
        <v>7787</v>
      </c>
      <c r="M3503" s="351" t="s">
        <v>7787</v>
      </c>
      <c r="N3503" s="267">
        <f t="shared" si="828"/>
        <v>0</v>
      </c>
      <c r="O3503" s="268">
        <f t="shared" si="829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ref="AC3503:AC3566" si="832">SUM(P3503:AA3503)</f>
        <v>0</v>
      </c>
      <c r="AD3503" s="196">
        <f t="shared" ref="AD3503:AD3566" si="833">SUM(P3503:AB3503)</f>
        <v>0</v>
      </c>
      <c r="AE3503" s="196">
        <f t="shared" ref="AE3503:AE3566" si="834">SUM(AC3503-AD3503)</f>
        <v>0</v>
      </c>
      <c r="AF3503" s="2">
        <f t="shared" ref="AF3503:AF3566" si="835">+AC3503</f>
        <v>0</v>
      </c>
      <c r="AG3503" s="2">
        <f t="shared" ref="AG3503:AG3566" si="836">+AC3503-AF3503</f>
        <v>0</v>
      </c>
    </row>
    <row r="3504" spans="1:33">
      <c r="A3504" s="20" t="s">
        <v>2826</v>
      </c>
      <c r="B3504" s="161"/>
      <c r="C3504" s="21" t="s">
        <v>705</v>
      </c>
      <c r="D3504" s="109" t="s">
        <v>16376</v>
      </c>
      <c r="E3504" s="109" t="s">
        <v>15965</v>
      </c>
      <c r="F3504" s="391" t="s">
        <v>16801</v>
      </c>
      <c r="G3504" s="23"/>
      <c r="H3504" s="23"/>
      <c r="I3504" s="23"/>
      <c r="J3504" s="23"/>
      <c r="K3504" s="23"/>
      <c r="L3504" s="350"/>
      <c r="M3504" s="351"/>
      <c r="N3504" s="267">
        <f t="shared" si="828"/>
        <v>0</v>
      </c>
      <c r="O3504" s="268">
        <f t="shared" si="829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37"/>
      <c r="Z3504" s="237"/>
      <c r="AA3504" s="279"/>
      <c r="AB3504" s="238"/>
      <c r="AC3504" s="196">
        <f t="shared" si="832"/>
        <v>0</v>
      </c>
      <c r="AD3504" s="196">
        <f t="shared" si="833"/>
        <v>0</v>
      </c>
      <c r="AE3504" s="196">
        <f t="shared" si="834"/>
        <v>0</v>
      </c>
      <c r="AF3504" s="2">
        <f t="shared" si="835"/>
        <v>0</v>
      </c>
      <c r="AG3504" s="2">
        <f t="shared" si="836"/>
        <v>0</v>
      </c>
    </row>
    <row r="3505" spans="1:33">
      <c r="A3505" s="20" t="s">
        <v>2828</v>
      </c>
      <c r="B3505" s="150"/>
      <c r="C3505" s="21" t="s">
        <v>705</v>
      </c>
      <c r="D3505" s="109" t="s">
        <v>15161</v>
      </c>
      <c r="E3505" s="109"/>
      <c r="F3505" s="391" t="s">
        <v>16802</v>
      </c>
      <c r="G3505" s="23" t="s">
        <v>16454</v>
      </c>
      <c r="H3505" s="23" t="s">
        <v>16221</v>
      </c>
      <c r="I3505" s="23" t="s">
        <v>16803</v>
      </c>
      <c r="J3505" s="23"/>
      <c r="K3505" s="23"/>
      <c r="L3505" s="375" t="s">
        <v>7787</v>
      </c>
      <c r="M3505" s="351" t="s">
        <v>7787</v>
      </c>
      <c r="N3505" s="267">
        <f t="shared" si="828"/>
        <v>0</v>
      </c>
      <c r="O3505" s="268">
        <f t="shared" si="829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37"/>
      <c r="Z3505" s="237"/>
      <c r="AA3505" s="279"/>
      <c r="AB3505" s="238"/>
      <c r="AC3505" s="196">
        <f t="shared" si="832"/>
        <v>0</v>
      </c>
      <c r="AD3505" s="196">
        <f t="shared" si="833"/>
        <v>0</v>
      </c>
      <c r="AE3505" s="196">
        <f t="shared" si="834"/>
        <v>0</v>
      </c>
      <c r="AF3505" s="2">
        <f t="shared" si="835"/>
        <v>0</v>
      </c>
      <c r="AG3505" s="2">
        <f t="shared" si="836"/>
        <v>0</v>
      </c>
    </row>
    <row r="3506" spans="1:33">
      <c r="A3506" s="20" t="s">
        <v>2829</v>
      </c>
      <c r="B3506" s="150"/>
      <c r="C3506" s="21" t="s">
        <v>705</v>
      </c>
      <c r="D3506" s="109" t="s">
        <v>15161</v>
      </c>
      <c r="E3506" s="109"/>
      <c r="F3506" s="391" t="s">
        <v>16801</v>
      </c>
      <c r="G3506" s="23" t="s">
        <v>16804</v>
      </c>
      <c r="H3506" s="23"/>
      <c r="I3506" s="23"/>
      <c r="J3506" s="23"/>
      <c r="K3506" s="23"/>
      <c r="L3506" s="350"/>
      <c r="M3506" s="351"/>
      <c r="N3506" s="267">
        <f t="shared" si="828"/>
        <v>0</v>
      </c>
      <c r="O3506" s="268">
        <f t="shared" si="829"/>
        <v>0</v>
      </c>
      <c r="P3506" s="239"/>
      <c r="Q3506" s="239"/>
      <c r="R3506" s="239"/>
      <c r="S3506" s="239"/>
      <c r="T3506" s="239"/>
      <c r="U3506" s="240"/>
      <c r="V3506" s="240"/>
      <c r="W3506" s="240"/>
      <c r="X3506" s="278"/>
      <c r="Y3506" s="241"/>
      <c r="Z3506" s="237"/>
      <c r="AA3506" s="279"/>
      <c r="AB3506" s="238"/>
      <c r="AC3506" s="196">
        <f t="shared" si="832"/>
        <v>0</v>
      </c>
      <c r="AD3506" s="196">
        <f t="shared" si="833"/>
        <v>0</v>
      </c>
      <c r="AE3506" s="196">
        <f t="shared" si="834"/>
        <v>0</v>
      </c>
      <c r="AF3506" s="2">
        <f t="shared" si="835"/>
        <v>0</v>
      </c>
      <c r="AG3506" s="2">
        <f t="shared" si="836"/>
        <v>0</v>
      </c>
    </row>
    <row r="3507" spans="1:33">
      <c r="A3507" s="20" t="s">
        <v>2830</v>
      </c>
      <c r="B3507" s="162" t="s">
        <v>5888</v>
      </c>
      <c r="C3507" s="21" t="s">
        <v>705</v>
      </c>
      <c r="D3507" s="109" t="s">
        <v>15167</v>
      </c>
      <c r="E3507" s="109"/>
      <c r="F3507" s="391" t="s">
        <v>16801</v>
      </c>
      <c r="G3507" s="23" t="s">
        <v>16141</v>
      </c>
      <c r="H3507" s="23" t="s">
        <v>13350</v>
      </c>
      <c r="I3507" s="23"/>
      <c r="J3507" s="23"/>
      <c r="K3507" s="23"/>
      <c r="L3507" s="375" t="s">
        <v>7787</v>
      </c>
      <c r="M3507" s="351" t="s">
        <v>7787</v>
      </c>
      <c r="N3507" s="267">
        <f t="shared" si="828"/>
        <v>0</v>
      </c>
      <c r="O3507" s="268">
        <f t="shared" si="829"/>
        <v>0</v>
      </c>
      <c r="P3507" s="239"/>
      <c r="Q3507" s="239"/>
      <c r="R3507" s="239"/>
      <c r="S3507" s="239"/>
      <c r="T3507" s="239"/>
      <c r="U3507" s="240"/>
      <c r="V3507" s="240"/>
      <c r="W3507" s="240"/>
      <c r="X3507" s="278"/>
      <c r="Y3507" s="237"/>
      <c r="Z3507" s="237"/>
      <c r="AA3507" s="279"/>
      <c r="AB3507" s="238"/>
      <c r="AC3507" s="196">
        <f t="shared" si="832"/>
        <v>0</v>
      </c>
      <c r="AD3507" s="196">
        <f t="shared" si="833"/>
        <v>0</v>
      </c>
      <c r="AE3507" s="196">
        <f t="shared" si="834"/>
        <v>0</v>
      </c>
      <c r="AF3507" s="2">
        <f t="shared" si="835"/>
        <v>0</v>
      </c>
      <c r="AG3507" s="2">
        <f t="shared" si="836"/>
        <v>0</v>
      </c>
    </row>
    <row r="3508" spans="1:33">
      <c r="A3508" s="20" t="s">
        <v>2832</v>
      </c>
      <c r="B3508" s="156"/>
      <c r="C3508" s="21" t="s">
        <v>705</v>
      </c>
      <c r="D3508" s="109" t="s">
        <v>16805</v>
      </c>
      <c r="E3508" s="109"/>
      <c r="F3508" s="391" t="s">
        <v>16801</v>
      </c>
      <c r="G3508" s="23" t="s">
        <v>16183</v>
      </c>
      <c r="H3508" s="23" t="s">
        <v>17557</v>
      </c>
      <c r="I3508" s="23" t="s">
        <v>17847</v>
      </c>
      <c r="J3508" s="23"/>
      <c r="K3508" s="23"/>
      <c r="L3508" s="375" t="s">
        <v>7787</v>
      </c>
      <c r="M3508" s="375" t="s">
        <v>7787</v>
      </c>
      <c r="N3508" s="267">
        <f t="shared" si="828"/>
        <v>0</v>
      </c>
      <c r="O3508" s="268">
        <f t="shared" si="829"/>
        <v>0</v>
      </c>
      <c r="P3508" s="239"/>
      <c r="Q3508" s="239"/>
      <c r="R3508" s="239"/>
      <c r="S3508" s="239"/>
      <c r="T3508" s="241"/>
      <c r="U3508" s="240"/>
      <c r="V3508" s="239"/>
      <c r="W3508" s="240"/>
      <c r="X3508" s="278"/>
      <c r="Y3508" s="237"/>
      <c r="Z3508" s="237"/>
      <c r="AA3508" s="279"/>
      <c r="AB3508" s="238"/>
      <c r="AC3508" s="196">
        <f t="shared" si="832"/>
        <v>0</v>
      </c>
      <c r="AD3508" s="196">
        <f t="shared" si="833"/>
        <v>0</v>
      </c>
      <c r="AE3508" s="196">
        <f t="shared" si="834"/>
        <v>0</v>
      </c>
      <c r="AF3508" s="2">
        <f t="shared" si="835"/>
        <v>0</v>
      </c>
      <c r="AG3508" s="2">
        <f t="shared" si="836"/>
        <v>0</v>
      </c>
    </row>
    <row r="3509" spans="1:33">
      <c r="A3509" s="20" t="s">
        <v>6893</v>
      </c>
      <c r="B3509" s="156"/>
      <c r="C3509" s="21" t="s">
        <v>705</v>
      </c>
      <c r="D3509" s="109" t="s">
        <v>16805</v>
      </c>
      <c r="E3509" s="109"/>
      <c r="F3509" s="391" t="s">
        <v>16801</v>
      </c>
      <c r="G3509" s="23" t="s">
        <v>16070</v>
      </c>
      <c r="H3509" s="23" t="s">
        <v>16071</v>
      </c>
      <c r="I3509" s="23"/>
      <c r="J3509" s="23"/>
      <c r="K3509" s="23"/>
      <c r="L3509" s="375" t="s">
        <v>7787</v>
      </c>
      <c r="M3509" s="375" t="s">
        <v>7787</v>
      </c>
      <c r="N3509" s="267">
        <f t="shared" si="828"/>
        <v>0</v>
      </c>
      <c r="O3509" s="268">
        <f t="shared" si="829"/>
        <v>0</v>
      </c>
      <c r="P3509" s="241"/>
      <c r="Q3509" s="241"/>
      <c r="R3509" s="241"/>
      <c r="S3509" s="241"/>
      <c r="T3509" s="241">
        <f>4200-4000+1700+2500-4400</f>
        <v>0</v>
      </c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32"/>
        <v>0</v>
      </c>
      <c r="AD3509" s="196">
        <f t="shared" si="833"/>
        <v>0</v>
      </c>
      <c r="AE3509" s="196">
        <f t="shared" si="834"/>
        <v>0</v>
      </c>
      <c r="AF3509" s="2">
        <f t="shared" si="835"/>
        <v>0</v>
      </c>
      <c r="AG3509" s="2">
        <f t="shared" si="836"/>
        <v>0</v>
      </c>
    </row>
    <row r="3510" spans="1:33">
      <c r="A3510" s="20" t="s">
        <v>2833</v>
      </c>
      <c r="B3510" s="156"/>
      <c r="C3510" s="21" t="s">
        <v>705</v>
      </c>
      <c r="D3510" s="109" t="s">
        <v>16805</v>
      </c>
      <c r="E3510" s="109"/>
      <c r="F3510" s="391" t="s">
        <v>16806</v>
      </c>
      <c r="G3510" s="23" t="s">
        <v>16070</v>
      </c>
      <c r="H3510" s="23" t="s">
        <v>16141</v>
      </c>
      <c r="I3510" s="23"/>
      <c r="J3510" s="23"/>
      <c r="K3510" s="23"/>
      <c r="L3510" s="350"/>
      <c r="M3510" s="351"/>
      <c r="N3510" s="267">
        <f t="shared" si="828"/>
        <v>0</v>
      </c>
      <c r="O3510" s="268">
        <f t="shared" si="829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32"/>
        <v>0</v>
      </c>
      <c r="AD3510" s="196">
        <f t="shared" si="833"/>
        <v>0</v>
      </c>
      <c r="AE3510" s="196">
        <f t="shared" si="834"/>
        <v>0</v>
      </c>
      <c r="AF3510" s="2">
        <f t="shared" si="835"/>
        <v>0</v>
      </c>
      <c r="AG3510" s="2">
        <f t="shared" si="836"/>
        <v>0</v>
      </c>
    </row>
    <row r="3511" spans="1:33">
      <c r="A3511" s="20" t="s">
        <v>2836</v>
      </c>
      <c r="B3511" s="150"/>
      <c r="C3511" s="21" t="s">
        <v>705</v>
      </c>
      <c r="D3511" s="109" t="s">
        <v>16807</v>
      </c>
      <c r="E3511" s="109"/>
      <c r="F3511" s="391" t="s">
        <v>16801</v>
      </c>
      <c r="G3511" s="23" t="s">
        <v>16808</v>
      </c>
      <c r="H3511" s="23" t="s">
        <v>15802</v>
      </c>
      <c r="I3511" s="23"/>
      <c r="J3511" s="23"/>
      <c r="K3511" s="23"/>
      <c r="L3511" s="350"/>
      <c r="M3511" s="351"/>
      <c r="N3511" s="267">
        <f t="shared" si="828"/>
        <v>0</v>
      </c>
      <c r="O3511" s="268">
        <f t="shared" si="829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32"/>
        <v>0</v>
      </c>
      <c r="AD3511" s="196">
        <f t="shared" si="833"/>
        <v>0</v>
      </c>
      <c r="AE3511" s="196">
        <f t="shared" si="834"/>
        <v>0</v>
      </c>
      <c r="AF3511" s="2">
        <f t="shared" si="835"/>
        <v>0</v>
      </c>
      <c r="AG3511" s="2">
        <f t="shared" si="836"/>
        <v>0</v>
      </c>
    </row>
    <row r="3512" spans="1:33">
      <c r="A3512" s="20" t="s">
        <v>2840</v>
      </c>
      <c r="B3512" s="150"/>
      <c r="C3512" s="21" t="s">
        <v>704</v>
      </c>
      <c r="D3512" s="109" t="s">
        <v>16753</v>
      </c>
      <c r="E3512" s="109" t="s">
        <v>16481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50"/>
      <c r="M3512" s="351"/>
      <c r="N3512" s="267">
        <f t="shared" si="828"/>
        <v>0</v>
      </c>
      <c r="O3512" s="268">
        <f t="shared" si="829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7"/>
      <c r="Z3512" s="237"/>
      <c r="AA3512" s="279"/>
      <c r="AB3512" s="238"/>
      <c r="AC3512" s="196">
        <f t="shared" si="832"/>
        <v>0</v>
      </c>
      <c r="AD3512" s="196">
        <f t="shared" si="833"/>
        <v>0</v>
      </c>
      <c r="AE3512" s="196">
        <f t="shared" si="834"/>
        <v>0</v>
      </c>
      <c r="AF3512" s="2">
        <f t="shared" si="835"/>
        <v>0</v>
      </c>
      <c r="AG3512" s="2">
        <f t="shared" si="836"/>
        <v>0</v>
      </c>
    </row>
    <row r="3513" spans="1:33">
      <c r="A3513" s="20" t="s">
        <v>7121</v>
      </c>
      <c r="B3513" s="150" t="s">
        <v>16811</v>
      </c>
      <c r="C3513" s="21" t="s">
        <v>704</v>
      </c>
      <c r="D3513" s="109" t="s">
        <v>16376</v>
      </c>
      <c r="E3513" s="109" t="s">
        <v>16658</v>
      </c>
      <c r="F3513" s="391" t="s">
        <v>16809</v>
      </c>
      <c r="G3513" s="23" t="s">
        <v>16810</v>
      </c>
      <c r="H3513" s="23"/>
      <c r="I3513" s="23"/>
      <c r="J3513" s="23"/>
      <c r="K3513" s="23"/>
      <c r="L3513" s="350"/>
      <c r="M3513" s="351"/>
      <c r="N3513" s="267">
        <f t="shared" si="828"/>
        <v>0</v>
      </c>
      <c r="O3513" s="268">
        <f t="shared" si="829"/>
        <v>0</v>
      </c>
      <c r="P3513" s="239"/>
      <c r="Q3513" s="239"/>
      <c r="R3513" s="239"/>
      <c r="S3513" s="239"/>
      <c r="T3513" s="239"/>
      <c r="U3513" s="240"/>
      <c r="V3513" s="240"/>
      <c r="W3513" s="240"/>
      <c r="X3513" s="278"/>
      <c r="Y3513" s="237"/>
      <c r="Z3513" s="237"/>
      <c r="AA3513" s="279"/>
      <c r="AB3513" s="238"/>
      <c r="AC3513" s="196">
        <f t="shared" si="832"/>
        <v>0</v>
      </c>
      <c r="AD3513" s="196">
        <f t="shared" si="833"/>
        <v>0</v>
      </c>
      <c r="AE3513" s="196">
        <f t="shared" si="834"/>
        <v>0</v>
      </c>
      <c r="AF3513" s="2">
        <f t="shared" si="835"/>
        <v>0</v>
      </c>
      <c r="AG3513" s="2">
        <f t="shared" si="836"/>
        <v>0</v>
      </c>
    </row>
    <row r="3514" spans="1:33">
      <c r="A3514" s="20" t="s">
        <v>7120</v>
      </c>
      <c r="B3514" s="150" t="s">
        <v>16812</v>
      </c>
      <c r="C3514" s="21" t="s">
        <v>704</v>
      </c>
      <c r="D3514" s="109" t="s">
        <v>16376</v>
      </c>
      <c r="E3514" s="109" t="s">
        <v>15965</v>
      </c>
      <c r="F3514" s="391" t="s">
        <v>16809</v>
      </c>
      <c r="G3514" s="23" t="s">
        <v>16810</v>
      </c>
      <c r="H3514" s="23"/>
      <c r="I3514" s="23"/>
      <c r="J3514" s="23"/>
      <c r="K3514" s="23"/>
      <c r="L3514" s="375" t="s">
        <v>7787</v>
      </c>
      <c r="M3514" s="358" t="s">
        <v>7787</v>
      </c>
      <c r="N3514" s="267">
        <f t="shared" si="828"/>
        <v>0</v>
      </c>
      <c r="O3514" s="268">
        <f t="shared" si="829"/>
        <v>0</v>
      </c>
      <c r="P3514" s="239"/>
      <c r="Q3514" s="239"/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/>
      <c r="AC3514" s="196">
        <f t="shared" si="832"/>
        <v>0</v>
      </c>
      <c r="AD3514" s="196">
        <f t="shared" si="833"/>
        <v>0</v>
      </c>
      <c r="AE3514" s="196">
        <f t="shared" si="834"/>
        <v>0</v>
      </c>
      <c r="AF3514" s="2">
        <f t="shared" si="835"/>
        <v>0</v>
      </c>
      <c r="AG3514" s="2">
        <f t="shared" si="836"/>
        <v>0</v>
      </c>
    </row>
    <row r="3515" spans="1:33">
      <c r="A3515" s="20" t="s">
        <v>2838</v>
      </c>
      <c r="B3515" s="161"/>
      <c r="C3515" s="21" t="s">
        <v>704</v>
      </c>
      <c r="D3515" s="109" t="s">
        <v>15161</v>
      </c>
      <c r="E3515" s="109"/>
      <c r="F3515" s="391" t="s">
        <v>16809</v>
      </c>
      <c r="G3515" s="23" t="s">
        <v>16379</v>
      </c>
      <c r="H3515" s="23" t="s">
        <v>16557</v>
      </c>
      <c r="I3515" s="23" t="s">
        <v>13350</v>
      </c>
      <c r="J3515" s="23" t="s">
        <v>13339</v>
      </c>
      <c r="K3515" s="23" t="s">
        <v>24444</v>
      </c>
      <c r="L3515" s="375" t="s">
        <v>27393</v>
      </c>
      <c r="M3515" s="351" t="s">
        <v>27393</v>
      </c>
      <c r="N3515" s="267">
        <f t="shared" si="828"/>
        <v>0</v>
      </c>
      <c r="O3515" s="268">
        <f t="shared" si="829"/>
        <v>750</v>
      </c>
      <c r="P3515" s="239"/>
      <c r="Q3515" s="239">
        <f>300-150+1700-100-100-200-100-50-250-200-100</f>
        <v>750</v>
      </c>
      <c r="R3515" s="239"/>
      <c r="S3515" s="239"/>
      <c r="T3515" s="239"/>
      <c r="U3515" s="240"/>
      <c r="V3515" s="240"/>
      <c r="W3515" s="240"/>
      <c r="X3515" s="278"/>
      <c r="Y3515" s="239"/>
      <c r="Z3515" s="237"/>
      <c r="AA3515" s="279"/>
      <c r="AB3515" s="238" t="s">
        <v>27392</v>
      </c>
      <c r="AC3515" s="196">
        <f t="shared" si="832"/>
        <v>750</v>
      </c>
      <c r="AD3515" s="196">
        <f t="shared" si="833"/>
        <v>750</v>
      </c>
      <c r="AE3515" s="196">
        <f t="shared" si="834"/>
        <v>0</v>
      </c>
      <c r="AF3515" s="2">
        <f t="shared" si="835"/>
        <v>750</v>
      </c>
      <c r="AG3515" s="2">
        <f t="shared" si="836"/>
        <v>0</v>
      </c>
    </row>
    <row r="3516" spans="1:33">
      <c r="A3516" s="20" t="s">
        <v>23896</v>
      </c>
      <c r="B3516" s="161"/>
      <c r="C3516" s="21" t="s">
        <v>704</v>
      </c>
      <c r="D3516" s="109" t="s">
        <v>3101</v>
      </c>
      <c r="E3516" s="109" t="s">
        <v>23853</v>
      </c>
      <c r="F3516" s="391" t="s">
        <v>5214</v>
      </c>
      <c r="G3516" s="23" t="s">
        <v>13231</v>
      </c>
      <c r="H3516" s="23" t="s">
        <v>13934</v>
      </c>
      <c r="I3516" s="23" t="s">
        <v>13350</v>
      </c>
      <c r="J3516" s="23" t="s">
        <v>13339</v>
      </c>
      <c r="K3516" s="23"/>
      <c r="L3516" s="375"/>
      <c r="M3516" s="351"/>
      <c r="N3516" s="267">
        <f t="shared" si="828"/>
        <v>0</v>
      </c>
      <c r="O3516" s="268">
        <f t="shared" si="829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9"/>
      <c r="Z3516" s="237"/>
      <c r="AA3516" s="279"/>
      <c r="AB3516" s="238"/>
      <c r="AC3516" s="196">
        <f t="shared" si="832"/>
        <v>0</v>
      </c>
      <c r="AD3516" s="196">
        <f t="shared" si="833"/>
        <v>0</v>
      </c>
      <c r="AE3516" s="196">
        <f t="shared" si="834"/>
        <v>0</v>
      </c>
      <c r="AF3516" s="2">
        <f t="shared" si="835"/>
        <v>0</v>
      </c>
      <c r="AG3516" s="2">
        <f t="shared" si="836"/>
        <v>0</v>
      </c>
    </row>
    <row r="3517" spans="1:33">
      <c r="A3517" s="20" t="s">
        <v>18406</v>
      </c>
      <c r="B3517" s="161"/>
      <c r="C3517" s="21" t="s">
        <v>704</v>
      </c>
      <c r="D3517" s="109" t="s">
        <v>18374</v>
      </c>
      <c r="E3517" s="109" t="s">
        <v>18375</v>
      </c>
      <c r="F3517" s="391" t="s">
        <v>5214</v>
      </c>
      <c r="G3517" s="23" t="s">
        <v>18376</v>
      </c>
      <c r="H3517" s="23"/>
      <c r="I3517" s="23"/>
      <c r="J3517" s="23"/>
      <c r="K3517" s="23"/>
      <c r="L3517" s="375" t="s">
        <v>7787</v>
      </c>
      <c r="M3517" s="351" t="s">
        <v>7787</v>
      </c>
      <c r="N3517" s="267">
        <f t="shared" si="828"/>
        <v>0</v>
      </c>
      <c r="O3517" s="268">
        <f t="shared" si="829"/>
        <v>0</v>
      </c>
      <c r="P3517" s="239"/>
      <c r="Q3517" s="239"/>
      <c r="R3517" s="239"/>
      <c r="S3517" s="239"/>
      <c r="T3517" s="239"/>
      <c r="U3517" s="240"/>
      <c r="V3517" s="240"/>
      <c r="W3517" s="240"/>
      <c r="X3517" s="278"/>
      <c r="Y3517" s="237"/>
      <c r="Z3517" s="237"/>
      <c r="AA3517" s="279"/>
      <c r="AB3517" s="238"/>
      <c r="AC3517" s="196">
        <f t="shared" si="832"/>
        <v>0</v>
      </c>
      <c r="AD3517" s="196">
        <f t="shared" si="833"/>
        <v>0</v>
      </c>
      <c r="AE3517" s="196">
        <f t="shared" si="834"/>
        <v>0</v>
      </c>
      <c r="AF3517" s="2">
        <f t="shared" si="835"/>
        <v>0</v>
      </c>
      <c r="AG3517" s="2">
        <f t="shared" si="836"/>
        <v>0</v>
      </c>
    </row>
    <row r="3518" spans="1:33">
      <c r="A3518" s="20" t="s">
        <v>2839</v>
      </c>
      <c r="B3518" s="151" t="s">
        <v>16813</v>
      </c>
      <c r="C3518" s="21" t="s">
        <v>704</v>
      </c>
      <c r="D3518" s="109" t="s">
        <v>15167</v>
      </c>
      <c r="E3518" s="109"/>
      <c r="F3518" s="391" t="s">
        <v>16809</v>
      </c>
      <c r="G3518" s="23" t="s">
        <v>16814</v>
      </c>
      <c r="H3518" s="23" t="s">
        <v>16598</v>
      </c>
      <c r="I3518" s="23" t="s">
        <v>16454</v>
      </c>
      <c r="J3518" s="23" t="s">
        <v>15163</v>
      </c>
      <c r="K3518" s="23" t="s">
        <v>16815</v>
      </c>
      <c r="L3518" s="375" t="s">
        <v>7787</v>
      </c>
      <c r="M3518" s="351"/>
      <c r="N3518" s="267">
        <f t="shared" si="828"/>
        <v>0</v>
      </c>
      <c r="O3518" s="268">
        <f t="shared" si="829"/>
        <v>0</v>
      </c>
      <c r="P3518" s="239"/>
      <c r="Q3518" s="239"/>
      <c r="R3518" s="239"/>
      <c r="S3518" s="239"/>
      <c r="T3518" s="239"/>
      <c r="U3518" s="240"/>
      <c r="V3518" s="240"/>
      <c r="W3518" s="240"/>
      <c r="X3518" s="278"/>
      <c r="Y3518" s="237"/>
      <c r="Z3518" s="237"/>
      <c r="AA3518" s="279"/>
      <c r="AB3518" s="238"/>
      <c r="AC3518" s="196">
        <f t="shared" si="832"/>
        <v>0</v>
      </c>
      <c r="AD3518" s="196">
        <f t="shared" si="833"/>
        <v>0</v>
      </c>
      <c r="AE3518" s="196">
        <f t="shared" si="834"/>
        <v>0</v>
      </c>
      <c r="AF3518" s="2">
        <f t="shared" si="835"/>
        <v>0</v>
      </c>
      <c r="AG3518" s="2">
        <f t="shared" si="836"/>
        <v>0</v>
      </c>
    </row>
    <row r="3519" spans="1:33">
      <c r="A3519" s="20" t="s">
        <v>23996</v>
      </c>
      <c r="B3519" s="156"/>
      <c r="C3519" s="21" t="s">
        <v>704</v>
      </c>
      <c r="D3519" s="109" t="s">
        <v>24059</v>
      </c>
      <c r="E3519" s="109" t="s">
        <v>18375</v>
      </c>
      <c r="F3519" s="391" t="s">
        <v>5214</v>
      </c>
      <c r="G3519" s="23" t="s">
        <v>14311</v>
      </c>
      <c r="H3519" s="23"/>
      <c r="I3519" s="23"/>
      <c r="J3519" s="23"/>
      <c r="K3519" s="23"/>
      <c r="L3519" s="375"/>
      <c r="M3519" s="351"/>
      <c r="N3519" s="267">
        <f t="shared" si="828"/>
        <v>0</v>
      </c>
      <c r="O3519" s="268">
        <f t="shared" si="829"/>
        <v>2250</v>
      </c>
      <c r="P3519" s="239"/>
      <c r="Q3519" s="239"/>
      <c r="R3519" s="239"/>
      <c r="S3519" s="239"/>
      <c r="T3519" s="239">
        <f>600+2400-400-200-450+1650-300-800-150-300+350-150</f>
        <v>2250</v>
      </c>
      <c r="U3519" s="240"/>
      <c r="V3519" s="240"/>
      <c r="W3519" s="240"/>
      <c r="X3519" s="278"/>
      <c r="Y3519" s="239"/>
      <c r="Z3519" s="237"/>
      <c r="AA3519" s="279"/>
      <c r="AB3519" s="238" t="s">
        <v>27787</v>
      </c>
      <c r="AC3519" s="196">
        <f t="shared" si="832"/>
        <v>2250</v>
      </c>
      <c r="AD3519" s="196">
        <f t="shared" si="833"/>
        <v>2250</v>
      </c>
      <c r="AE3519" s="196">
        <f t="shared" si="834"/>
        <v>0</v>
      </c>
      <c r="AF3519" s="2">
        <f t="shared" si="835"/>
        <v>2250</v>
      </c>
      <c r="AG3519" s="2">
        <f t="shared" si="836"/>
        <v>0</v>
      </c>
    </row>
    <row r="3520" spans="1:33">
      <c r="A3520" s="20" t="s">
        <v>18407</v>
      </c>
      <c r="B3520" s="156"/>
      <c r="C3520" s="21" t="s">
        <v>18373</v>
      </c>
      <c r="D3520" s="109" t="s">
        <v>3137</v>
      </c>
      <c r="E3520" s="109"/>
      <c r="F3520" s="391" t="s">
        <v>18381</v>
      </c>
      <c r="G3520" s="23" t="s">
        <v>6133</v>
      </c>
      <c r="H3520" s="23"/>
      <c r="I3520" s="23"/>
      <c r="J3520" s="23"/>
      <c r="K3520" s="23"/>
      <c r="L3520" s="375" t="s">
        <v>45</v>
      </c>
      <c r="M3520" s="351" t="s">
        <v>7787</v>
      </c>
      <c r="N3520" s="267">
        <f t="shared" si="828"/>
        <v>0</v>
      </c>
      <c r="O3520" s="268">
        <f t="shared" si="829"/>
        <v>0</v>
      </c>
      <c r="P3520" s="239"/>
      <c r="Q3520" s="237"/>
      <c r="R3520" s="239"/>
      <c r="S3520" s="239"/>
      <c r="T3520" s="239"/>
      <c r="U3520" s="240"/>
      <c r="V3520" s="240"/>
      <c r="W3520" s="240"/>
      <c r="X3520" s="278"/>
      <c r="Y3520" s="237"/>
      <c r="Z3520" s="237"/>
      <c r="AA3520" s="279"/>
      <c r="AB3520" s="238"/>
      <c r="AC3520" s="196">
        <f t="shared" si="832"/>
        <v>0</v>
      </c>
      <c r="AD3520" s="196">
        <f t="shared" si="833"/>
        <v>0</v>
      </c>
      <c r="AE3520" s="196">
        <f t="shared" si="834"/>
        <v>0</v>
      </c>
      <c r="AF3520" s="2">
        <f t="shared" si="835"/>
        <v>0</v>
      </c>
      <c r="AG3520" s="2">
        <f t="shared" si="836"/>
        <v>0</v>
      </c>
    </row>
    <row r="3521" spans="1:33">
      <c r="A3521" s="20" t="s">
        <v>23748</v>
      </c>
      <c r="B3521" s="156"/>
      <c r="C3521" s="21" t="s">
        <v>18373</v>
      </c>
      <c r="D3521" s="109" t="s">
        <v>3096</v>
      </c>
      <c r="E3521" s="109"/>
      <c r="F3521" s="391" t="s">
        <v>18381</v>
      </c>
      <c r="G3521" s="23" t="s">
        <v>14407</v>
      </c>
      <c r="H3521" s="23"/>
      <c r="I3521" s="23"/>
      <c r="J3521" s="23"/>
      <c r="K3521" s="23"/>
      <c r="L3521" s="375"/>
      <c r="M3521" s="351"/>
      <c r="N3521" s="267">
        <f t="shared" si="828"/>
        <v>0</v>
      </c>
      <c r="O3521" s="268">
        <f t="shared" si="829"/>
        <v>100</v>
      </c>
      <c r="P3521" s="239"/>
      <c r="Q3521" s="243"/>
      <c r="R3521" s="239">
        <f>600-500</f>
        <v>100</v>
      </c>
      <c r="S3521" s="239"/>
      <c r="T3521" s="239"/>
      <c r="U3521" s="240"/>
      <c r="V3521" s="240"/>
      <c r="W3521" s="240"/>
      <c r="X3521" s="278"/>
      <c r="Y3521" s="237"/>
      <c r="Z3521" s="237"/>
      <c r="AA3521" s="279"/>
      <c r="AB3521" s="238" t="s">
        <v>26965</v>
      </c>
      <c r="AC3521" s="196">
        <f t="shared" si="832"/>
        <v>100</v>
      </c>
      <c r="AD3521" s="196">
        <f t="shared" si="833"/>
        <v>100</v>
      </c>
      <c r="AE3521" s="196">
        <f t="shared" si="834"/>
        <v>0</v>
      </c>
      <c r="AF3521" s="2">
        <f t="shared" si="835"/>
        <v>100</v>
      </c>
      <c r="AG3521" s="2">
        <f t="shared" si="836"/>
        <v>0</v>
      </c>
    </row>
    <row r="3522" spans="1:33">
      <c r="A3522" s="20" t="s">
        <v>17972</v>
      </c>
      <c r="B3522" s="156"/>
      <c r="C3522" s="21" t="s">
        <v>18315</v>
      </c>
      <c r="D3522" s="109" t="s">
        <v>18316</v>
      </c>
      <c r="E3522" s="109"/>
      <c r="F3522" s="391" t="s">
        <v>18324</v>
      </c>
      <c r="G3522" s="23" t="s">
        <v>13565</v>
      </c>
      <c r="H3522" s="23"/>
      <c r="I3522" s="23"/>
      <c r="J3522" s="23"/>
      <c r="K3522" s="23"/>
      <c r="L3522" s="375" t="s">
        <v>45</v>
      </c>
      <c r="M3522" s="351" t="s">
        <v>45</v>
      </c>
      <c r="N3522" s="267">
        <f t="shared" si="828"/>
        <v>0</v>
      </c>
      <c r="O3522" s="268">
        <f t="shared" si="829"/>
        <v>1300</v>
      </c>
      <c r="P3522" s="239"/>
      <c r="Q3522" s="239"/>
      <c r="R3522" s="239"/>
      <c r="S3522" s="239"/>
      <c r="T3522" s="239"/>
      <c r="U3522" s="240"/>
      <c r="V3522" s="240">
        <f>900+2500+3700+3200-7200-1800</f>
        <v>1300</v>
      </c>
      <c r="W3522" s="240"/>
      <c r="X3522" s="278"/>
      <c r="Y3522" s="237"/>
      <c r="Z3522" s="237"/>
      <c r="AA3522" s="279"/>
      <c r="AB3522" s="238" t="s">
        <v>26163</v>
      </c>
      <c r="AC3522" s="196">
        <f t="shared" si="832"/>
        <v>1300</v>
      </c>
      <c r="AD3522" s="196">
        <f t="shared" si="833"/>
        <v>1300</v>
      </c>
      <c r="AE3522" s="196">
        <f t="shared" si="834"/>
        <v>0</v>
      </c>
      <c r="AF3522" s="2">
        <f t="shared" si="835"/>
        <v>1300</v>
      </c>
      <c r="AG3522" s="2">
        <f t="shared" si="836"/>
        <v>0</v>
      </c>
    </row>
    <row r="3523" spans="1:33">
      <c r="A3523" s="20" t="s">
        <v>21466</v>
      </c>
      <c r="B3523" s="156"/>
      <c r="C3523" s="21" t="s">
        <v>18315</v>
      </c>
      <c r="D3523" s="109" t="s">
        <v>5649</v>
      </c>
      <c r="E3523" s="109" t="s">
        <v>20974</v>
      </c>
      <c r="F3523" s="391" t="s">
        <v>18324</v>
      </c>
      <c r="G3523" s="23"/>
      <c r="H3523" s="23"/>
      <c r="I3523" s="23"/>
      <c r="J3523" s="23"/>
      <c r="K3523" s="23"/>
      <c r="L3523" s="375" t="s">
        <v>45</v>
      </c>
      <c r="M3523" s="351" t="s">
        <v>7787</v>
      </c>
      <c r="N3523" s="267">
        <f t="shared" si="828"/>
        <v>0</v>
      </c>
      <c r="O3523" s="268">
        <f t="shared" si="829"/>
        <v>0</v>
      </c>
      <c r="P3523" s="239"/>
      <c r="Q3523" s="239"/>
      <c r="R3523" s="239"/>
      <c r="S3523" s="239"/>
      <c r="T3523" s="239"/>
      <c r="U3523" s="240"/>
      <c r="V3523" s="240"/>
      <c r="W3523" s="240"/>
      <c r="X3523" s="278"/>
      <c r="Y3523" s="237"/>
      <c r="Z3523" s="237"/>
      <c r="AA3523" s="279"/>
      <c r="AB3523" s="238"/>
      <c r="AC3523" s="196">
        <f t="shared" si="832"/>
        <v>0</v>
      </c>
      <c r="AD3523" s="196">
        <f t="shared" si="833"/>
        <v>0</v>
      </c>
      <c r="AE3523" s="196">
        <f t="shared" si="834"/>
        <v>0</v>
      </c>
      <c r="AF3523" s="2">
        <f t="shared" si="835"/>
        <v>0</v>
      </c>
      <c r="AG3523" s="2">
        <f t="shared" si="836"/>
        <v>0</v>
      </c>
    </row>
    <row r="3524" spans="1:33">
      <c r="A3524" s="20" t="s">
        <v>18676</v>
      </c>
      <c r="B3524" s="156"/>
      <c r="C3524" s="21" t="s">
        <v>18646</v>
      </c>
      <c r="D3524" s="109" t="s">
        <v>18647</v>
      </c>
      <c r="E3524" s="109"/>
      <c r="F3524" s="391" t="s">
        <v>18687</v>
      </c>
      <c r="G3524" s="23" t="s">
        <v>13565</v>
      </c>
      <c r="H3524" s="23" t="s">
        <v>16613</v>
      </c>
      <c r="I3524" s="23"/>
      <c r="J3524" s="23"/>
      <c r="K3524" s="23"/>
      <c r="L3524" s="375" t="s">
        <v>27931</v>
      </c>
      <c r="M3524" s="351" t="s">
        <v>45</v>
      </c>
      <c r="N3524" s="267">
        <f t="shared" si="828"/>
        <v>0</v>
      </c>
      <c r="O3524" s="268">
        <f t="shared" si="829"/>
        <v>3900</v>
      </c>
      <c r="P3524" s="239"/>
      <c r="Q3524" s="239"/>
      <c r="R3524" s="239"/>
      <c r="S3524" s="239"/>
      <c r="T3524" s="239"/>
      <c r="U3524" s="240"/>
      <c r="V3524" s="240">
        <f>4000-3600+2000+4100+1000-3600</f>
        <v>3900</v>
      </c>
      <c r="W3524" s="240"/>
      <c r="X3524" s="278"/>
      <c r="Y3524" s="237"/>
      <c r="Z3524" s="237"/>
      <c r="AA3524" s="279"/>
      <c r="AB3524" s="238" t="s">
        <v>27935</v>
      </c>
      <c r="AC3524" s="196">
        <f t="shared" si="832"/>
        <v>3900</v>
      </c>
      <c r="AD3524" s="196">
        <f t="shared" si="833"/>
        <v>3900</v>
      </c>
      <c r="AE3524" s="196">
        <f t="shared" si="834"/>
        <v>0</v>
      </c>
      <c r="AF3524" s="2">
        <f t="shared" si="835"/>
        <v>3900</v>
      </c>
      <c r="AG3524" s="2">
        <f t="shared" si="836"/>
        <v>0</v>
      </c>
    </row>
    <row r="3525" spans="1:33">
      <c r="A3525" s="20" t="s">
        <v>19925</v>
      </c>
      <c r="B3525" s="156"/>
      <c r="C3525" s="21" t="s">
        <v>19763</v>
      </c>
      <c r="D3525" s="109" t="s">
        <v>3137</v>
      </c>
      <c r="E3525" s="109"/>
      <c r="F3525" s="391" t="s">
        <v>19772</v>
      </c>
      <c r="G3525" s="23" t="s">
        <v>6133</v>
      </c>
      <c r="H3525" s="23"/>
      <c r="I3525" s="23"/>
      <c r="J3525" s="23"/>
      <c r="K3525" s="23"/>
      <c r="L3525" s="375" t="s">
        <v>7787</v>
      </c>
      <c r="M3525" s="351"/>
      <c r="N3525" s="267">
        <f t="shared" si="828"/>
        <v>0</v>
      </c>
      <c r="O3525" s="268">
        <f t="shared" si="829"/>
        <v>0</v>
      </c>
      <c r="P3525" s="239"/>
      <c r="Q3525" s="239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/>
      <c r="AC3525" s="196">
        <f t="shared" si="832"/>
        <v>0</v>
      </c>
      <c r="AD3525" s="196">
        <f t="shared" si="833"/>
        <v>0</v>
      </c>
      <c r="AE3525" s="196">
        <f t="shared" si="834"/>
        <v>0</v>
      </c>
      <c r="AF3525" s="2">
        <f t="shared" si="835"/>
        <v>0</v>
      </c>
      <c r="AG3525" s="2">
        <f t="shared" si="836"/>
        <v>0</v>
      </c>
    </row>
    <row r="3526" spans="1:33">
      <c r="A3526" s="20" t="s">
        <v>18411</v>
      </c>
      <c r="B3526" s="156"/>
      <c r="C3526" s="21" t="s">
        <v>20382</v>
      </c>
      <c r="D3526" s="109" t="s">
        <v>3137</v>
      </c>
      <c r="E3526" s="109" t="s">
        <v>21048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 t="s">
        <v>7787</v>
      </c>
      <c r="M3526" s="351" t="s">
        <v>7787</v>
      </c>
      <c r="N3526" s="267">
        <f t="shared" si="828"/>
        <v>0</v>
      </c>
      <c r="O3526" s="268">
        <f t="shared" si="829"/>
        <v>1650</v>
      </c>
      <c r="P3526" s="240">
        <f>2300-650</f>
        <v>1650</v>
      </c>
      <c r="Q3526" s="240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 t="s">
        <v>24981</v>
      </c>
      <c r="AC3526" s="196">
        <f t="shared" si="832"/>
        <v>1650</v>
      </c>
      <c r="AD3526" s="196">
        <f t="shared" si="833"/>
        <v>1650</v>
      </c>
      <c r="AE3526" s="196">
        <f t="shared" si="834"/>
        <v>0</v>
      </c>
      <c r="AF3526" s="2">
        <f t="shared" si="835"/>
        <v>1650</v>
      </c>
      <c r="AG3526" s="2">
        <f t="shared" si="836"/>
        <v>0</v>
      </c>
    </row>
    <row r="3527" spans="1:33">
      <c r="A3527" s="20" t="s">
        <v>21467</v>
      </c>
      <c r="B3527" s="156"/>
      <c r="C3527" s="21" t="s">
        <v>20914</v>
      </c>
      <c r="D3527" s="109" t="s">
        <v>3137</v>
      </c>
      <c r="E3527" s="109" t="s">
        <v>21049</v>
      </c>
      <c r="F3527" s="391" t="s">
        <v>18480</v>
      </c>
      <c r="G3527" s="23" t="s">
        <v>17522</v>
      </c>
      <c r="H3527" s="23" t="s">
        <v>6133</v>
      </c>
      <c r="I3527" s="23" t="s">
        <v>13932</v>
      </c>
      <c r="J3527" s="23" t="s">
        <v>13301</v>
      </c>
      <c r="K3527" s="23"/>
      <c r="L3527" s="375" t="s">
        <v>7787</v>
      </c>
      <c r="M3527" s="351" t="s">
        <v>7787</v>
      </c>
      <c r="N3527" s="267">
        <f t="shared" si="828"/>
        <v>0</v>
      </c>
      <c r="O3527" s="268">
        <f t="shared" si="829"/>
        <v>0</v>
      </c>
      <c r="P3527" s="239"/>
      <c r="Q3527" s="240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32"/>
        <v>0</v>
      </c>
      <c r="AD3527" s="196">
        <f t="shared" si="833"/>
        <v>0</v>
      </c>
      <c r="AE3527" s="196">
        <f t="shared" si="834"/>
        <v>0</v>
      </c>
      <c r="AF3527" s="2">
        <f t="shared" si="835"/>
        <v>0</v>
      </c>
      <c r="AG3527" s="2">
        <f t="shared" si="836"/>
        <v>0</v>
      </c>
    </row>
    <row r="3528" spans="1:33">
      <c r="A3528" s="20" t="s">
        <v>21468</v>
      </c>
      <c r="B3528" s="156"/>
      <c r="C3528" s="21" t="s">
        <v>20914</v>
      </c>
      <c r="D3528" s="109" t="s">
        <v>3137</v>
      </c>
      <c r="E3528" s="109" t="s">
        <v>21107</v>
      </c>
      <c r="F3528" s="391" t="s">
        <v>18480</v>
      </c>
      <c r="G3528" s="23" t="s">
        <v>17522</v>
      </c>
      <c r="H3528" s="23" t="s">
        <v>6133</v>
      </c>
      <c r="I3528" s="23" t="s">
        <v>13932</v>
      </c>
      <c r="J3528" s="23" t="s">
        <v>13301</v>
      </c>
      <c r="K3528" s="23"/>
      <c r="L3528" s="375"/>
      <c r="M3528" s="351" t="s">
        <v>7787</v>
      </c>
      <c r="N3528" s="267">
        <f t="shared" si="828"/>
        <v>0</v>
      </c>
      <c r="O3528" s="268">
        <f t="shared" si="829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32"/>
        <v>0</v>
      </c>
      <c r="AD3528" s="196">
        <f t="shared" si="833"/>
        <v>0</v>
      </c>
      <c r="AE3528" s="196">
        <f t="shared" si="834"/>
        <v>0</v>
      </c>
      <c r="AF3528" s="2">
        <f t="shared" si="835"/>
        <v>0</v>
      </c>
      <c r="AG3528" s="2">
        <f t="shared" si="836"/>
        <v>0</v>
      </c>
    </row>
    <row r="3529" spans="1:33">
      <c r="A3529" s="20" t="s">
        <v>20237</v>
      </c>
      <c r="B3529" s="156"/>
      <c r="C3529" s="21" t="s">
        <v>18479</v>
      </c>
      <c r="D3529" s="109" t="s">
        <v>8376</v>
      </c>
      <c r="E3529" s="109" t="s">
        <v>20361</v>
      </c>
      <c r="F3529" s="391" t="s">
        <v>18480</v>
      </c>
      <c r="G3529" s="23" t="s">
        <v>20371</v>
      </c>
      <c r="H3529" s="23"/>
      <c r="I3529" s="23"/>
      <c r="J3529" s="23"/>
      <c r="K3529" s="23"/>
      <c r="L3529" s="375" t="s">
        <v>7787</v>
      </c>
      <c r="M3529" s="351"/>
      <c r="N3529" s="267">
        <f t="shared" si="828"/>
        <v>0</v>
      </c>
      <c r="O3529" s="268">
        <f t="shared" si="829"/>
        <v>0</v>
      </c>
      <c r="P3529" s="239"/>
      <c r="Q3529" s="239"/>
      <c r="R3529" s="239"/>
      <c r="S3529" s="239"/>
      <c r="T3529" s="239"/>
      <c r="U3529" s="240"/>
      <c r="V3529" s="240"/>
      <c r="W3529" s="240"/>
      <c r="X3529" s="278"/>
      <c r="Y3529" s="237"/>
      <c r="Z3529" s="237"/>
      <c r="AA3529" s="279"/>
      <c r="AB3529" s="238"/>
      <c r="AC3529" s="196">
        <f t="shared" si="832"/>
        <v>0</v>
      </c>
      <c r="AD3529" s="196">
        <f t="shared" si="833"/>
        <v>0</v>
      </c>
      <c r="AE3529" s="196">
        <f t="shared" si="834"/>
        <v>0</v>
      </c>
      <c r="AF3529" s="2">
        <f t="shared" si="835"/>
        <v>0</v>
      </c>
      <c r="AG3529" s="2">
        <f t="shared" si="836"/>
        <v>0</v>
      </c>
    </row>
    <row r="3530" spans="1:33">
      <c r="A3530" s="20" t="s">
        <v>20238</v>
      </c>
      <c r="B3530" s="156"/>
      <c r="C3530" s="21" t="s">
        <v>20382</v>
      </c>
      <c r="D3530" s="109" t="s">
        <v>8376</v>
      </c>
      <c r="E3530" s="109" t="s">
        <v>20383</v>
      </c>
      <c r="F3530" s="391" t="s">
        <v>18480</v>
      </c>
      <c r="G3530" s="23" t="s">
        <v>17522</v>
      </c>
      <c r="H3530" s="23"/>
      <c r="I3530" s="23"/>
      <c r="J3530" s="23"/>
      <c r="K3530" s="23"/>
      <c r="L3530" s="375" t="s">
        <v>7787</v>
      </c>
      <c r="M3530" s="351"/>
      <c r="N3530" s="267">
        <f t="shared" si="828"/>
        <v>0</v>
      </c>
      <c r="O3530" s="268">
        <f t="shared" si="829"/>
        <v>0</v>
      </c>
      <c r="P3530" s="239"/>
      <c r="Q3530" s="239"/>
      <c r="R3530" s="239"/>
      <c r="S3530" s="239"/>
      <c r="T3530" s="239"/>
      <c r="U3530" s="240"/>
      <c r="V3530" s="240"/>
      <c r="W3530" s="240"/>
      <c r="X3530" s="278"/>
      <c r="Y3530" s="237"/>
      <c r="Z3530" s="237"/>
      <c r="AA3530" s="279"/>
      <c r="AB3530" s="238"/>
      <c r="AC3530" s="196">
        <f t="shared" si="832"/>
        <v>0</v>
      </c>
      <c r="AD3530" s="196">
        <f t="shared" si="833"/>
        <v>0</v>
      </c>
      <c r="AE3530" s="196">
        <f t="shared" si="834"/>
        <v>0</v>
      </c>
      <c r="AF3530" s="2">
        <f t="shared" si="835"/>
        <v>0</v>
      </c>
      <c r="AG3530" s="2">
        <f t="shared" si="836"/>
        <v>0</v>
      </c>
    </row>
    <row r="3531" spans="1:33">
      <c r="A3531" s="20" t="s">
        <v>20239</v>
      </c>
      <c r="B3531" s="156"/>
      <c r="C3531" s="21" t="s">
        <v>20382</v>
      </c>
      <c r="D3531" s="109" t="s">
        <v>20413</v>
      </c>
      <c r="E3531" s="109" t="s">
        <v>21050</v>
      </c>
      <c r="F3531" s="391" t="s">
        <v>18480</v>
      </c>
      <c r="G3531" s="23" t="s">
        <v>6133</v>
      </c>
      <c r="H3531" s="23" t="s">
        <v>13301</v>
      </c>
      <c r="I3531" s="23" t="s">
        <v>13932</v>
      </c>
      <c r="J3531" s="23"/>
      <c r="K3531" s="23"/>
      <c r="L3531" s="375" t="s">
        <v>7787</v>
      </c>
      <c r="M3531" s="351" t="s">
        <v>7787</v>
      </c>
      <c r="N3531" s="267">
        <f t="shared" si="828"/>
        <v>0</v>
      </c>
      <c r="O3531" s="268">
        <f t="shared" si="829"/>
        <v>0</v>
      </c>
      <c r="P3531" s="239"/>
      <c r="Q3531" s="240"/>
      <c r="R3531" s="239"/>
      <c r="S3531" s="239"/>
      <c r="T3531" s="239"/>
      <c r="U3531" s="240"/>
      <c r="V3531" s="240"/>
      <c r="W3531" s="240"/>
      <c r="X3531" s="278"/>
      <c r="Y3531" s="240"/>
      <c r="Z3531" s="237"/>
      <c r="AA3531" s="279"/>
      <c r="AB3531" s="238"/>
      <c r="AC3531" s="196">
        <f t="shared" si="832"/>
        <v>0</v>
      </c>
      <c r="AD3531" s="196">
        <f t="shared" si="833"/>
        <v>0</v>
      </c>
      <c r="AE3531" s="196">
        <f t="shared" si="834"/>
        <v>0</v>
      </c>
      <c r="AF3531" s="2">
        <f t="shared" si="835"/>
        <v>0</v>
      </c>
      <c r="AG3531" s="2">
        <f t="shared" si="836"/>
        <v>0</v>
      </c>
    </row>
    <row r="3532" spans="1:33">
      <c r="A3532" s="20" t="s">
        <v>21469</v>
      </c>
      <c r="B3532" s="156"/>
      <c r="C3532" s="21" t="s">
        <v>20914</v>
      </c>
      <c r="D3532" s="109" t="s">
        <v>20413</v>
      </c>
      <c r="E3532" s="109" t="s">
        <v>21051</v>
      </c>
      <c r="F3532" s="391" t="s">
        <v>18480</v>
      </c>
      <c r="G3532" s="23" t="s">
        <v>13301</v>
      </c>
      <c r="H3532" s="23"/>
      <c r="I3532" s="23"/>
      <c r="J3532" s="23"/>
      <c r="K3532" s="23"/>
      <c r="L3532" s="375" t="s">
        <v>7787</v>
      </c>
      <c r="M3532" s="351" t="s">
        <v>7787</v>
      </c>
      <c r="N3532" s="267">
        <f t="shared" si="828"/>
        <v>0</v>
      </c>
      <c r="O3532" s="268">
        <f t="shared" si="829"/>
        <v>0</v>
      </c>
      <c r="P3532" s="239"/>
      <c r="Q3532" s="244"/>
      <c r="R3532" s="239"/>
      <c r="S3532" s="239"/>
      <c r="T3532" s="239"/>
      <c r="U3532" s="240"/>
      <c r="V3532" s="240"/>
      <c r="W3532" s="240"/>
      <c r="X3532" s="278"/>
      <c r="Y3532" s="239"/>
      <c r="Z3532" s="237"/>
      <c r="AA3532" s="279"/>
      <c r="AB3532" s="238"/>
      <c r="AC3532" s="196">
        <f t="shared" si="832"/>
        <v>0</v>
      </c>
      <c r="AD3532" s="196">
        <f t="shared" si="833"/>
        <v>0</v>
      </c>
      <c r="AE3532" s="196">
        <f t="shared" si="834"/>
        <v>0</v>
      </c>
      <c r="AF3532" s="2">
        <f t="shared" si="835"/>
        <v>0</v>
      </c>
      <c r="AG3532" s="2">
        <f t="shared" si="836"/>
        <v>0</v>
      </c>
    </row>
    <row r="3533" spans="1:33">
      <c r="A3533" s="20" t="s">
        <v>21470</v>
      </c>
      <c r="B3533" s="156"/>
      <c r="C3533" s="21" t="s">
        <v>20914</v>
      </c>
      <c r="D3533" s="109" t="s">
        <v>20413</v>
      </c>
      <c r="E3533" s="109" t="s">
        <v>21106</v>
      </c>
      <c r="F3533" s="391" t="s">
        <v>18480</v>
      </c>
      <c r="G3533" s="23" t="s">
        <v>13301</v>
      </c>
      <c r="H3533" s="23"/>
      <c r="I3533" s="23"/>
      <c r="J3533" s="23"/>
      <c r="K3533" s="23"/>
      <c r="L3533" s="375" t="s">
        <v>7787</v>
      </c>
      <c r="M3533" s="351"/>
      <c r="N3533" s="267">
        <f t="shared" si="828"/>
        <v>0</v>
      </c>
      <c r="O3533" s="268">
        <f t="shared" si="829"/>
        <v>0</v>
      </c>
      <c r="P3533" s="239"/>
      <c r="Q3533" s="244"/>
      <c r="R3533" s="239"/>
      <c r="S3533" s="239"/>
      <c r="T3533" s="239"/>
      <c r="U3533" s="240"/>
      <c r="V3533" s="244"/>
      <c r="W3533" s="240"/>
      <c r="X3533" s="278"/>
      <c r="Y3533" s="239"/>
      <c r="Z3533" s="237"/>
      <c r="AA3533" s="279"/>
      <c r="AB3533" s="238"/>
      <c r="AC3533" s="196">
        <f t="shared" si="832"/>
        <v>0</v>
      </c>
      <c r="AD3533" s="196">
        <f t="shared" si="833"/>
        <v>0</v>
      </c>
      <c r="AE3533" s="196">
        <f t="shared" si="834"/>
        <v>0</v>
      </c>
      <c r="AF3533" s="2">
        <f t="shared" si="835"/>
        <v>0</v>
      </c>
      <c r="AG3533" s="2">
        <f t="shared" si="836"/>
        <v>0</v>
      </c>
    </row>
    <row r="3534" spans="1:33">
      <c r="A3534" s="20" t="s">
        <v>19214</v>
      </c>
      <c r="B3534" s="156"/>
      <c r="C3534" s="21" t="s">
        <v>18479</v>
      </c>
      <c r="D3534" s="109" t="s">
        <v>19261</v>
      </c>
      <c r="E3534" s="109" t="s">
        <v>19262</v>
      </c>
      <c r="F3534" s="391" t="s">
        <v>18480</v>
      </c>
      <c r="G3534" s="23" t="s">
        <v>6133</v>
      </c>
      <c r="H3534" s="23"/>
      <c r="I3534" s="23"/>
      <c r="J3534" s="23"/>
      <c r="K3534" s="23"/>
      <c r="L3534" s="375" t="s">
        <v>7787</v>
      </c>
      <c r="M3534" s="351"/>
      <c r="N3534" s="267">
        <f t="shared" si="828"/>
        <v>0</v>
      </c>
      <c r="O3534" s="268">
        <f t="shared" si="829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37"/>
      <c r="Z3534" s="237"/>
      <c r="AA3534" s="279"/>
      <c r="AB3534" s="238"/>
      <c r="AC3534" s="196">
        <f t="shared" si="832"/>
        <v>0</v>
      </c>
      <c r="AD3534" s="196">
        <f t="shared" si="833"/>
        <v>0</v>
      </c>
      <c r="AE3534" s="196">
        <f t="shared" si="834"/>
        <v>0</v>
      </c>
      <c r="AF3534" s="2">
        <f t="shared" si="835"/>
        <v>0</v>
      </c>
      <c r="AG3534" s="2">
        <f t="shared" si="836"/>
        <v>0</v>
      </c>
    </row>
    <row r="3535" spans="1:33">
      <c r="A3535" s="20" t="s">
        <v>18897</v>
      </c>
      <c r="B3535" s="156"/>
      <c r="C3535" s="21" t="s">
        <v>18761</v>
      </c>
      <c r="D3535" s="109" t="s">
        <v>18762</v>
      </c>
      <c r="E3535" s="109"/>
      <c r="F3535" s="391" t="s">
        <v>18803</v>
      </c>
      <c r="G3535" s="23" t="s">
        <v>18763</v>
      </c>
      <c r="H3535" s="23"/>
      <c r="I3535" s="23"/>
      <c r="J3535" s="23"/>
      <c r="K3535" s="23"/>
      <c r="L3535" s="375" t="s">
        <v>7787</v>
      </c>
      <c r="M3535" s="351"/>
      <c r="N3535" s="267">
        <f t="shared" si="828"/>
        <v>0</v>
      </c>
      <c r="O3535" s="268">
        <f t="shared" si="829"/>
        <v>0</v>
      </c>
      <c r="P3535" s="239"/>
      <c r="Q3535" s="239"/>
      <c r="R3535" s="239"/>
      <c r="S3535" s="239"/>
      <c r="T3535" s="239"/>
      <c r="U3535" s="240"/>
      <c r="V3535" s="240"/>
      <c r="W3535" s="240"/>
      <c r="X3535" s="278"/>
      <c r="Y3535" s="240"/>
      <c r="Z3535" s="237"/>
      <c r="AA3535" s="279"/>
      <c r="AB3535" s="238"/>
      <c r="AC3535" s="196">
        <f t="shared" si="832"/>
        <v>0</v>
      </c>
      <c r="AD3535" s="196">
        <f t="shared" si="833"/>
        <v>0</v>
      </c>
      <c r="AE3535" s="196">
        <f t="shared" si="834"/>
        <v>0</v>
      </c>
      <c r="AF3535" s="2">
        <f t="shared" si="835"/>
        <v>0</v>
      </c>
      <c r="AG3535" s="2">
        <f t="shared" si="836"/>
        <v>0</v>
      </c>
    </row>
    <row r="3536" spans="1:33">
      <c r="A3536" s="20" t="s">
        <v>18681</v>
      </c>
      <c r="B3536" s="156"/>
      <c r="C3536" s="21" t="s">
        <v>18640</v>
      </c>
      <c r="D3536" s="109" t="s">
        <v>3137</v>
      </c>
      <c r="E3536" s="109"/>
      <c r="F3536" s="391" t="s">
        <v>18643</v>
      </c>
      <c r="G3536" s="23" t="s">
        <v>18644</v>
      </c>
      <c r="H3536" s="23" t="s">
        <v>18804</v>
      </c>
      <c r="I3536" s="23" t="s">
        <v>13370</v>
      </c>
      <c r="J3536" s="23" t="s">
        <v>18175</v>
      </c>
      <c r="K3536" s="23"/>
      <c r="L3536" s="375" t="s">
        <v>7787</v>
      </c>
      <c r="M3536" s="351" t="s">
        <v>7787</v>
      </c>
      <c r="N3536" s="267">
        <f t="shared" si="828"/>
        <v>0</v>
      </c>
      <c r="O3536" s="268">
        <f t="shared" si="829"/>
        <v>0</v>
      </c>
      <c r="P3536" s="239"/>
      <c r="Q3536" s="239"/>
      <c r="R3536" s="239"/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32"/>
        <v>0</v>
      </c>
      <c r="AD3536" s="196">
        <f t="shared" si="833"/>
        <v>0</v>
      </c>
      <c r="AE3536" s="196">
        <f t="shared" si="834"/>
        <v>0</v>
      </c>
      <c r="AF3536" s="2">
        <f t="shared" si="835"/>
        <v>0</v>
      </c>
      <c r="AG3536" s="2">
        <f t="shared" si="836"/>
        <v>0</v>
      </c>
    </row>
    <row r="3537" spans="1:33">
      <c r="A3537" s="20" t="s">
        <v>18677</v>
      </c>
      <c r="B3537" s="156"/>
      <c r="C3537" s="21" t="s">
        <v>18544</v>
      </c>
      <c r="D3537" s="109" t="s">
        <v>18545</v>
      </c>
      <c r="E3537" s="109" t="s">
        <v>26316</v>
      </c>
      <c r="F3537" s="391" t="s">
        <v>18688</v>
      </c>
      <c r="G3537" s="23" t="s">
        <v>16580</v>
      </c>
      <c r="H3537" s="23"/>
      <c r="I3537" s="23"/>
      <c r="J3537" s="23"/>
      <c r="K3537" s="23"/>
      <c r="L3537" s="375" t="s">
        <v>7787</v>
      </c>
      <c r="M3537" s="351"/>
      <c r="N3537" s="267">
        <f t="shared" si="828"/>
        <v>0</v>
      </c>
      <c r="O3537" s="268">
        <f t="shared" si="829"/>
        <v>500</v>
      </c>
      <c r="P3537" s="239"/>
      <c r="Q3537" s="239"/>
      <c r="R3537" s="239">
        <v>500</v>
      </c>
      <c r="S3537" s="239"/>
      <c r="T3537" s="239"/>
      <c r="U3537" s="240"/>
      <c r="V3537" s="240"/>
      <c r="W3537" s="240"/>
      <c r="X3537" s="278"/>
      <c r="Y3537" s="237"/>
      <c r="Z3537" s="237"/>
      <c r="AA3537" s="279"/>
      <c r="AB3537" s="238"/>
      <c r="AC3537" s="196">
        <f t="shared" si="832"/>
        <v>500</v>
      </c>
      <c r="AD3537" s="196">
        <f t="shared" si="833"/>
        <v>500</v>
      </c>
      <c r="AE3537" s="196">
        <f t="shared" si="834"/>
        <v>0</v>
      </c>
      <c r="AF3537" s="2">
        <f t="shared" si="835"/>
        <v>500</v>
      </c>
      <c r="AG3537" s="2">
        <f t="shared" si="836"/>
        <v>0</v>
      </c>
    </row>
    <row r="3538" spans="1:33">
      <c r="A3538" s="20" t="s">
        <v>19926</v>
      </c>
      <c r="B3538" s="156"/>
      <c r="C3538" s="21" t="s">
        <v>18544</v>
      </c>
      <c r="D3538" s="109" t="s">
        <v>19862</v>
      </c>
      <c r="E3538" s="109" t="s">
        <v>3128</v>
      </c>
      <c r="F3538" s="391" t="s">
        <v>18688</v>
      </c>
      <c r="G3538" s="23"/>
      <c r="H3538" s="23"/>
      <c r="I3538" s="23"/>
      <c r="J3538" s="23"/>
      <c r="K3538" s="23"/>
      <c r="L3538" s="375" t="s">
        <v>7787</v>
      </c>
      <c r="M3538" s="351" t="s">
        <v>7787</v>
      </c>
      <c r="N3538" s="267">
        <f t="shared" si="828"/>
        <v>0</v>
      </c>
      <c r="O3538" s="268">
        <f t="shared" si="829"/>
        <v>0</v>
      </c>
      <c r="P3538" s="239"/>
      <c r="Q3538" s="239"/>
      <c r="R3538" s="239"/>
      <c r="S3538" s="239"/>
      <c r="T3538" s="239"/>
      <c r="U3538" s="240"/>
      <c r="V3538" s="240"/>
      <c r="W3538" s="240"/>
      <c r="X3538" s="278"/>
      <c r="Y3538" s="237"/>
      <c r="Z3538" s="237"/>
      <c r="AA3538" s="279"/>
      <c r="AB3538" s="238"/>
      <c r="AC3538" s="196">
        <f t="shared" si="832"/>
        <v>0</v>
      </c>
      <c r="AD3538" s="196">
        <f t="shared" si="833"/>
        <v>0</v>
      </c>
      <c r="AE3538" s="196">
        <f t="shared" si="834"/>
        <v>0</v>
      </c>
      <c r="AF3538" s="2">
        <f t="shared" si="835"/>
        <v>0</v>
      </c>
      <c r="AG3538" s="2">
        <f t="shared" si="836"/>
        <v>0</v>
      </c>
    </row>
    <row r="3539" spans="1:33">
      <c r="A3539" s="20" t="s">
        <v>21471</v>
      </c>
      <c r="B3539" s="156"/>
      <c r="C3539" s="21" t="s">
        <v>20665</v>
      </c>
      <c r="D3539" s="109" t="s">
        <v>3958</v>
      </c>
      <c r="E3539" s="109" t="s">
        <v>18968</v>
      </c>
      <c r="F3539" s="391" t="s">
        <v>20689</v>
      </c>
      <c r="G3539" s="23" t="s">
        <v>16477</v>
      </c>
      <c r="H3539" s="23"/>
      <c r="I3539" s="23"/>
      <c r="J3539" s="23"/>
      <c r="K3539" s="23"/>
      <c r="L3539" s="375" t="s">
        <v>45</v>
      </c>
      <c r="M3539" s="351" t="s">
        <v>45</v>
      </c>
      <c r="N3539" s="267">
        <f t="shared" si="828"/>
        <v>0</v>
      </c>
      <c r="O3539" s="268">
        <f t="shared" si="829"/>
        <v>1300</v>
      </c>
      <c r="P3539" s="239"/>
      <c r="Q3539" s="239"/>
      <c r="R3539" s="239"/>
      <c r="S3539" s="239"/>
      <c r="T3539" s="239"/>
      <c r="U3539" s="240">
        <f>1800+4200-2700-2000</f>
        <v>1300</v>
      </c>
      <c r="V3539" s="240"/>
      <c r="W3539" s="240"/>
      <c r="X3539" s="278"/>
      <c r="Y3539" s="237"/>
      <c r="Z3539" s="237"/>
      <c r="AA3539" s="279"/>
      <c r="AB3539" s="238" t="s">
        <v>25791</v>
      </c>
      <c r="AC3539" s="196">
        <f t="shared" si="832"/>
        <v>1300</v>
      </c>
      <c r="AD3539" s="196">
        <f t="shared" si="833"/>
        <v>1300</v>
      </c>
      <c r="AE3539" s="196">
        <f t="shared" si="834"/>
        <v>0</v>
      </c>
      <c r="AF3539" s="2">
        <f t="shared" si="835"/>
        <v>1300</v>
      </c>
      <c r="AG3539" s="2">
        <f t="shared" si="836"/>
        <v>0</v>
      </c>
    </row>
    <row r="3540" spans="1:33">
      <c r="A3540" s="20" t="s">
        <v>19927</v>
      </c>
      <c r="B3540" s="156"/>
      <c r="C3540" s="21" t="s">
        <v>19457</v>
      </c>
      <c r="D3540" s="109" t="s">
        <v>3137</v>
      </c>
      <c r="E3540" s="109"/>
      <c r="F3540" s="391" t="s">
        <v>19462</v>
      </c>
      <c r="G3540" s="23" t="s">
        <v>13970</v>
      </c>
      <c r="H3540" s="23"/>
      <c r="I3540" s="23"/>
      <c r="J3540" s="23"/>
      <c r="K3540" s="23"/>
      <c r="L3540" s="375" t="s">
        <v>7787</v>
      </c>
      <c r="M3540" s="351" t="s">
        <v>7787</v>
      </c>
      <c r="N3540" s="267">
        <f t="shared" si="828"/>
        <v>0</v>
      </c>
      <c r="O3540" s="268">
        <f t="shared" si="829"/>
        <v>0</v>
      </c>
      <c r="P3540" s="239"/>
      <c r="Q3540" s="239"/>
      <c r="R3540" s="239"/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/>
      <c r="AC3540" s="196">
        <f t="shared" si="832"/>
        <v>0</v>
      </c>
      <c r="AD3540" s="196">
        <f t="shared" si="833"/>
        <v>0</v>
      </c>
      <c r="AE3540" s="196">
        <f t="shared" si="834"/>
        <v>0</v>
      </c>
      <c r="AF3540" s="2">
        <f t="shared" si="835"/>
        <v>0</v>
      </c>
      <c r="AG3540" s="2">
        <f t="shared" si="836"/>
        <v>0</v>
      </c>
    </row>
    <row r="3541" spans="1:33">
      <c r="A3541" s="20" t="s">
        <v>22766</v>
      </c>
      <c r="B3541" s="156"/>
      <c r="C3541" s="21" t="s">
        <v>18701</v>
      </c>
      <c r="D3541" s="109" t="s">
        <v>8056</v>
      </c>
      <c r="E3541" s="109"/>
      <c r="F3541" s="391" t="s">
        <v>18704</v>
      </c>
      <c r="G3541" s="23" t="s">
        <v>16044</v>
      </c>
      <c r="H3541" s="23" t="s">
        <v>24272</v>
      </c>
      <c r="I3541" s="23"/>
      <c r="J3541" s="23"/>
      <c r="K3541" s="23"/>
      <c r="L3541" s="375" t="s">
        <v>45</v>
      </c>
      <c r="M3541" s="351" t="s">
        <v>45</v>
      </c>
      <c r="N3541" s="267">
        <f t="shared" si="828"/>
        <v>0</v>
      </c>
      <c r="O3541" s="268">
        <f t="shared" si="829"/>
        <v>0</v>
      </c>
      <c r="P3541" s="239"/>
      <c r="Q3541" s="239"/>
      <c r="R3541" s="239"/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/>
      <c r="AC3541" s="196">
        <f t="shared" si="832"/>
        <v>0</v>
      </c>
      <c r="AD3541" s="196">
        <f t="shared" si="833"/>
        <v>0</v>
      </c>
      <c r="AE3541" s="196">
        <f t="shared" si="834"/>
        <v>0</v>
      </c>
      <c r="AF3541" s="2">
        <f t="shared" si="835"/>
        <v>0</v>
      </c>
      <c r="AG3541" s="2">
        <f t="shared" si="836"/>
        <v>0</v>
      </c>
    </row>
    <row r="3542" spans="1:33">
      <c r="A3542" s="20" t="s">
        <v>26256</v>
      </c>
      <c r="B3542" s="156"/>
      <c r="C3542" s="21" t="s">
        <v>25410</v>
      </c>
      <c r="D3542" s="109" t="s">
        <v>8270</v>
      </c>
      <c r="E3542" s="109" t="s">
        <v>26206</v>
      </c>
      <c r="F3542" s="391" t="s">
        <v>25411</v>
      </c>
      <c r="G3542" s="23" t="s">
        <v>25412</v>
      </c>
      <c r="H3542" s="23" t="s">
        <v>7858</v>
      </c>
      <c r="I3542" s="23"/>
      <c r="J3542" s="23"/>
      <c r="K3542" s="23"/>
      <c r="L3542" s="375"/>
      <c r="M3542" s="351"/>
      <c r="N3542" s="267">
        <f t="shared" ref="N3542" si="837">SUM(L3542:M3542)</f>
        <v>0</v>
      </c>
      <c r="O3542" s="268">
        <f t="shared" ref="O3542" si="838">SUM(P3542:Z3542)</f>
        <v>5450</v>
      </c>
      <c r="P3542" s="239"/>
      <c r="Q3542" s="239"/>
      <c r="R3542" s="239">
        <f>10000-8950+4400</f>
        <v>5450</v>
      </c>
      <c r="S3542" s="239"/>
      <c r="T3542" s="239"/>
      <c r="U3542" s="240"/>
      <c r="V3542" s="240"/>
      <c r="W3542" s="240"/>
      <c r="X3542" s="278"/>
      <c r="Y3542" s="237"/>
      <c r="Z3542" s="237"/>
      <c r="AA3542" s="279"/>
      <c r="AB3542" s="238" t="s">
        <v>26559</v>
      </c>
      <c r="AC3542" s="196">
        <f t="shared" si="832"/>
        <v>5450</v>
      </c>
      <c r="AD3542" s="196">
        <f t="shared" si="833"/>
        <v>5450</v>
      </c>
      <c r="AE3542" s="196">
        <f t="shared" si="834"/>
        <v>0</v>
      </c>
      <c r="AF3542" s="2">
        <f t="shared" si="835"/>
        <v>5450</v>
      </c>
      <c r="AG3542" s="2">
        <f t="shared" si="836"/>
        <v>0</v>
      </c>
    </row>
    <row r="3543" spans="1:33">
      <c r="A3543" s="20" t="s">
        <v>18684</v>
      </c>
      <c r="B3543" s="156"/>
      <c r="C3543" s="21" t="s">
        <v>18701</v>
      </c>
      <c r="D3543" s="109" t="s">
        <v>18702</v>
      </c>
      <c r="E3543" s="109"/>
      <c r="F3543" s="391" t="s">
        <v>18704</v>
      </c>
      <c r="G3543" s="23" t="s">
        <v>18745</v>
      </c>
      <c r="H3543" s="23"/>
      <c r="I3543" s="23"/>
      <c r="J3543" s="23"/>
      <c r="K3543" s="23"/>
      <c r="L3543" s="375"/>
      <c r="M3543" s="351" t="s">
        <v>7787</v>
      </c>
      <c r="N3543" s="267">
        <f t="shared" si="828"/>
        <v>0</v>
      </c>
      <c r="O3543" s="268">
        <f t="shared" si="829"/>
        <v>0</v>
      </c>
      <c r="P3543" s="239"/>
      <c r="Q3543" s="239"/>
      <c r="R3543" s="239"/>
      <c r="S3543" s="239"/>
      <c r="T3543" s="239"/>
      <c r="U3543" s="240"/>
      <c r="V3543" s="240"/>
      <c r="W3543" s="240"/>
      <c r="X3543" s="278"/>
      <c r="Y3543" s="237"/>
      <c r="Z3543" s="237"/>
      <c r="AA3543" s="279"/>
      <c r="AB3543" s="238"/>
      <c r="AC3543" s="196">
        <f t="shared" si="832"/>
        <v>0</v>
      </c>
      <c r="AD3543" s="196">
        <f t="shared" si="833"/>
        <v>0</v>
      </c>
      <c r="AE3543" s="196">
        <f t="shared" si="834"/>
        <v>0</v>
      </c>
      <c r="AF3543" s="2">
        <f t="shared" si="835"/>
        <v>0</v>
      </c>
      <c r="AG3543" s="2">
        <f t="shared" si="836"/>
        <v>0</v>
      </c>
    </row>
    <row r="3544" spans="1:33">
      <c r="A3544" s="20" t="s">
        <v>18917</v>
      </c>
      <c r="B3544" s="156"/>
      <c r="C3544" s="213" t="s">
        <v>18967</v>
      </c>
      <c r="D3544" s="109" t="s">
        <v>3958</v>
      </c>
      <c r="E3544" s="109" t="s">
        <v>18968</v>
      </c>
      <c r="F3544" s="391" t="s">
        <v>18981</v>
      </c>
      <c r="G3544" s="23" t="s">
        <v>16477</v>
      </c>
      <c r="H3544" s="23"/>
      <c r="I3544" s="23"/>
      <c r="J3544" s="23"/>
      <c r="K3544" s="23"/>
      <c r="L3544" s="375" t="s">
        <v>27429</v>
      </c>
      <c r="M3544" s="351"/>
      <c r="N3544" s="267">
        <f t="shared" si="828"/>
        <v>0</v>
      </c>
      <c r="O3544" s="268">
        <f t="shared" si="829"/>
        <v>100</v>
      </c>
      <c r="P3544" s="239"/>
      <c r="Q3544" s="239"/>
      <c r="R3544" s="239"/>
      <c r="S3544" s="239"/>
      <c r="T3544" s="239"/>
      <c r="U3544" s="240">
        <f>500-100-200-100+200-100-100</f>
        <v>100</v>
      </c>
      <c r="V3544" s="240"/>
      <c r="W3544" s="240"/>
      <c r="X3544" s="278"/>
      <c r="Y3544" s="240"/>
      <c r="Z3544" s="279"/>
      <c r="AA3544" s="445"/>
      <c r="AB3544" s="414" t="s">
        <v>27425</v>
      </c>
      <c r="AC3544" s="196">
        <f t="shared" si="832"/>
        <v>100</v>
      </c>
      <c r="AD3544" s="196">
        <f t="shared" si="833"/>
        <v>100</v>
      </c>
      <c r="AE3544" s="196">
        <f t="shared" si="834"/>
        <v>0</v>
      </c>
      <c r="AF3544" s="2">
        <f t="shared" si="835"/>
        <v>100</v>
      </c>
      <c r="AG3544" s="2">
        <f t="shared" si="836"/>
        <v>0</v>
      </c>
    </row>
    <row r="3545" spans="1:33">
      <c r="A3545" s="20" t="s">
        <v>18678</v>
      </c>
      <c r="B3545" s="156"/>
      <c r="C3545" s="21" t="s">
        <v>18665</v>
      </c>
      <c r="D3545" s="109" t="s">
        <v>5979</v>
      </c>
      <c r="E3545" s="109"/>
      <c r="F3545" s="391" t="s">
        <v>18689</v>
      </c>
      <c r="G3545" s="23" t="s">
        <v>18664</v>
      </c>
      <c r="H3545" s="23"/>
      <c r="I3545" s="23"/>
      <c r="J3545" s="23"/>
      <c r="K3545" s="23"/>
      <c r="L3545" s="375" t="s">
        <v>7787</v>
      </c>
      <c r="M3545" s="351"/>
      <c r="N3545" s="267">
        <f t="shared" ref="N3545:N3614" si="839">SUM(L3545:M3545)</f>
        <v>0</v>
      </c>
      <c r="O3545" s="268">
        <f t="shared" ref="O3545:O3614" si="840">SUM(P3545:Z3545)</f>
        <v>0</v>
      </c>
      <c r="P3545" s="239"/>
      <c r="Q3545" s="239"/>
      <c r="R3545" s="239"/>
      <c r="S3545" s="239"/>
      <c r="T3545" s="239"/>
      <c r="U3545" s="240"/>
      <c r="V3545" s="240"/>
      <c r="W3545" s="240"/>
      <c r="X3545" s="278"/>
      <c r="Y3545" s="237"/>
      <c r="Z3545" s="237"/>
      <c r="AA3545" s="279"/>
      <c r="AB3545" s="238"/>
      <c r="AC3545" s="196">
        <f t="shared" si="832"/>
        <v>0</v>
      </c>
      <c r="AD3545" s="196">
        <f t="shared" si="833"/>
        <v>0</v>
      </c>
      <c r="AE3545" s="196">
        <f t="shared" si="834"/>
        <v>0</v>
      </c>
      <c r="AF3545" s="2">
        <f t="shared" si="835"/>
        <v>0</v>
      </c>
      <c r="AG3545" s="2">
        <f t="shared" si="836"/>
        <v>0</v>
      </c>
    </row>
    <row r="3546" spans="1:33">
      <c r="A3546" s="20" t="s">
        <v>19962</v>
      </c>
      <c r="B3546" s="156"/>
      <c r="C3546" s="21" t="s">
        <v>18665</v>
      </c>
      <c r="D3546" s="109" t="s">
        <v>5979</v>
      </c>
      <c r="E3546" s="109" t="s">
        <v>20028</v>
      </c>
      <c r="F3546" s="391" t="s">
        <v>18689</v>
      </c>
      <c r="G3546" s="23" t="s">
        <v>15443</v>
      </c>
      <c r="H3546" s="23"/>
      <c r="I3546" s="23"/>
      <c r="J3546" s="23"/>
      <c r="K3546" s="23"/>
      <c r="L3546" s="375" t="s">
        <v>7787</v>
      </c>
      <c r="M3546" s="351" t="s">
        <v>7787</v>
      </c>
      <c r="N3546" s="267">
        <f t="shared" si="839"/>
        <v>0</v>
      </c>
      <c r="O3546" s="268">
        <f t="shared" si="840"/>
        <v>0</v>
      </c>
      <c r="P3546" s="239"/>
      <c r="Q3546" s="239"/>
      <c r="R3546" s="239"/>
      <c r="S3546" s="239"/>
      <c r="T3546" s="239"/>
      <c r="U3546" s="240"/>
      <c r="V3546" s="240"/>
      <c r="W3546" s="240"/>
      <c r="X3546" s="278"/>
      <c r="Y3546" s="237"/>
      <c r="Z3546" s="237"/>
      <c r="AA3546" s="279"/>
      <c r="AB3546" s="238"/>
      <c r="AC3546" s="196">
        <f t="shared" si="832"/>
        <v>0</v>
      </c>
      <c r="AD3546" s="196">
        <f t="shared" si="833"/>
        <v>0</v>
      </c>
      <c r="AE3546" s="196">
        <f t="shared" si="834"/>
        <v>0</v>
      </c>
      <c r="AF3546" s="2">
        <f t="shared" si="835"/>
        <v>0</v>
      </c>
      <c r="AG3546" s="2">
        <f t="shared" si="836"/>
        <v>0</v>
      </c>
    </row>
    <row r="3547" spans="1:33">
      <c r="A3547" s="20" t="s">
        <v>26395</v>
      </c>
      <c r="B3547" s="156"/>
      <c r="C3547" s="21" t="s">
        <v>26596</v>
      </c>
      <c r="D3547" s="109" t="s">
        <v>3137</v>
      </c>
      <c r="E3547" s="109"/>
      <c r="F3547" s="391" t="s">
        <v>26600</v>
      </c>
      <c r="G3547" s="23" t="s">
        <v>26599</v>
      </c>
      <c r="H3547" s="23"/>
      <c r="I3547" s="23"/>
      <c r="J3547" s="23"/>
      <c r="K3547" s="23"/>
      <c r="L3547" s="375" t="s">
        <v>45</v>
      </c>
      <c r="M3547" s="351"/>
      <c r="N3547" s="267">
        <f t="shared" ref="N3547" si="841">SUM(L3547:M3547)</f>
        <v>0</v>
      </c>
      <c r="O3547" s="268">
        <f t="shared" ref="O3547" si="842">SUM(P3547:Z3547)</f>
        <v>100</v>
      </c>
      <c r="P3547" s="239"/>
      <c r="Q3547" s="239"/>
      <c r="R3547" s="239"/>
      <c r="S3547" s="239"/>
      <c r="T3547" s="239"/>
      <c r="U3547" s="240">
        <f>300-200</f>
        <v>100</v>
      </c>
      <c r="V3547" s="240"/>
      <c r="W3547" s="240"/>
      <c r="X3547" s="278"/>
      <c r="Y3547" s="237"/>
      <c r="Z3547" s="237"/>
      <c r="AA3547" s="279"/>
      <c r="AB3547" s="238" t="s">
        <v>26601</v>
      </c>
      <c r="AC3547" s="196">
        <f t="shared" si="832"/>
        <v>100</v>
      </c>
      <c r="AD3547" s="196">
        <f t="shared" si="833"/>
        <v>100</v>
      </c>
      <c r="AE3547" s="196">
        <f t="shared" si="834"/>
        <v>0</v>
      </c>
      <c r="AF3547" s="2">
        <f t="shared" si="835"/>
        <v>100</v>
      </c>
      <c r="AG3547" s="2">
        <f t="shared" si="836"/>
        <v>0</v>
      </c>
    </row>
    <row r="3548" spans="1:33">
      <c r="A3548" s="20" t="s">
        <v>18679</v>
      </c>
      <c r="B3548" s="156"/>
      <c r="C3548" s="21" t="s">
        <v>18666</v>
      </c>
      <c r="D3548" s="109" t="s">
        <v>5979</v>
      </c>
      <c r="E3548" s="109"/>
      <c r="F3548" s="391" t="s">
        <v>18690</v>
      </c>
      <c r="G3548" s="23" t="s">
        <v>18664</v>
      </c>
      <c r="H3548" s="23"/>
      <c r="I3548" s="23"/>
      <c r="J3548" s="23"/>
      <c r="K3548" s="23"/>
      <c r="L3548" s="375" t="s">
        <v>7787</v>
      </c>
      <c r="M3548" s="351" t="s">
        <v>7787</v>
      </c>
      <c r="N3548" s="267">
        <f t="shared" si="839"/>
        <v>0</v>
      </c>
      <c r="O3548" s="268">
        <f t="shared" si="840"/>
        <v>0</v>
      </c>
      <c r="P3548" s="239"/>
      <c r="Q3548" s="239"/>
      <c r="R3548" s="239"/>
      <c r="S3548" s="239"/>
      <c r="T3548" s="239"/>
      <c r="U3548" s="240"/>
      <c r="V3548" s="240"/>
      <c r="W3548" s="240"/>
      <c r="X3548" s="278"/>
      <c r="Y3548" s="237"/>
      <c r="Z3548" s="237"/>
      <c r="AA3548" s="279"/>
      <c r="AB3548" s="238"/>
      <c r="AC3548" s="196">
        <f t="shared" si="832"/>
        <v>0</v>
      </c>
      <c r="AD3548" s="196">
        <f t="shared" si="833"/>
        <v>0</v>
      </c>
      <c r="AE3548" s="196">
        <f t="shared" si="834"/>
        <v>0</v>
      </c>
      <c r="AF3548" s="2">
        <f t="shared" si="835"/>
        <v>0</v>
      </c>
      <c r="AG3548" s="2">
        <f t="shared" si="836"/>
        <v>0</v>
      </c>
    </row>
    <row r="3549" spans="1:33">
      <c r="A3549" s="20" t="s">
        <v>18680</v>
      </c>
      <c r="B3549" s="156"/>
      <c r="C3549" s="21" t="s">
        <v>18663</v>
      </c>
      <c r="D3549" s="109" t="s">
        <v>5979</v>
      </c>
      <c r="E3549" s="109"/>
      <c r="F3549" s="391" t="s">
        <v>17295</v>
      </c>
      <c r="G3549" s="23" t="s">
        <v>18664</v>
      </c>
      <c r="H3549" s="23"/>
      <c r="I3549" s="23"/>
      <c r="J3549" s="23"/>
      <c r="K3549" s="23"/>
      <c r="L3549" s="375" t="s">
        <v>7787</v>
      </c>
      <c r="M3549" s="351" t="s">
        <v>7787</v>
      </c>
      <c r="N3549" s="267">
        <f t="shared" si="839"/>
        <v>0</v>
      </c>
      <c r="O3549" s="268">
        <f t="shared" si="840"/>
        <v>0</v>
      </c>
      <c r="P3549" s="239"/>
      <c r="Q3549" s="239"/>
      <c r="R3549" s="239"/>
      <c r="S3549" s="239"/>
      <c r="T3549" s="239"/>
      <c r="U3549" s="240"/>
      <c r="V3549" s="240"/>
      <c r="W3549" s="240"/>
      <c r="X3549" s="278"/>
      <c r="Y3549" s="240"/>
      <c r="Z3549" s="237"/>
      <c r="AA3549" s="279"/>
      <c r="AB3549" s="238"/>
      <c r="AC3549" s="196">
        <f t="shared" si="832"/>
        <v>0</v>
      </c>
      <c r="AD3549" s="196">
        <f t="shared" si="833"/>
        <v>0</v>
      </c>
      <c r="AE3549" s="196">
        <f t="shared" si="834"/>
        <v>0</v>
      </c>
      <c r="AF3549" s="2">
        <f t="shared" si="835"/>
        <v>0</v>
      </c>
      <c r="AG3549" s="2">
        <f t="shared" si="836"/>
        <v>0</v>
      </c>
    </row>
    <row r="3550" spans="1:33">
      <c r="A3550" s="20" t="s">
        <v>22899</v>
      </c>
      <c r="B3550" s="156"/>
      <c r="C3550" s="21" t="s">
        <v>22938</v>
      </c>
      <c r="D3550" s="109" t="s">
        <v>5979</v>
      </c>
      <c r="E3550" s="109"/>
      <c r="F3550" s="391" t="s">
        <v>17295</v>
      </c>
      <c r="G3550" s="23" t="s">
        <v>15443</v>
      </c>
      <c r="H3550" s="23"/>
      <c r="I3550" s="23"/>
      <c r="J3550" s="23"/>
      <c r="K3550" s="23"/>
      <c r="L3550" s="375"/>
      <c r="M3550" s="351"/>
      <c r="N3550" s="267">
        <f t="shared" si="839"/>
        <v>0</v>
      </c>
      <c r="O3550" s="268">
        <f t="shared" si="840"/>
        <v>600</v>
      </c>
      <c r="P3550" s="239"/>
      <c r="Q3550" s="239"/>
      <c r="R3550" s="239"/>
      <c r="S3550" s="239"/>
      <c r="T3550" s="239"/>
      <c r="U3550" s="240"/>
      <c r="V3550" s="240">
        <f>2500+1700-3600+800+1700+3500+900-3600-3600+2500+1200-3600+3800-3600</f>
        <v>600</v>
      </c>
      <c r="W3550" s="240"/>
      <c r="X3550" s="278"/>
      <c r="Y3550" s="240"/>
      <c r="Z3550" s="237"/>
      <c r="AA3550" s="279"/>
      <c r="AB3550" s="238" t="s">
        <v>27715</v>
      </c>
      <c r="AC3550" s="196">
        <f t="shared" si="832"/>
        <v>600</v>
      </c>
      <c r="AD3550" s="196">
        <f t="shared" si="833"/>
        <v>600</v>
      </c>
      <c r="AE3550" s="196">
        <f t="shared" si="834"/>
        <v>0</v>
      </c>
      <c r="AF3550" s="2">
        <f t="shared" si="835"/>
        <v>600</v>
      </c>
      <c r="AG3550" s="2">
        <f t="shared" si="836"/>
        <v>0</v>
      </c>
    </row>
    <row r="3551" spans="1:33">
      <c r="A3551" s="20" t="s">
        <v>19963</v>
      </c>
      <c r="B3551" s="156"/>
      <c r="C3551" s="21" t="s">
        <v>18663</v>
      </c>
      <c r="D3551" s="109" t="s">
        <v>5979</v>
      </c>
      <c r="E3551" s="109" t="s">
        <v>20049</v>
      </c>
      <c r="F3551" s="391" t="s">
        <v>17295</v>
      </c>
      <c r="G3551" s="23" t="s">
        <v>15443</v>
      </c>
      <c r="H3551" s="23"/>
      <c r="I3551" s="23"/>
      <c r="J3551" s="23"/>
      <c r="K3551" s="23"/>
      <c r="L3551" s="375" t="s">
        <v>7787</v>
      </c>
      <c r="M3551" s="351"/>
      <c r="N3551" s="267">
        <f t="shared" si="839"/>
        <v>0</v>
      </c>
      <c r="O3551" s="268">
        <f t="shared" si="840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7"/>
      <c r="Z3551" s="237"/>
      <c r="AA3551" s="279"/>
      <c r="AB3551" s="238"/>
      <c r="AC3551" s="196">
        <f t="shared" si="832"/>
        <v>0</v>
      </c>
      <c r="AD3551" s="196">
        <f t="shared" si="833"/>
        <v>0</v>
      </c>
      <c r="AE3551" s="196">
        <f t="shared" si="834"/>
        <v>0</v>
      </c>
      <c r="AF3551" s="2">
        <f t="shared" si="835"/>
        <v>0</v>
      </c>
      <c r="AG3551" s="2">
        <f t="shared" si="836"/>
        <v>0</v>
      </c>
    </row>
    <row r="3552" spans="1:33">
      <c r="A3552" s="20" t="s">
        <v>2843</v>
      </c>
      <c r="B3552" s="150"/>
      <c r="C3552" s="21" t="s">
        <v>842</v>
      </c>
      <c r="D3552" s="109" t="s">
        <v>15161</v>
      </c>
      <c r="E3552" s="109"/>
      <c r="F3552" s="391" t="s">
        <v>16816</v>
      </c>
      <c r="G3552" s="23" t="s">
        <v>15621</v>
      </c>
      <c r="H3552" s="23" t="s">
        <v>16385</v>
      </c>
      <c r="I3552" s="23"/>
      <c r="J3552" s="23"/>
      <c r="K3552" s="23"/>
      <c r="L3552" s="375" t="s">
        <v>7787</v>
      </c>
      <c r="M3552" s="351"/>
      <c r="N3552" s="267">
        <f t="shared" si="839"/>
        <v>0</v>
      </c>
      <c r="O3552" s="268">
        <f t="shared" si="840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7"/>
      <c r="Z3552" s="237"/>
      <c r="AA3552" s="279"/>
      <c r="AB3552" s="238"/>
      <c r="AC3552" s="196">
        <f t="shared" si="832"/>
        <v>0</v>
      </c>
      <c r="AD3552" s="196">
        <f t="shared" si="833"/>
        <v>0</v>
      </c>
      <c r="AE3552" s="196">
        <f t="shared" si="834"/>
        <v>0</v>
      </c>
      <c r="AF3552" s="2">
        <f t="shared" si="835"/>
        <v>0</v>
      </c>
      <c r="AG3552" s="2">
        <f t="shared" si="836"/>
        <v>0</v>
      </c>
    </row>
    <row r="3553" spans="1:33">
      <c r="A3553" s="20" t="s">
        <v>2842</v>
      </c>
      <c r="B3553" s="156"/>
      <c r="C3553" s="21" t="s">
        <v>842</v>
      </c>
      <c r="D3553" s="109" t="s">
        <v>15167</v>
      </c>
      <c r="E3553" s="109" t="s">
        <v>25862</v>
      </c>
      <c r="F3553" s="391" t="s">
        <v>16816</v>
      </c>
      <c r="G3553" s="23" t="s">
        <v>15621</v>
      </c>
      <c r="H3553" s="23" t="s">
        <v>16817</v>
      </c>
      <c r="I3553" s="23" t="s">
        <v>16468</v>
      </c>
      <c r="J3553" s="23" t="s">
        <v>24811</v>
      </c>
      <c r="K3553" s="23" t="s">
        <v>26573</v>
      </c>
      <c r="L3553" s="375"/>
      <c r="M3553" s="351" t="s">
        <v>45</v>
      </c>
      <c r="N3553" s="267">
        <f t="shared" si="839"/>
        <v>0</v>
      </c>
      <c r="O3553" s="268">
        <f t="shared" si="840"/>
        <v>0</v>
      </c>
      <c r="P3553" s="239"/>
      <c r="Q3553" s="239"/>
      <c r="R3553" s="239"/>
      <c r="S3553" s="239"/>
      <c r="T3553" s="239"/>
      <c r="U3553" s="240"/>
      <c r="V3553" s="240"/>
      <c r="W3553" s="240"/>
      <c r="X3553" s="278"/>
      <c r="Y3553" s="239"/>
      <c r="Z3553" s="237"/>
      <c r="AA3553" s="279"/>
      <c r="AB3553" s="238"/>
      <c r="AC3553" s="196">
        <f t="shared" si="832"/>
        <v>0</v>
      </c>
      <c r="AD3553" s="196">
        <f t="shared" si="833"/>
        <v>0</v>
      </c>
      <c r="AE3553" s="196">
        <f t="shared" si="834"/>
        <v>0</v>
      </c>
      <c r="AF3553" s="2">
        <f t="shared" si="835"/>
        <v>0</v>
      </c>
      <c r="AG3553" s="2">
        <f t="shared" si="836"/>
        <v>0</v>
      </c>
    </row>
    <row r="3554" spans="1:33">
      <c r="A3554" s="20" t="s">
        <v>2841</v>
      </c>
      <c r="B3554" s="156"/>
      <c r="C3554" s="21" t="s">
        <v>842</v>
      </c>
      <c r="D3554" s="109" t="s">
        <v>15167</v>
      </c>
      <c r="E3554" s="109" t="s">
        <v>25863</v>
      </c>
      <c r="F3554" s="391" t="s">
        <v>16816</v>
      </c>
      <c r="G3554" s="23" t="s">
        <v>15621</v>
      </c>
      <c r="H3554" s="23" t="s">
        <v>16817</v>
      </c>
      <c r="I3554" s="23" t="s">
        <v>16468</v>
      </c>
      <c r="J3554" s="23" t="s">
        <v>25861</v>
      </c>
      <c r="K3554" s="23" t="s">
        <v>24043</v>
      </c>
      <c r="L3554" s="375" t="s">
        <v>7787</v>
      </c>
      <c r="M3554" s="351" t="s">
        <v>7787</v>
      </c>
      <c r="N3554" s="267">
        <f t="shared" si="839"/>
        <v>0</v>
      </c>
      <c r="O3554" s="268">
        <f t="shared" si="840"/>
        <v>0</v>
      </c>
      <c r="P3554" s="239"/>
      <c r="Q3554" s="239"/>
      <c r="R3554" s="239"/>
      <c r="S3554" s="239"/>
      <c r="T3554" s="239"/>
      <c r="U3554" s="240"/>
      <c r="V3554" s="240"/>
      <c r="W3554" s="240"/>
      <c r="X3554" s="278"/>
      <c r="Y3554" s="237"/>
      <c r="Z3554" s="237"/>
      <c r="AA3554" s="279"/>
      <c r="AB3554" s="238"/>
      <c r="AC3554" s="196">
        <f t="shared" si="832"/>
        <v>0</v>
      </c>
      <c r="AD3554" s="196">
        <f t="shared" si="833"/>
        <v>0</v>
      </c>
      <c r="AE3554" s="196">
        <f t="shared" si="834"/>
        <v>0</v>
      </c>
      <c r="AF3554" s="2">
        <f t="shared" si="835"/>
        <v>0</v>
      </c>
      <c r="AG3554" s="2">
        <f t="shared" si="836"/>
        <v>0</v>
      </c>
    </row>
    <row r="3555" spans="1:33">
      <c r="A3555" s="20" t="s">
        <v>26261</v>
      </c>
      <c r="B3555" s="156"/>
      <c r="C3555" s="21" t="s">
        <v>842</v>
      </c>
      <c r="D3555" s="109" t="s">
        <v>5790</v>
      </c>
      <c r="E3555" s="219" t="s">
        <v>6737</v>
      </c>
      <c r="F3555" s="391" t="s">
        <v>5215</v>
      </c>
      <c r="G3555" s="23" t="s">
        <v>13271</v>
      </c>
      <c r="H3555" s="23" t="s">
        <v>24869</v>
      </c>
      <c r="I3555" s="23" t="s">
        <v>25861</v>
      </c>
      <c r="J3555" s="23"/>
      <c r="K3555" s="23"/>
      <c r="L3555" s="375" t="s">
        <v>45</v>
      </c>
      <c r="M3555" s="351" t="s">
        <v>45</v>
      </c>
      <c r="N3555" s="267">
        <f t="shared" ref="N3555" si="843">SUM(L3555:M3555)</f>
        <v>0</v>
      </c>
      <c r="O3555" s="268">
        <f t="shared" ref="O3555" si="844">SUM(P3555:Z3555)</f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32"/>
        <v>0</v>
      </c>
      <c r="AD3555" s="196">
        <f t="shared" si="833"/>
        <v>0</v>
      </c>
      <c r="AE3555" s="196">
        <f t="shared" si="834"/>
        <v>0</v>
      </c>
      <c r="AF3555" s="2">
        <f t="shared" si="835"/>
        <v>0</v>
      </c>
      <c r="AG3555" s="2">
        <f t="shared" si="836"/>
        <v>0</v>
      </c>
    </row>
    <row r="3556" spans="1:33">
      <c r="A3556" s="20" t="s">
        <v>12645</v>
      </c>
      <c r="B3556" s="156"/>
      <c r="C3556" s="21" t="s">
        <v>842</v>
      </c>
      <c r="D3556" s="109" t="s">
        <v>16819</v>
      </c>
      <c r="E3556" s="109" t="s">
        <v>16820</v>
      </c>
      <c r="F3556" s="391" t="s">
        <v>16821</v>
      </c>
      <c r="G3556" s="23"/>
      <c r="H3556" s="23"/>
      <c r="I3556" s="23"/>
      <c r="J3556" s="23"/>
      <c r="K3556" s="23"/>
      <c r="L3556" s="375" t="s">
        <v>7787</v>
      </c>
      <c r="M3556" s="351"/>
      <c r="N3556" s="267">
        <f t="shared" si="839"/>
        <v>0</v>
      </c>
      <c r="O3556" s="268">
        <f t="shared" si="840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32"/>
        <v>0</v>
      </c>
      <c r="AD3556" s="196">
        <f t="shared" si="833"/>
        <v>0</v>
      </c>
      <c r="AE3556" s="196">
        <f t="shared" si="834"/>
        <v>0</v>
      </c>
      <c r="AF3556" s="2">
        <f t="shared" si="835"/>
        <v>0</v>
      </c>
      <c r="AG3556" s="2">
        <f t="shared" si="836"/>
        <v>0</v>
      </c>
    </row>
    <row r="3557" spans="1:33">
      <c r="A3557" s="20" t="s">
        <v>18682</v>
      </c>
      <c r="B3557" s="156"/>
      <c r="C3557" s="21" t="s">
        <v>18667</v>
      </c>
      <c r="D3557" s="109" t="s">
        <v>5979</v>
      </c>
      <c r="E3557" s="109"/>
      <c r="F3557" s="391" t="s">
        <v>18691</v>
      </c>
      <c r="G3557" s="23" t="s">
        <v>18664</v>
      </c>
      <c r="H3557" s="23"/>
      <c r="I3557" s="23"/>
      <c r="J3557" s="23"/>
      <c r="K3557" s="23"/>
      <c r="L3557" s="375" t="s">
        <v>7787</v>
      </c>
      <c r="M3557" s="351" t="s">
        <v>7787</v>
      </c>
      <c r="N3557" s="267">
        <f t="shared" si="839"/>
        <v>0</v>
      </c>
      <c r="O3557" s="268">
        <f t="shared" si="840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32"/>
        <v>0</v>
      </c>
      <c r="AD3557" s="196">
        <f t="shared" si="833"/>
        <v>0</v>
      </c>
      <c r="AE3557" s="196">
        <f t="shared" si="834"/>
        <v>0</v>
      </c>
      <c r="AF3557" s="2">
        <f t="shared" si="835"/>
        <v>0</v>
      </c>
      <c r="AG3557" s="2">
        <f t="shared" si="836"/>
        <v>0</v>
      </c>
    </row>
    <row r="3558" spans="1:33">
      <c r="A3558" s="20" t="s">
        <v>18683</v>
      </c>
      <c r="B3558" s="156"/>
      <c r="C3558" s="21" t="s">
        <v>18622</v>
      </c>
      <c r="D3558" s="109" t="s">
        <v>18623</v>
      </c>
      <c r="E3558" s="109"/>
      <c r="F3558" s="391" t="s">
        <v>18692</v>
      </c>
      <c r="G3558" s="23" t="s">
        <v>18624</v>
      </c>
      <c r="H3558" s="23" t="s">
        <v>13888</v>
      </c>
      <c r="I3558" s="23"/>
      <c r="J3558" s="23"/>
      <c r="K3558" s="23"/>
      <c r="L3558" s="375" t="s">
        <v>7787</v>
      </c>
      <c r="M3558" s="351"/>
      <c r="N3558" s="267">
        <f t="shared" si="839"/>
        <v>0</v>
      </c>
      <c r="O3558" s="268">
        <f t="shared" si="840"/>
        <v>0</v>
      </c>
      <c r="P3558" s="239"/>
      <c r="Q3558" s="239"/>
      <c r="R3558" s="239"/>
      <c r="S3558" s="239"/>
      <c r="T3558" s="239"/>
      <c r="U3558" s="240"/>
      <c r="V3558" s="244"/>
      <c r="W3558" s="240"/>
      <c r="X3558" s="278"/>
      <c r="Y3558" s="237"/>
      <c r="Z3558" s="237"/>
      <c r="AA3558" s="279"/>
      <c r="AB3558" s="238"/>
      <c r="AC3558" s="196">
        <f t="shared" si="832"/>
        <v>0</v>
      </c>
      <c r="AD3558" s="196">
        <f t="shared" si="833"/>
        <v>0</v>
      </c>
      <c r="AE3558" s="196">
        <f t="shared" si="834"/>
        <v>0</v>
      </c>
      <c r="AF3558" s="2">
        <f t="shared" si="835"/>
        <v>0</v>
      </c>
      <c r="AG3558" s="2">
        <f t="shared" si="836"/>
        <v>0</v>
      </c>
    </row>
    <row r="3559" spans="1:33">
      <c r="A3559" s="20" t="s">
        <v>19928</v>
      </c>
      <c r="B3559" s="156"/>
      <c r="C3559" s="21" t="s">
        <v>19704</v>
      </c>
      <c r="D3559" s="109" t="s">
        <v>3137</v>
      </c>
      <c r="E3559" s="109" t="s">
        <v>19705</v>
      </c>
      <c r="F3559" s="391" t="s">
        <v>19724</v>
      </c>
      <c r="G3559" s="23" t="s">
        <v>13888</v>
      </c>
      <c r="H3559" s="23"/>
      <c r="I3559" s="23"/>
      <c r="J3559" s="23"/>
      <c r="K3559" s="23"/>
      <c r="L3559" s="375"/>
      <c r="M3559" s="351"/>
      <c r="N3559" s="267">
        <f t="shared" si="839"/>
        <v>0</v>
      </c>
      <c r="O3559" s="268">
        <f t="shared" si="840"/>
        <v>0</v>
      </c>
      <c r="P3559" s="239"/>
      <c r="Q3559" s="239"/>
      <c r="R3559" s="239"/>
      <c r="S3559" s="239"/>
      <c r="T3559" s="239"/>
      <c r="U3559" s="240"/>
      <c r="V3559" s="244"/>
      <c r="W3559" s="240"/>
      <c r="X3559" s="278"/>
      <c r="Y3559" s="237"/>
      <c r="Z3559" s="237"/>
      <c r="AA3559" s="279"/>
      <c r="AB3559" s="238"/>
      <c r="AC3559" s="196">
        <f t="shared" si="832"/>
        <v>0</v>
      </c>
      <c r="AD3559" s="196">
        <f t="shared" si="833"/>
        <v>0</v>
      </c>
      <c r="AE3559" s="196">
        <f t="shared" si="834"/>
        <v>0</v>
      </c>
      <c r="AF3559" s="2">
        <f t="shared" si="835"/>
        <v>0</v>
      </c>
      <c r="AG3559" s="2">
        <f t="shared" si="836"/>
        <v>0</v>
      </c>
    </row>
    <row r="3560" spans="1:33">
      <c r="A3560" s="20" t="s">
        <v>18898</v>
      </c>
      <c r="B3560" s="156"/>
      <c r="C3560" s="21" t="s">
        <v>18809</v>
      </c>
      <c r="D3560" s="109" t="s">
        <v>3137</v>
      </c>
      <c r="E3560" s="109"/>
      <c r="F3560" s="391" t="s">
        <v>18920</v>
      </c>
      <c r="G3560" s="23" t="s">
        <v>13301</v>
      </c>
      <c r="H3560" s="23" t="s">
        <v>23922</v>
      </c>
      <c r="I3560" s="23"/>
      <c r="J3560" s="23"/>
      <c r="K3560" s="23"/>
      <c r="L3560" s="375" t="s">
        <v>7787</v>
      </c>
      <c r="M3560" s="351" t="s">
        <v>7787</v>
      </c>
      <c r="N3560" s="267">
        <f t="shared" si="839"/>
        <v>0</v>
      </c>
      <c r="O3560" s="268">
        <f t="shared" si="840"/>
        <v>0</v>
      </c>
      <c r="P3560" s="239"/>
      <c r="Q3560" s="239"/>
      <c r="R3560" s="240"/>
      <c r="S3560" s="239"/>
      <c r="T3560" s="239"/>
      <c r="U3560" s="240"/>
      <c r="V3560" s="244"/>
      <c r="W3560" s="240"/>
      <c r="X3560" s="278"/>
      <c r="Y3560" s="240"/>
      <c r="Z3560" s="237"/>
      <c r="AA3560" s="279"/>
      <c r="AB3560" s="238"/>
      <c r="AC3560" s="196">
        <f t="shared" si="832"/>
        <v>0</v>
      </c>
      <c r="AD3560" s="196">
        <f t="shared" si="833"/>
        <v>0</v>
      </c>
      <c r="AE3560" s="196">
        <f t="shared" si="834"/>
        <v>0</v>
      </c>
      <c r="AF3560" s="2">
        <f t="shared" si="835"/>
        <v>0</v>
      </c>
      <c r="AG3560" s="2">
        <f t="shared" si="836"/>
        <v>0</v>
      </c>
    </row>
    <row r="3561" spans="1:33">
      <c r="A3561" s="20" t="s">
        <v>18911</v>
      </c>
      <c r="B3561" s="156"/>
      <c r="C3561" s="21" t="s">
        <v>18893</v>
      </c>
      <c r="D3561" s="109" t="s">
        <v>3958</v>
      </c>
      <c r="E3561" s="109" t="s">
        <v>18968</v>
      </c>
      <c r="F3561" s="391" t="s">
        <v>18980</v>
      </c>
      <c r="G3561" s="23" t="s">
        <v>18894</v>
      </c>
      <c r="H3561" s="23"/>
      <c r="I3561" s="23"/>
      <c r="J3561" s="23"/>
      <c r="K3561" s="23"/>
      <c r="L3561" s="375" t="s">
        <v>7787</v>
      </c>
      <c r="M3561" s="351" t="s">
        <v>7787</v>
      </c>
      <c r="N3561" s="267">
        <f t="shared" si="839"/>
        <v>0</v>
      </c>
      <c r="O3561" s="268">
        <f t="shared" si="840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40"/>
      <c r="Z3561" s="237"/>
      <c r="AA3561" s="279"/>
      <c r="AB3561" s="238"/>
      <c r="AC3561" s="196">
        <f t="shared" si="832"/>
        <v>0</v>
      </c>
      <c r="AD3561" s="196">
        <f t="shared" si="833"/>
        <v>0</v>
      </c>
      <c r="AE3561" s="196">
        <f t="shared" si="834"/>
        <v>0</v>
      </c>
      <c r="AF3561" s="2">
        <f t="shared" si="835"/>
        <v>0</v>
      </c>
      <c r="AG3561" s="2">
        <f t="shared" si="836"/>
        <v>0</v>
      </c>
    </row>
    <row r="3562" spans="1:33">
      <c r="A3562" s="20" t="s">
        <v>19929</v>
      </c>
      <c r="B3562" s="156"/>
      <c r="C3562" s="21" t="s">
        <v>20362</v>
      </c>
      <c r="D3562" s="109" t="s">
        <v>7960</v>
      </c>
      <c r="E3562" s="109"/>
      <c r="F3562" s="391" t="s">
        <v>19869</v>
      </c>
      <c r="G3562" s="23" t="s">
        <v>19860</v>
      </c>
      <c r="H3562" s="23"/>
      <c r="I3562" s="23"/>
      <c r="J3562" s="23"/>
      <c r="K3562" s="23"/>
      <c r="L3562" s="375" t="s">
        <v>7787</v>
      </c>
      <c r="M3562" s="351"/>
      <c r="N3562" s="267">
        <f t="shared" si="839"/>
        <v>0</v>
      </c>
      <c r="O3562" s="268">
        <f t="shared" si="840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32"/>
        <v>0</v>
      </c>
      <c r="AD3562" s="196">
        <f t="shared" si="833"/>
        <v>0</v>
      </c>
      <c r="AE3562" s="196">
        <f t="shared" si="834"/>
        <v>0</v>
      </c>
      <c r="AF3562" s="2">
        <f t="shared" si="835"/>
        <v>0</v>
      </c>
      <c r="AG3562" s="2">
        <f t="shared" si="836"/>
        <v>0</v>
      </c>
    </row>
    <row r="3563" spans="1:33">
      <c r="A3563" s="20" t="s">
        <v>20240</v>
      </c>
      <c r="B3563" s="156"/>
      <c r="C3563" s="21" t="s">
        <v>20363</v>
      </c>
      <c r="D3563" s="109" t="s">
        <v>7960</v>
      </c>
      <c r="E3563" s="109"/>
      <c r="F3563" s="391" t="s">
        <v>19869</v>
      </c>
      <c r="G3563" s="23" t="s">
        <v>13581</v>
      </c>
      <c r="H3563" s="23"/>
      <c r="I3563" s="23"/>
      <c r="J3563" s="23"/>
      <c r="K3563" s="23"/>
      <c r="L3563" s="375" t="s">
        <v>7787</v>
      </c>
      <c r="M3563" s="351"/>
      <c r="N3563" s="267">
        <f t="shared" si="839"/>
        <v>0</v>
      </c>
      <c r="O3563" s="268">
        <f t="shared" si="840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32"/>
        <v>0</v>
      </c>
      <c r="AD3563" s="196">
        <f t="shared" si="833"/>
        <v>0</v>
      </c>
      <c r="AE3563" s="196">
        <f t="shared" si="834"/>
        <v>0</v>
      </c>
      <c r="AF3563" s="2">
        <f t="shared" si="835"/>
        <v>0</v>
      </c>
      <c r="AG3563" s="2">
        <f t="shared" si="836"/>
        <v>0</v>
      </c>
    </row>
    <row r="3564" spans="1:33">
      <c r="A3564" s="20" t="s">
        <v>19930</v>
      </c>
      <c r="B3564" s="156"/>
      <c r="C3564" s="21" t="s">
        <v>19760</v>
      </c>
      <c r="D3564" s="109" t="s">
        <v>3958</v>
      </c>
      <c r="E3564" s="109" t="s">
        <v>19761</v>
      </c>
      <c r="F3564" s="391" t="s">
        <v>19951</v>
      </c>
      <c r="G3564" s="23" t="s">
        <v>19762</v>
      </c>
      <c r="H3564" s="23"/>
      <c r="I3564" s="23"/>
      <c r="J3564" s="23"/>
      <c r="K3564" s="23"/>
      <c r="L3564" s="375" t="s">
        <v>7787</v>
      </c>
      <c r="M3564" s="351"/>
      <c r="N3564" s="267">
        <f t="shared" si="839"/>
        <v>0</v>
      </c>
      <c r="O3564" s="268">
        <f t="shared" si="840"/>
        <v>0</v>
      </c>
      <c r="P3564" s="239"/>
      <c r="Q3564" s="239"/>
      <c r="R3564" s="239"/>
      <c r="S3564" s="239"/>
      <c r="T3564" s="239"/>
      <c r="U3564" s="240"/>
      <c r="V3564" s="244"/>
      <c r="W3564" s="240"/>
      <c r="X3564" s="278"/>
      <c r="Y3564" s="237"/>
      <c r="Z3564" s="237"/>
      <c r="AA3564" s="279"/>
      <c r="AB3564" s="238"/>
      <c r="AC3564" s="196">
        <f t="shared" si="832"/>
        <v>0</v>
      </c>
      <c r="AD3564" s="196">
        <f t="shared" si="833"/>
        <v>0</v>
      </c>
      <c r="AE3564" s="196">
        <f t="shared" si="834"/>
        <v>0</v>
      </c>
      <c r="AF3564" s="2">
        <f t="shared" si="835"/>
        <v>0</v>
      </c>
      <c r="AG3564" s="2">
        <f t="shared" si="836"/>
        <v>0</v>
      </c>
    </row>
    <row r="3565" spans="1:33">
      <c r="A3565" s="20" t="s">
        <v>18912</v>
      </c>
      <c r="B3565" s="156"/>
      <c r="C3565" s="21" t="s">
        <v>18970</v>
      </c>
      <c r="D3565" s="109" t="s">
        <v>3137</v>
      </c>
      <c r="E3565" s="109"/>
      <c r="F3565" s="391" t="s">
        <v>18979</v>
      </c>
      <c r="G3565" s="23" t="s">
        <v>6133</v>
      </c>
      <c r="H3565" s="23" t="s">
        <v>16630</v>
      </c>
      <c r="I3565" s="23" t="s">
        <v>13934</v>
      </c>
      <c r="J3565" s="23"/>
      <c r="K3565" s="23"/>
      <c r="L3565" s="375"/>
      <c r="M3565" s="351"/>
      <c r="N3565" s="267">
        <f t="shared" si="839"/>
        <v>0</v>
      </c>
      <c r="O3565" s="268">
        <f t="shared" si="840"/>
        <v>0</v>
      </c>
      <c r="P3565" s="239"/>
      <c r="Q3565" s="239"/>
      <c r="R3565" s="239"/>
      <c r="S3565" s="239"/>
      <c r="T3565" s="239"/>
      <c r="U3565" s="240"/>
      <c r="V3565" s="244"/>
      <c r="W3565" s="240"/>
      <c r="X3565" s="278"/>
      <c r="Y3565" s="237"/>
      <c r="Z3565" s="237"/>
      <c r="AA3565" s="279"/>
      <c r="AB3565" s="238"/>
      <c r="AC3565" s="196">
        <f t="shared" si="832"/>
        <v>0</v>
      </c>
      <c r="AD3565" s="196">
        <f t="shared" si="833"/>
        <v>0</v>
      </c>
      <c r="AE3565" s="196">
        <f t="shared" si="834"/>
        <v>0</v>
      </c>
      <c r="AF3565" s="2">
        <f t="shared" si="835"/>
        <v>0</v>
      </c>
      <c r="AG3565" s="2">
        <f t="shared" si="836"/>
        <v>0</v>
      </c>
    </row>
    <row r="3566" spans="1:33">
      <c r="A3566" s="20" t="s">
        <v>19931</v>
      </c>
      <c r="B3566" s="156"/>
      <c r="C3566" s="21" t="s">
        <v>19539</v>
      </c>
      <c r="D3566" s="109" t="s">
        <v>3137</v>
      </c>
      <c r="E3566" s="109"/>
      <c r="F3566" s="391" t="s">
        <v>19563</v>
      </c>
      <c r="G3566" s="23" t="s">
        <v>19540</v>
      </c>
      <c r="H3566" s="23" t="s">
        <v>14782</v>
      </c>
      <c r="I3566" s="23" t="s">
        <v>13214</v>
      </c>
      <c r="J3566" s="23"/>
      <c r="K3566" s="23"/>
      <c r="L3566" s="375" t="s">
        <v>7787</v>
      </c>
      <c r="M3566" s="351" t="s">
        <v>7787</v>
      </c>
      <c r="N3566" s="267">
        <f t="shared" si="839"/>
        <v>0</v>
      </c>
      <c r="O3566" s="268">
        <f t="shared" si="840"/>
        <v>900</v>
      </c>
      <c r="P3566" s="239"/>
      <c r="Q3566" s="239"/>
      <c r="R3566" s="239"/>
      <c r="S3566" s="239"/>
      <c r="T3566" s="239">
        <f>5000-1000-3900+1000+4000-1200+2000-3000-2000</f>
        <v>900</v>
      </c>
      <c r="U3566" s="240"/>
      <c r="V3566" s="244"/>
      <c r="W3566" s="240"/>
      <c r="X3566" s="278"/>
      <c r="Y3566" s="237"/>
      <c r="Z3566" s="237"/>
      <c r="AA3566" s="279"/>
      <c r="AB3566" s="238" t="s">
        <v>27344</v>
      </c>
      <c r="AC3566" s="196">
        <f t="shared" si="832"/>
        <v>900</v>
      </c>
      <c r="AD3566" s="196">
        <f t="shared" si="833"/>
        <v>900</v>
      </c>
      <c r="AE3566" s="196">
        <f t="shared" si="834"/>
        <v>0</v>
      </c>
      <c r="AF3566" s="2">
        <f t="shared" si="835"/>
        <v>900</v>
      </c>
      <c r="AG3566" s="2">
        <f t="shared" si="836"/>
        <v>0</v>
      </c>
    </row>
    <row r="3567" spans="1:33">
      <c r="A3567" s="20" t="s">
        <v>19210</v>
      </c>
      <c r="B3567" s="156"/>
      <c r="C3567" s="21" t="s">
        <v>21060</v>
      </c>
      <c r="D3567" s="109" t="s">
        <v>3958</v>
      </c>
      <c r="E3567" s="109" t="s">
        <v>18968</v>
      </c>
      <c r="F3567" s="391" t="s">
        <v>19200</v>
      </c>
      <c r="G3567" s="23" t="s">
        <v>19188</v>
      </c>
      <c r="H3567" s="23" t="s">
        <v>24320</v>
      </c>
      <c r="I3567" s="23"/>
      <c r="J3567" s="23"/>
      <c r="K3567" s="23"/>
      <c r="L3567" s="375" t="s">
        <v>7787</v>
      </c>
      <c r="M3567" s="351" t="s">
        <v>7787</v>
      </c>
      <c r="N3567" s="267">
        <f t="shared" si="839"/>
        <v>0</v>
      </c>
      <c r="O3567" s="268">
        <f t="shared" si="840"/>
        <v>0</v>
      </c>
      <c r="P3567" s="239"/>
      <c r="Q3567" s="239"/>
      <c r="R3567" s="239"/>
      <c r="S3567" s="239"/>
      <c r="T3567" s="239"/>
      <c r="U3567" s="244"/>
      <c r="V3567" s="244"/>
      <c r="W3567" s="240"/>
      <c r="X3567" s="278"/>
      <c r="Y3567" s="240"/>
      <c r="Z3567" s="237"/>
      <c r="AA3567" s="279"/>
      <c r="AB3567" s="238"/>
      <c r="AC3567" s="196">
        <f t="shared" ref="AC3567:AC3630" si="845">SUM(P3567:AA3567)</f>
        <v>0</v>
      </c>
      <c r="AD3567" s="196">
        <f t="shared" ref="AD3567:AD3630" si="846">SUM(P3567:AB3567)</f>
        <v>0</v>
      </c>
      <c r="AE3567" s="196">
        <f t="shared" ref="AE3567:AE3630" si="847">SUM(AC3567-AD3567)</f>
        <v>0</v>
      </c>
      <c r="AF3567" s="2">
        <f t="shared" ref="AF3567:AF3630" si="848">+AC3567</f>
        <v>0</v>
      </c>
      <c r="AG3567" s="2">
        <f t="shared" ref="AG3567:AG3630" si="849">+AC3567-AF3567</f>
        <v>0</v>
      </c>
    </row>
    <row r="3568" spans="1:33">
      <c r="A3568" s="20" t="s">
        <v>21472</v>
      </c>
      <c r="B3568" s="156"/>
      <c r="C3568" s="21" t="s">
        <v>21061</v>
      </c>
      <c r="D3568" s="109" t="s">
        <v>3958</v>
      </c>
      <c r="E3568" s="109" t="s">
        <v>18968</v>
      </c>
      <c r="F3568" s="391" t="s">
        <v>19200</v>
      </c>
      <c r="G3568" s="23" t="s">
        <v>16333</v>
      </c>
      <c r="H3568" s="23"/>
      <c r="I3568" s="23"/>
      <c r="J3568" s="23"/>
      <c r="K3568" s="23"/>
      <c r="L3568" s="375" t="s">
        <v>7787</v>
      </c>
      <c r="M3568" s="351" t="s">
        <v>7787</v>
      </c>
      <c r="N3568" s="267">
        <f t="shared" si="839"/>
        <v>0</v>
      </c>
      <c r="O3568" s="268">
        <f t="shared" si="840"/>
        <v>21600</v>
      </c>
      <c r="P3568" s="239"/>
      <c r="Q3568" s="239"/>
      <c r="R3568" s="239"/>
      <c r="S3568" s="239"/>
      <c r="T3568" s="239"/>
      <c r="U3568" s="244">
        <f>3000+3000+3200+2900+3200+3100-2700+2800-4000-2700-5400-2700-2700+2800+3400+3000+1700-2700-1100-100-5400+3000+3000+3200+2600+2800+2700+3000-1300</f>
        <v>21600</v>
      </c>
      <c r="V3568" s="244"/>
      <c r="W3568" s="240"/>
      <c r="X3568" s="278"/>
      <c r="Y3568" s="240"/>
      <c r="Z3568" s="237"/>
      <c r="AA3568" s="279"/>
      <c r="AB3568" s="238" t="s">
        <v>25082</v>
      </c>
      <c r="AC3568" s="196">
        <f t="shared" si="845"/>
        <v>21600</v>
      </c>
      <c r="AD3568" s="196">
        <f t="shared" si="846"/>
        <v>21600</v>
      </c>
      <c r="AE3568" s="196">
        <f t="shared" si="847"/>
        <v>0</v>
      </c>
      <c r="AF3568" s="2">
        <f t="shared" si="848"/>
        <v>21600</v>
      </c>
      <c r="AG3568" s="2">
        <f t="shared" si="849"/>
        <v>0</v>
      </c>
    </row>
    <row r="3569" spans="1:33">
      <c r="A3569" s="20" t="s">
        <v>18915</v>
      </c>
      <c r="B3569" s="156"/>
      <c r="C3569" s="21" t="s">
        <v>19071</v>
      </c>
      <c r="D3569" s="109" t="s">
        <v>5979</v>
      </c>
      <c r="E3569" s="109" t="s">
        <v>19072</v>
      </c>
      <c r="F3569" s="391" t="s">
        <v>19120</v>
      </c>
      <c r="G3569" s="23" t="s">
        <v>13565</v>
      </c>
      <c r="H3569" s="23" t="s">
        <v>20327</v>
      </c>
      <c r="I3569" s="23"/>
      <c r="J3569" s="23"/>
      <c r="K3569" s="23"/>
      <c r="L3569" s="375" t="s">
        <v>7787</v>
      </c>
      <c r="M3569" s="351" t="s">
        <v>7787</v>
      </c>
      <c r="N3569" s="267">
        <f t="shared" si="839"/>
        <v>0</v>
      </c>
      <c r="O3569" s="268">
        <f t="shared" si="840"/>
        <v>0</v>
      </c>
      <c r="P3569" s="239"/>
      <c r="Q3569" s="239"/>
      <c r="R3569" s="239"/>
      <c r="S3569" s="239"/>
      <c r="T3569" s="239"/>
      <c r="U3569" s="244"/>
      <c r="V3569" s="244"/>
      <c r="W3569" s="240"/>
      <c r="X3569" s="278"/>
      <c r="Y3569" s="237"/>
      <c r="Z3569" s="237"/>
      <c r="AA3569" s="279"/>
      <c r="AB3569" s="238"/>
      <c r="AC3569" s="196">
        <f t="shared" si="845"/>
        <v>0</v>
      </c>
      <c r="AD3569" s="196">
        <f t="shared" si="846"/>
        <v>0</v>
      </c>
      <c r="AE3569" s="196">
        <f t="shared" si="847"/>
        <v>0</v>
      </c>
      <c r="AF3569" s="2">
        <f t="shared" si="848"/>
        <v>0</v>
      </c>
      <c r="AG3569" s="2">
        <f t="shared" si="849"/>
        <v>0</v>
      </c>
    </row>
    <row r="3570" spans="1:33">
      <c r="A3570" s="20" t="s">
        <v>21847</v>
      </c>
      <c r="B3570" s="156"/>
      <c r="C3570" s="21" t="s">
        <v>19071</v>
      </c>
      <c r="D3570" s="109" t="s">
        <v>5979</v>
      </c>
      <c r="E3570" s="109" t="s">
        <v>21883</v>
      </c>
      <c r="F3570" s="391" t="s">
        <v>19120</v>
      </c>
      <c r="G3570" s="23" t="s">
        <v>13565</v>
      </c>
      <c r="H3570" s="23"/>
      <c r="I3570" s="23"/>
      <c r="J3570" s="23"/>
      <c r="K3570" s="23"/>
      <c r="L3570" s="375" t="s">
        <v>7787</v>
      </c>
      <c r="M3570" s="351" t="s">
        <v>7787</v>
      </c>
      <c r="N3570" s="267">
        <f t="shared" si="839"/>
        <v>0</v>
      </c>
      <c r="O3570" s="268">
        <f t="shared" si="840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37"/>
      <c r="Z3570" s="237"/>
      <c r="AA3570" s="279"/>
      <c r="AB3570" s="238"/>
      <c r="AC3570" s="196">
        <f t="shared" si="845"/>
        <v>0</v>
      </c>
      <c r="AD3570" s="196">
        <f t="shared" si="846"/>
        <v>0</v>
      </c>
      <c r="AE3570" s="196">
        <f t="shared" si="847"/>
        <v>0</v>
      </c>
      <c r="AF3570" s="2">
        <f t="shared" si="848"/>
        <v>0</v>
      </c>
      <c r="AG3570" s="2">
        <f t="shared" si="849"/>
        <v>0</v>
      </c>
    </row>
    <row r="3571" spans="1:33">
      <c r="A3571" s="20" t="s">
        <v>19211</v>
      </c>
      <c r="B3571" s="156"/>
      <c r="C3571" s="21" t="s">
        <v>19258</v>
      </c>
      <c r="D3571" s="109" t="s">
        <v>5979</v>
      </c>
      <c r="E3571" s="109" t="s">
        <v>18968</v>
      </c>
      <c r="F3571" s="391" t="s">
        <v>19120</v>
      </c>
      <c r="G3571" s="23" t="s">
        <v>13565</v>
      </c>
      <c r="H3571" s="23"/>
      <c r="I3571" s="23"/>
      <c r="J3571" s="23"/>
      <c r="K3571" s="23"/>
      <c r="L3571" s="375"/>
      <c r="M3571" s="351" t="s">
        <v>7787</v>
      </c>
      <c r="N3571" s="267">
        <f t="shared" si="839"/>
        <v>0</v>
      </c>
      <c r="O3571" s="268">
        <f t="shared" si="840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37"/>
      <c r="Z3571" s="237"/>
      <c r="AA3571" s="279"/>
      <c r="AB3571" s="238"/>
      <c r="AC3571" s="196">
        <f t="shared" si="845"/>
        <v>0</v>
      </c>
      <c r="AD3571" s="196">
        <f t="shared" si="846"/>
        <v>0</v>
      </c>
      <c r="AE3571" s="196">
        <f t="shared" si="847"/>
        <v>0</v>
      </c>
      <c r="AF3571" s="2">
        <f t="shared" si="848"/>
        <v>0</v>
      </c>
      <c r="AG3571" s="2">
        <f t="shared" si="849"/>
        <v>0</v>
      </c>
    </row>
    <row r="3572" spans="1:33">
      <c r="A3572" s="20" t="s">
        <v>18913</v>
      </c>
      <c r="B3572" s="156"/>
      <c r="C3572" s="21" t="s">
        <v>18977</v>
      </c>
      <c r="D3572" s="109" t="s">
        <v>18978</v>
      </c>
      <c r="E3572" s="109"/>
      <c r="F3572" s="391" t="s">
        <v>18692</v>
      </c>
      <c r="G3572" s="23" t="s">
        <v>13565</v>
      </c>
      <c r="H3572" s="23"/>
      <c r="I3572" s="23"/>
      <c r="J3572" s="23"/>
      <c r="K3572" s="23"/>
      <c r="L3572" s="375" t="s">
        <v>7787</v>
      </c>
      <c r="M3572" s="351" t="s">
        <v>7787</v>
      </c>
      <c r="N3572" s="267">
        <f t="shared" si="839"/>
        <v>0</v>
      </c>
      <c r="O3572" s="268">
        <f t="shared" si="840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44"/>
      <c r="Z3572" s="237"/>
      <c r="AA3572" s="279"/>
      <c r="AB3572" s="238"/>
      <c r="AC3572" s="196">
        <f t="shared" si="845"/>
        <v>0</v>
      </c>
      <c r="AD3572" s="196">
        <f t="shared" si="846"/>
        <v>0</v>
      </c>
      <c r="AE3572" s="196">
        <f t="shared" si="847"/>
        <v>0</v>
      </c>
      <c r="AF3572" s="2">
        <f t="shared" si="848"/>
        <v>0</v>
      </c>
      <c r="AG3572" s="2">
        <f t="shared" si="849"/>
        <v>0</v>
      </c>
    </row>
    <row r="3573" spans="1:33">
      <c r="A3573" s="20" t="s">
        <v>19964</v>
      </c>
      <c r="B3573" s="156"/>
      <c r="C3573" s="21" t="s">
        <v>18977</v>
      </c>
      <c r="D3573" s="109" t="s">
        <v>5979</v>
      </c>
      <c r="E3573" s="109" t="s">
        <v>20028</v>
      </c>
      <c r="F3573" s="391" t="s">
        <v>18692</v>
      </c>
      <c r="G3573" s="23" t="s">
        <v>13565</v>
      </c>
      <c r="H3573" s="23"/>
      <c r="I3573" s="23"/>
      <c r="J3573" s="23"/>
      <c r="K3573" s="23"/>
      <c r="L3573" s="375" t="s">
        <v>7787</v>
      </c>
      <c r="M3573" s="351" t="s">
        <v>7787</v>
      </c>
      <c r="N3573" s="267">
        <f t="shared" si="839"/>
        <v>0</v>
      </c>
      <c r="O3573" s="268">
        <f t="shared" si="840"/>
        <v>0</v>
      </c>
      <c r="P3573" s="239"/>
      <c r="Q3573" s="239"/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/>
      <c r="AC3573" s="196">
        <f t="shared" si="845"/>
        <v>0</v>
      </c>
      <c r="AD3573" s="196">
        <f t="shared" si="846"/>
        <v>0</v>
      </c>
      <c r="AE3573" s="196">
        <f t="shared" si="847"/>
        <v>0</v>
      </c>
      <c r="AF3573" s="2">
        <f t="shared" si="848"/>
        <v>0</v>
      </c>
      <c r="AG3573" s="2">
        <f t="shared" si="849"/>
        <v>0</v>
      </c>
    </row>
    <row r="3574" spans="1:33">
      <c r="A3574" s="20" t="s">
        <v>19932</v>
      </c>
      <c r="B3574" s="156"/>
      <c r="C3574" s="21" t="s">
        <v>19685</v>
      </c>
      <c r="D3574" s="109" t="s">
        <v>3096</v>
      </c>
      <c r="E3574" s="109" t="s">
        <v>19687</v>
      </c>
      <c r="F3574" s="391" t="s">
        <v>19693</v>
      </c>
      <c r="G3574" s="23" t="s">
        <v>19686</v>
      </c>
      <c r="H3574" s="23"/>
      <c r="I3574" s="23"/>
      <c r="J3574" s="23"/>
      <c r="K3574" s="23"/>
      <c r="L3574" s="375"/>
      <c r="M3574" s="351" t="s">
        <v>7787</v>
      </c>
      <c r="N3574" s="267">
        <f t="shared" si="839"/>
        <v>0</v>
      </c>
      <c r="O3574" s="268">
        <f t="shared" si="840"/>
        <v>0</v>
      </c>
      <c r="P3574" s="239"/>
      <c r="Q3574" s="239"/>
      <c r="R3574" s="239"/>
      <c r="S3574" s="239"/>
      <c r="T3574" s="239"/>
      <c r="U3574" s="240"/>
      <c r="V3574" s="244"/>
      <c r="W3574" s="240"/>
      <c r="X3574" s="278"/>
      <c r="Y3574" s="237"/>
      <c r="Z3574" s="237"/>
      <c r="AA3574" s="279"/>
      <c r="AB3574" s="238"/>
      <c r="AC3574" s="196">
        <f t="shared" si="845"/>
        <v>0</v>
      </c>
      <c r="AD3574" s="196">
        <f t="shared" si="846"/>
        <v>0</v>
      </c>
      <c r="AE3574" s="196">
        <f t="shared" si="847"/>
        <v>0</v>
      </c>
      <c r="AF3574" s="2">
        <f t="shared" si="848"/>
        <v>0</v>
      </c>
      <c r="AG3574" s="2">
        <f t="shared" si="849"/>
        <v>0</v>
      </c>
    </row>
    <row r="3575" spans="1:33">
      <c r="A3575" s="20" t="s">
        <v>19933</v>
      </c>
      <c r="B3575" s="156"/>
      <c r="C3575" s="21" t="s">
        <v>19756</v>
      </c>
      <c r="D3575" s="109" t="s">
        <v>3137</v>
      </c>
      <c r="E3575" s="109" t="s">
        <v>25926</v>
      </c>
      <c r="F3575" s="391" t="s">
        <v>19757</v>
      </c>
      <c r="G3575" s="23" t="s">
        <v>6133</v>
      </c>
      <c r="H3575" s="23" t="s">
        <v>13249</v>
      </c>
      <c r="I3575" s="23"/>
      <c r="J3575" s="23"/>
      <c r="K3575" s="23"/>
      <c r="L3575" s="375" t="s">
        <v>7787</v>
      </c>
      <c r="M3575" s="351" t="s">
        <v>7787</v>
      </c>
      <c r="N3575" s="267">
        <f t="shared" si="839"/>
        <v>0</v>
      </c>
      <c r="O3575" s="268">
        <f t="shared" si="840"/>
        <v>2050</v>
      </c>
      <c r="P3575" s="239"/>
      <c r="Q3575" s="241">
        <f>4000-500-100-600-400-200-150</f>
        <v>2050</v>
      </c>
      <c r="R3575" s="239"/>
      <c r="S3575" s="239"/>
      <c r="T3575" s="239"/>
      <c r="U3575" s="240"/>
      <c r="V3575" s="244"/>
      <c r="W3575" s="240"/>
      <c r="X3575" s="278"/>
      <c r="Y3575" s="237"/>
      <c r="Z3575" s="237"/>
      <c r="AA3575" s="279"/>
      <c r="AB3575" s="238" t="s">
        <v>27744</v>
      </c>
      <c r="AC3575" s="196">
        <f t="shared" si="845"/>
        <v>2050</v>
      </c>
      <c r="AD3575" s="196">
        <f t="shared" si="846"/>
        <v>2050</v>
      </c>
      <c r="AE3575" s="196">
        <f t="shared" si="847"/>
        <v>0</v>
      </c>
      <c r="AF3575" s="2">
        <f t="shared" si="848"/>
        <v>2050</v>
      </c>
      <c r="AG3575" s="2">
        <f t="shared" si="849"/>
        <v>0</v>
      </c>
    </row>
    <row r="3576" spans="1:33">
      <c r="A3576" s="20" t="s">
        <v>18914</v>
      </c>
      <c r="B3576" s="156"/>
      <c r="C3576" s="21" t="s">
        <v>19110</v>
      </c>
      <c r="D3576" s="109" t="s">
        <v>5979</v>
      </c>
      <c r="E3576" s="109"/>
      <c r="F3576" s="391" t="s">
        <v>19119</v>
      </c>
      <c r="G3576" s="23" t="s">
        <v>13565</v>
      </c>
      <c r="H3576" s="23"/>
      <c r="I3576" s="23"/>
      <c r="J3576" s="23"/>
      <c r="K3576" s="23"/>
      <c r="L3576" s="375" t="s">
        <v>7787</v>
      </c>
      <c r="M3576" s="351" t="s">
        <v>7787</v>
      </c>
      <c r="N3576" s="267">
        <f t="shared" si="839"/>
        <v>0</v>
      </c>
      <c r="O3576" s="268">
        <f t="shared" si="840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44"/>
      <c r="Z3576" s="237"/>
      <c r="AA3576" s="279"/>
      <c r="AB3576" s="238"/>
      <c r="AC3576" s="196">
        <f t="shared" si="845"/>
        <v>0</v>
      </c>
      <c r="AD3576" s="196">
        <f t="shared" si="846"/>
        <v>0</v>
      </c>
      <c r="AE3576" s="196">
        <f t="shared" si="847"/>
        <v>0</v>
      </c>
      <c r="AF3576" s="2">
        <f t="shared" si="848"/>
        <v>0</v>
      </c>
      <c r="AG3576" s="2">
        <f t="shared" si="849"/>
        <v>0</v>
      </c>
    </row>
    <row r="3577" spans="1:33">
      <c r="A3577" s="20" t="s">
        <v>21473</v>
      </c>
      <c r="B3577" s="156"/>
      <c r="C3577" s="21" t="s">
        <v>19110</v>
      </c>
      <c r="D3577" s="109" t="s">
        <v>5979</v>
      </c>
      <c r="E3577" s="109" t="s">
        <v>20744</v>
      </c>
      <c r="F3577" s="391" t="s">
        <v>19119</v>
      </c>
      <c r="G3577" s="23"/>
      <c r="H3577" s="23"/>
      <c r="I3577" s="23"/>
      <c r="J3577" s="23"/>
      <c r="K3577" s="23"/>
      <c r="L3577" s="375" t="s">
        <v>7787</v>
      </c>
      <c r="M3577" s="351"/>
      <c r="N3577" s="267">
        <f t="shared" si="839"/>
        <v>0</v>
      </c>
      <c r="O3577" s="268">
        <f t="shared" si="840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44"/>
      <c r="Z3577" s="237"/>
      <c r="AA3577" s="279"/>
      <c r="AB3577" s="238"/>
      <c r="AC3577" s="196">
        <f t="shared" si="845"/>
        <v>0</v>
      </c>
      <c r="AD3577" s="196">
        <f t="shared" si="846"/>
        <v>0</v>
      </c>
      <c r="AE3577" s="196">
        <f t="shared" si="847"/>
        <v>0</v>
      </c>
      <c r="AF3577" s="2">
        <f t="shared" si="848"/>
        <v>0</v>
      </c>
      <c r="AG3577" s="2">
        <f t="shared" si="849"/>
        <v>0</v>
      </c>
    </row>
    <row r="3578" spans="1:33">
      <c r="A3578" s="20" t="s">
        <v>19934</v>
      </c>
      <c r="B3578" s="156"/>
      <c r="C3578" s="21" t="s">
        <v>19351</v>
      </c>
      <c r="D3578" s="109" t="s">
        <v>19352</v>
      </c>
      <c r="E3578" s="109" t="s">
        <v>19588</v>
      </c>
      <c r="F3578" s="391" t="s">
        <v>19362</v>
      </c>
      <c r="G3578" s="23" t="s">
        <v>16477</v>
      </c>
      <c r="H3578" s="23"/>
      <c r="I3578" s="23"/>
      <c r="J3578" s="23"/>
      <c r="K3578" s="23"/>
      <c r="L3578" s="375" t="s">
        <v>7787</v>
      </c>
      <c r="M3578" s="351"/>
      <c r="N3578" s="267">
        <f t="shared" si="839"/>
        <v>0</v>
      </c>
      <c r="O3578" s="268">
        <f t="shared" si="840"/>
        <v>0</v>
      </c>
      <c r="P3578" s="239"/>
      <c r="Q3578" s="239"/>
      <c r="R3578" s="239"/>
      <c r="S3578" s="239"/>
      <c r="T3578" s="239"/>
      <c r="U3578" s="240"/>
      <c r="V3578" s="244"/>
      <c r="W3578" s="240"/>
      <c r="X3578" s="278"/>
      <c r="Y3578" s="237"/>
      <c r="Z3578" s="237"/>
      <c r="AA3578" s="279"/>
      <c r="AB3578" s="238"/>
      <c r="AC3578" s="196">
        <f t="shared" si="845"/>
        <v>0</v>
      </c>
      <c r="AD3578" s="196">
        <f t="shared" si="846"/>
        <v>0</v>
      </c>
      <c r="AE3578" s="196">
        <f t="shared" si="847"/>
        <v>0</v>
      </c>
      <c r="AF3578" s="2">
        <f t="shared" si="848"/>
        <v>0</v>
      </c>
      <c r="AG3578" s="2">
        <f t="shared" si="849"/>
        <v>0</v>
      </c>
    </row>
    <row r="3579" spans="1:33">
      <c r="A3579" s="20" t="s">
        <v>21474</v>
      </c>
      <c r="B3579" s="156"/>
      <c r="C3579" s="21" t="s">
        <v>20946</v>
      </c>
      <c r="D3579" s="109" t="s">
        <v>20947</v>
      </c>
      <c r="E3579" s="109" t="s">
        <v>20948</v>
      </c>
      <c r="F3579" s="391" t="s">
        <v>20971</v>
      </c>
      <c r="G3579" s="23" t="s">
        <v>20012</v>
      </c>
      <c r="H3579" s="23"/>
      <c r="I3579" s="23"/>
      <c r="J3579" s="23"/>
      <c r="K3579" s="23"/>
      <c r="L3579" s="375" t="s">
        <v>7787</v>
      </c>
      <c r="M3579" s="351"/>
      <c r="N3579" s="267">
        <f t="shared" si="839"/>
        <v>0</v>
      </c>
      <c r="O3579" s="268">
        <f t="shared" si="840"/>
        <v>0</v>
      </c>
      <c r="P3579" s="239"/>
      <c r="Q3579" s="239"/>
      <c r="R3579" s="239"/>
      <c r="S3579" s="239"/>
      <c r="T3579" s="239"/>
      <c r="U3579" s="240"/>
      <c r="V3579" s="244"/>
      <c r="W3579" s="240"/>
      <c r="X3579" s="278"/>
      <c r="Y3579" s="243"/>
      <c r="Z3579" s="237"/>
      <c r="AA3579" s="279"/>
      <c r="AB3579" s="238"/>
      <c r="AC3579" s="196">
        <f t="shared" si="845"/>
        <v>0</v>
      </c>
      <c r="AD3579" s="196">
        <f t="shared" si="846"/>
        <v>0</v>
      </c>
      <c r="AE3579" s="196">
        <f t="shared" si="847"/>
        <v>0</v>
      </c>
      <c r="AF3579" s="2">
        <f t="shared" si="848"/>
        <v>0</v>
      </c>
      <c r="AG3579" s="2">
        <f t="shared" si="849"/>
        <v>0</v>
      </c>
    </row>
    <row r="3580" spans="1:33">
      <c r="A3580" s="20" t="s">
        <v>19935</v>
      </c>
      <c r="B3580" s="156"/>
      <c r="C3580" s="21" t="s">
        <v>19853</v>
      </c>
      <c r="D3580" s="109" t="s">
        <v>19854</v>
      </c>
      <c r="E3580" s="109" t="s">
        <v>19855</v>
      </c>
      <c r="F3580" s="391" t="s">
        <v>19867</v>
      </c>
      <c r="G3580" s="23" t="s">
        <v>19866</v>
      </c>
      <c r="H3580" s="23" t="s">
        <v>13581</v>
      </c>
      <c r="I3580" s="23"/>
      <c r="J3580" s="23"/>
      <c r="K3580" s="23"/>
      <c r="L3580" s="375"/>
      <c r="M3580" s="351" t="s">
        <v>7787</v>
      </c>
      <c r="N3580" s="267">
        <f t="shared" si="839"/>
        <v>0</v>
      </c>
      <c r="O3580" s="268">
        <f t="shared" si="840"/>
        <v>0</v>
      </c>
      <c r="P3580" s="239"/>
      <c r="Q3580" s="239"/>
      <c r="R3580" s="239"/>
      <c r="S3580" s="239"/>
      <c r="T3580" s="239"/>
      <c r="U3580" s="239"/>
      <c r="V3580" s="244"/>
      <c r="W3580" s="240"/>
      <c r="X3580" s="278"/>
      <c r="Y3580" s="244"/>
      <c r="Z3580" s="237"/>
      <c r="AA3580" s="279"/>
      <c r="AB3580" s="238"/>
      <c r="AC3580" s="196">
        <f t="shared" si="845"/>
        <v>0</v>
      </c>
      <c r="AD3580" s="196">
        <f t="shared" si="846"/>
        <v>0</v>
      </c>
      <c r="AE3580" s="196">
        <f t="shared" si="847"/>
        <v>0</v>
      </c>
      <c r="AF3580" s="2">
        <f t="shared" si="848"/>
        <v>0</v>
      </c>
      <c r="AG3580" s="2">
        <f t="shared" si="849"/>
        <v>0</v>
      </c>
    </row>
    <row r="3581" spans="1:33">
      <c r="A3581" s="20" t="s">
        <v>21475</v>
      </c>
      <c r="B3581" s="156"/>
      <c r="C3581" s="21" t="s">
        <v>19853</v>
      </c>
      <c r="D3581" s="109" t="s">
        <v>20858</v>
      </c>
      <c r="E3581" s="109"/>
      <c r="F3581" s="391" t="s">
        <v>19867</v>
      </c>
      <c r="G3581" s="23" t="s">
        <v>20857</v>
      </c>
      <c r="H3581" s="23"/>
      <c r="I3581" s="23"/>
      <c r="J3581" s="23"/>
      <c r="K3581" s="23"/>
      <c r="L3581" s="375" t="s">
        <v>7787</v>
      </c>
      <c r="M3581" s="351" t="s">
        <v>7787</v>
      </c>
      <c r="N3581" s="267">
        <f t="shared" si="839"/>
        <v>0</v>
      </c>
      <c r="O3581" s="268">
        <f t="shared" si="840"/>
        <v>0</v>
      </c>
      <c r="P3581" s="239"/>
      <c r="Q3581" s="239"/>
      <c r="R3581" s="239"/>
      <c r="S3581" s="239"/>
      <c r="T3581" s="239"/>
      <c r="U3581" s="240"/>
      <c r="V3581" s="244"/>
      <c r="W3581" s="240"/>
      <c r="X3581" s="278"/>
      <c r="Y3581" s="244"/>
      <c r="Z3581" s="237"/>
      <c r="AA3581" s="279"/>
      <c r="AB3581" s="238"/>
      <c r="AC3581" s="196">
        <f t="shared" si="845"/>
        <v>0</v>
      </c>
      <c r="AD3581" s="196">
        <f t="shared" si="846"/>
        <v>0</v>
      </c>
      <c r="AE3581" s="196">
        <f t="shared" si="847"/>
        <v>0</v>
      </c>
      <c r="AF3581" s="2">
        <f t="shared" si="848"/>
        <v>0</v>
      </c>
      <c r="AG3581" s="2">
        <f t="shared" si="849"/>
        <v>0</v>
      </c>
    </row>
    <row r="3582" spans="1:33">
      <c r="A3582" s="20" t="s">
        <v>19212</v>
      </c>
      <c r="B3582" s="156"/>
      <c r="C3582" s="21" t="s">
        <v>19159</v>
      </c>
      <c r="D3582" s="109" t="s">
        <v>5979</v>
      </c>
      <c r="E3582" s="109"/>
      <c r="F3582" s="391" t="s">
        <v>19260</v>
      </c>
      <c r="G3582" s="23" t="s">
        <v>13565</v>
      </c>
      <c r="H3582" s="23" t="s">
        <v>18203</v>
      </c>
      <c r="I3582" s="23"/>
      <c r="J3582" s="23"/>
      <c r="K3582" s="23"/>
      <c r="L3582" s="375" t="s">
        <v>7787</v>
      </c>
      <c r="M3582" s="351" t="s">
        <v>7787</v>
      </c>
      <c r="N3582" s="267">
        <f t="shared" si="839"/>
        <v>0</v>
      </c>
      <c r="O3582" s="268">
        <f t="shared" si="840"/>
        <v>0</v>
      </c>
      <c r="P3582" s="239"/>
      <c r="Q3582" s="239"/>
      <c r="R3582" s="239"/>
      <c r="S3582" s="244"/>
      <c r="T3582" s="239"/>
      <c r="U3582" s="240"/>
      <c r="V3582" s="244"/>
      <c r="W3582" s="240"/>
      <c r="X3582" s="278"/>
      <c r="Y3582" s="237"/>
      <c r="Z3582" s="237"/>
      <c r="AA3582" s="279"/>
      <c r="AB3582" s="238"/>
      <c r="AC3582" s="196">
        <f t="shared" si="845"/>
        <v>0</v>
      </c>
      <c r="AD3582" s="196">
        <f t="shared" si="846"/>
        <v>0</v>
      </c>
      <c r="AE3582" s="196">
        <f t="shared" si="847"/>
        <v>0</v>
      </c>
      <c r="AF3582" s="2">
        <f t="shared" si="848"/>
        <v>0</v>
      </c>
      <c r="AG3582" s="2">
        <f t="shared" si="849"/>
        <v>0</v>
      </c>
    </row>
    <row r="3583" spans="1:33">
      <c r="A3583" s="20" t="s">
        <v>19936</v>
      </c>
      <c r="B3583" s="156"/>
      <c r="C3583" s="21" t="s">
        <v>19840</v>
      </c>
      <c r="D3583" s="109" t="s">
        <v>3137</v>
      </c>
      <c r="E3583" s="109" t="s">
        <v>25222</v>
      </c>
      <c r="F3583" s="391" t="s">
        <v>19841</v>
      </c>
      <c r="G3583" s="23" t="s">
        <v>13942</v>
      </c>
      <c r="H3583" s="23" t="s">
        <v>21350</v>
      </c>
      <c r="I3583" s="23" t="s">
        <v>6133</v>
      </c>
      <c r="J3583" s="23"/>
      <c r="K3583" s="23"/>
      <c r="L3583" s="375" t="s">
        <v>27988</v>
      </c>
      <c r="M3583" s="351" t="s">
        <v>45</v>
      </c>
      <c r="N3583" s="267">
        <f t="shared" si="839"/>
        <v>0</v>
      </c>
      <c r="O3583" s="268">
        <f t="shared" si="840"/>
        <v>0</v>
      </c>
      <c r="P3583" s="239"/>
      <c r="Q3583" s="239"/>
      <c r="R3583" s="239"/>
      <c r="S3583" s="239"/>
      <c r="T3583" s="239"/>
      <c r="U3583" s="239"/>
      <c r="V3583" s="239"/>
      <c r="W3583" s="240"/>
      <c r="X3583" s="278"/>
      <c r="Y3583" s="237"/>
      <c r="Z3583" s="237"/>
      <c r="AA3583" s="279"/>
      <c r="AB3583" s="238"/>
      <c r="AC3583" s="196">
        <f t="shared" si="845"/>
        <v>0</v>
      </c>
      <c r="AD3583" s="196">
        <f t="shared" si="846"/>
        <v>0</v>
      </c>
      <c r="AE3583" s="196">
        <f t="shared" si="847"/>
        <v>0</v>
      </c>
      <c r="AF3583" s="2">
        <f t="shared" si="848"/>
        <v>0</v>
      </c>
      <c r="AG3583" s="2">
        <f t="shared" si="849"/>
        <v>0</v>
      </c>
    </row>
    <row r="3584" spans="1:33">
      <c r="A3584" s="20" t="s">
        <v>25476</v>
      </c>
      <c r="B3584" s="156"/>
      <c r="C3584" s="21" t="s">
        <v>19840</v>
      </c>
      <c r="D3584" s="109" t="s">
        <v>4070</v>
      </c>
      <c r="E3584" s="109" t="s">
        <v>25223</v>
      </c>
      <c r="F3584" s="391" t="s">
        <v>25219</v>
      </c>
      <c r="G3584" s="23" t="s">
        <v>25220</v>
      </c>
      <c r="H3584" s="23" t="s">
        <v>25221</v>
      </c>
      <c r="I3584" s="23" t="s">
        <v>10645</v>
      </c>
      <c r="J3584" s="23"/>
      <c r="K3584" s="23"/>
      <c r="L3584" s="375" t="s">
        <v>27991</v>
      </c>
      <c r="M3584" s="351" t="s">
        <v>45</v>
      </c>
      <c r="N3584" s="267">
        <f t="shared" ref="N3584" si="850">SUM(L3584:M3584)</f>
        <v>0</v>
      </c>
      <c r="O3584" s="268">
        <f t="shared" ref="O3584" si="851">SUM(P3584:Z3584)</f>
        <v>3800</v>
      </c>
      <c r="P3584" s="239"/>
      <c r="Q3584" s="239"/>
      <c r="R3584" s="239"/>
      <c r="S3584" s="239"/>
      <c r="T3584" s="239"/>
      <c r="U3584" s="239">
        <f>2700-1600-800+2900-3000+5550-3600+2850-3000+2500+6250+850+6900-12800-5000+3100</f>
        <v>3800</v>
      </c>
      <c r="V3584" s="239"/>
      <c r="W3584" s="240"/>
      <c r="X3584" s="278"/>
      <c r="Y3584" s="243"/>
      <c r="Z3584" s="237"/>
      <c r="AA3584" s="279"/>
      <c r="AB3584" s="238" t="s">
        <v>28007</v>
      </c>
      <c r="AC3584" s="196">
        <f t="shared" si="845"/>
        <v>3800</v>
      </c>
      <c r="AD3584" s="196">
        <f t="shared" si="846"/>
        <v>3800</v>
      </c>
      <c r="AE3584" s="196">
        <f t="shared" si="847"/>
        <v>0</v>
      </c>
      <c r="AF3584" s="2">
        <f t="shared" si="848"/>
        <v>3800</v>
      </c>
      <c r="AG3584" s="2">
        <f t="shared" si="849"/>
        <v>0</v>
      </c>
    </row>
    <row r="3585" spans="1:33">
      <c r="A3585" s="20" t="s">
        <v>26012</v>
      </c>
      <c r="B3585" s="156"/>
      <c r="C3585" s="21" t="s">
        <v>19840</v>
      </c>
      <c r="D3585" s="109" t="s">
        <v>4070</v>
      </c>
      <c r="E3585" s="109" t="s">
        <v>25927</v>
      </c>
      <c r="F3585" s="391" t="s">
        <v>25219</v>
      </c>
      <c r="G3585" s="23" t="s">
        <v>25220</v>
      </c>
      <c r="H3585" s="23" t="s">
        <v>25221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5"/>
        <v>0</v>
      </c>
      <c r="AD3585" s="196">
        <f t="shared" si="846"/>
        <v>0</v>
      </c>
      <c r="AE3585" s="196">
        <f t="shared" si="847"/>
        <v>0</v>
      </c>
      <c r="AF3585" s="2">
        <f t="shared" si="848"/>
        <v>0</v>
      </c>
      <c r="AG3585" s="2">
        <f t="shared" si="849"/>
        <v>0</v>
      </c>
    </row>
    <row r="3586" spans="1:33">
      <c r="A3586" s="20" t="s">
        <v>27083</v>
      </c>
      <c r="B3586" s="156"/>
      <c r="C3586" s="21" t="s">
        <v>19840</v>
      </c>
      <c r="D3586" s="109" t="s">
        <v>4070</v>
      </c>
      <c r="E3586" s="109" t="s">
        <v>26306</v>
      </c>
      <c r="F3586" s="391" t="s">
        <v>25219</v>
      </c>
      <c r="G3586" s="23" t="s">
        <v>25220</v>
      </c>
      <c r="H3586" s="23" t="s">
        <v>25221</v>
      </c>
      <c r="I3586" s="23" t="s">
        <v>10645</v>
      </c>
      <c r="J3586" s="23"/>
      <c r="K3586" s="23"/>
      <c r="L3586" s="375" t="s">
        <v>7787</v>
      </c>
      <c r="M3586" s="351" t="s">
        <v>7787</v>
      </c>
      <c r="N3586" s="267">
        <f t="shared" ref="N3586" si="854">SUM(L3586:M3586)</f>
        <v>0</v>
      </c>
      <c r="O3586" s="268">
        <f t="shared" ref="O3586" si="855">SUM(P3586:Z3586)</f>
        <v>18600</v>
      </c>
      <c r="P3586" s="239"/>
      <c r="Q3586" s="239"/>
      <c r="R3586" s="239">
        <f>10800+10800-3000</f>
        <v>18600</v>
      </c>
      <c r="S3586" s="239"/>
      <c r="T3586" s="239"/>
      <c r="U3586" s="239"/>
      <c r="V3586" s="239"/>
      <c r="W3586" s="240"/>
      <c r="X3586" s="278"/>
      <c r="Y3586" s="243"/>
      <c r="Z3586" s="237"/>
      <c r="AA3586" s="279"/>
      <c r="AB3586" s="238"/>
      <c r="AC3586" s="196">
        <f t="shared" si="845"/>
        <v>18600</v>
      </c>
      <c r="AD3586" s="196">
        <f t="shared" si="846"/>
        <v>18600</v>
      </c>
      <c r="AE3586" s="196">
        <f t="shared" si="847"/>
        <v>0</v>
      </c>
      <c r="AF3586" s="2">
        <f t="shared" si="848"/>
        <v>18600</v>
      </c>
      <c r="AG3586" s="2">
        <f t="shared" si="849"/>
        <v>0</v>
      </c>
    </row>
    <row r="3587" spans="1:33">
      <c r="A3587" s="20" t="s">
        <v>27084</v>
      </c>
      <c r="B3587" s="156"/>
      <c r="C3587" s="21" t="s">
        <v>19840</v>
      </c>
      <c r="D3587" s="109" t="s">
        <v>4070</v>
      </c>
      <c r="E3587" s="109" t="s">
        <v>26429</v>
      </c>
      <c r="F3587" s="391" t="s">
        <v>25219</v>
      </c>
      <c r="G3587" s="23" t="s">
        <v>25220</v>
      </c>
      <c r="H3587" s="23" t="s">
        <v>25221</v>
      </c>
      <c r="I3587" s="23" t="s">
        <v>10645</v>
      </c>
      <c r="J3587" s="23"/>
      <c r="K3587" s="23"/>
      <c r="L3587" s="375" t="s">
        <v>7787</v>
      </c>
      <c r="M3587" s="351" t="s">
        <v>7787</v>
      </c>
      <c r="N3587" s="267">
        <f t="shared" ref="N3587" si="856">SUM(L3587:M3587)</f>
        <v>0</v>
      </c>
      <c r="O3587" s="268">
        <f t="shared" ref="O3587" si="857">SUM(P3587:Z3587)</f>
        <v>0</v>
      </c>
      <c r="P3587" s="239"/>
      <c r="Q3587" s="239"/>
      <c r="R3587" s="239"/>
      <c r="S3587" s="239"/>
      <c r="T3587" s="239"/>
      <c r="U3587" s="239"/>
      <c r="V3587" s="239"/>
      <c r="W3587" s="240"/>
      <c r="X3587" s="278"/>
      <c r="Y3587" s="243"/>
      <c r="Z3587" s="237"/>
      <c r="AA3587" s="279"/>
      <c r="AB3587" s="238"/>
      <c r="AC3587" s="196">
        <f t="shared" si="845"/>
        <v>0</v>
      </c>
      <c r="AD3587" s="196">
        <f t="shared" si="846"/>
        <v>0</v>
      </c>
      <c r="AE3587" s="196">
        <f t="shared" si="847"/>
        <v>0</v>
      </c>
      <c r="AF3587" s="2">
        <f t="shared" si="848"/>
        <v>0</v>
      </c>
      <c r="AG3587" s="2">
        <f t="shared" si="849"/>
        <v>0</v>
      </c>
    </row>
    <row r="3588" spans="1:33">
      <c r="A3588" s="20" t="s">
        <v>19937</v>
      </c>
      <c r="B3588" s="156"/>
      <c r="C3588" s="21" t="s">
        <v>20271</v>
      </c>
      <c r="D3588" s="109" t="s">
        <v>3137</v>
      </c>
      <c r="E3588" s="109" t="s">
        <v>19707</v>
      </c>
      <c r="F3588" s="391" t="s">
        <v>19280</v>
      </c>
      <c r="G3588" s="23" t="s">
        <v>13934</v>
      </c>
      <c r="H3588" s="23" t="s">
        <v>17522</v>
      </c>
      <c r="I3588" s="23" t="s">
        <v>13942</v>
      </c>
      <c r="J3588" s="23"/>
      <c r="K3588" s="23"/>
      <c r="L3588" s="375"/>
      <c r="M3588" s="351" t="s">
        <v>7787</v>
      </c>
      <c r="N3588" s="267">
        <f t="shared" si="839"/>
        <v>0</v>
      </c>
      <c r="O3588" s="268">
        <f t="shared" si="840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39"/>
      <c r="Z3588" s="237"/>
      <c r="AA3588" s="279"/>
      <c r="AB3588" s="238"/>
      <c r="AC3588" s="196">
        <f t="shared" si="845"/>
        <v>0</v>
      </c>
      <c r="AD3588" s="196">
        <f t="shared" si="846"/>
        <v>0</v>
      </c>
      <c r="AE3588" s="196">
        <f t="shared" si="847"/>
        <v>0</v>
      </c>
      <c r="AF3588" s="2">
        <f t="shared" si="848"/>
        <v>0</v>
      </c>
      <c r="AG3588" s="2">
        <f t="shared" si="849"/>
        <v>0</v>
      </c>
    </row>
    <row r="3589" spans="1:33">
      <c r="A3589" s="20" t="s">
        <v>20469</v>
      </c>
      <c r="B3589" s="156"/>
      <c r="C3589" s="21" t="s">
        <v>20267</v>
      </c>
      <c r="D3589" s="109" t="s">
        <v>4070</v>
      </c>
      <c r="E3589" s="109"/>
      <c r="F3589" s="391" t="s">
        <v>20268</v>
      </c>
      <c r="G3589" s="23" t="s">
        <v>13942</v>
      </c>
      <c r="H3589" s="23"/>
      <c r="I3589" s="23"/>
      <c r="J3589" s="23"/>
      <c r="K3589" s="23"/>
      <c r="L3589" s="375"/>
      <c r="M3589" s="351"/>
      <c r="N3589" s="267">
        <f t="shared" si="839"/>
        <v>0</v>
      </c>
      <c r="O3589" s="268">
        <f t="shared" si="840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44"/>
      <c r="Z3589" s="237"/>
      <c r="AA3589" s="279"/>
      <c r="AB3589" s="238"/>
      <c r="AC3589" s="196">
        <f t="shared" si="845"/>
        <v>0</v>
      </c>
      <c r="AD3589" s="196">
        <f t="shared" si="846"/>
        <v>0</v>
      </c>
      <c r="AE3589" s="196">
        <f t="shared" si="847"/>
        <v>0</v>
      </c>
      <c r="AF3589" s="2">
        <f t="shared" si="848"/>
        <v>0</v>
      </c>
      <c r="AG3589" s="2">
        <f t="shared" si="849"/>
        <v>0</v>
      </c>
    </row>
    <row r="3590" spans="1:33">
      <c r="A3590" s="20" t="s">
        <v>19938</v>
      </c>
      <c r="B3590" s="156"/>
      <c r="C3590" s="21" t="s">
        <v>19283</v>
      </c>
      <c r="D3590" s="109" t="s">
        <v>3099</v>
      </c>
      <c r="E3590" s="109"/>
      <c r="F3590" s="391" t="s">
        <v>19284</v>
      </c>
      <c r="G3590" s="23" t="s">
        <v>18870</v>
      </c>
      <c r="H3590" s="23"/>
      <c r="I3590" s="23"/>
      <c r="J3590" s="23"/>
      <c r="K3590" s="23"/>
      <c r="L3590" s="375"/>
      <c r="M3590" s="351" t="s">
        <v>7787</v>
      </c>
      <c r="N3590" s="267">
        <f t="shared" si="839"/>
        <v>0</v>
      </c>
      <c r="O3590" s="268">
        <f t="shared" si="840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5"/>
        <v>0</v>
      </c>
      <c r="AD3590" s="196">
        <f t="shared" si="846"/>
        <v>0</v>
      </c>
      <c r="AE3590" s="196">
        <f t="shared" si="847"/>
        <v>0</v>
      </c>
      <c r="AF3590" s="2">
        <f t="shared" si="848"/>
        <v>0</v>
      </c>
      <c r="AG3590" s="2">
        <f t="shared" si="849"/>
        <v>0</v>
      </c>
    </row>
    <row r="3591" spans="1:33">
      <c r="A3591" s="20" t="s">
        <v>19939</v>
      </c>
      <c r="B3591" s="156"/>
      <c r="C3591" s="21" t="s">
        <v>19358</v>
      </c>
      <c r="D3591" s="109" t="s">
        <v>3099</v>
      </c>
      <c r="E3591" s="109"/>
      <c r="F3591" s="391" t="s">
        <v>19416</v>
      </c>
      <c r="G3591" s="23" t="s">
        <v>18870</v>
      </c>
      <c r="H3591" s="23"/>
      <c r="I3591" s="23"/>
      <c r="J3591" s="23"/>
      <c r="K3591" s="23"/>
      <c r="L3591" s="375" t="s">
        <v>7787</v>
      </c>
      <c r="M3591" s="351" t="s">
        <v>7787</v>
      </c>
      <c r="N3591" s="267">
        <f t="shared" si="839"/>
        <v>0</v>
      </c>
      <c r="O3591" s="268">
        <f t="shared" si="840"/>
        <v>0</v>
      </c>
      <c r="P3591" s="239"/>
      <c r="Q3591" s="239"/>
      <c r="R3591" s="239"/>
      <c r="S3591" s="239"/>
      <c r="T3591" s="239"/>
      <c r="U3591" s="240"/>
      <c r="V3591" s="244"/>
      <c r="W3591" s="240"/>
      <c r="X3591" s="278"/>
      <c r="Y3591" s="237"/>
      <c r="Z3591" s="237"/>
      <c r="AA3591" s="279"/>
      <c r="AB3591" s="238"/>
      <c r="AC3591" s="196">
        <f t="shared" si="845"/>
        <v>0</v>
      </c>
      <c r="AD3591" s="196">
        <f t="shared" si="846"/>
        <v>0</v>
      </c>
      <c r="AE3591" s="196">
        <f t="shared" si="847"/>
        <v>0</v>
      </c>
      <c r="AF3591" s="2">
        <f t="shared" si="848"/>
        <v>0</v>
      </c>
      <c r="AG3591" s="2">
        <f t="shared" si="849"/>
        <v>0</v>
      </c>
    </row>
    <row r="3592" spans="1:33">
      <c r="A3592" s="20" t="s">
        <v>19940</v>
      </c>
      <c r="B3592" s="156"/>
      <c r="C3592" s="21" t="s">
        <v>19372</v>
      </c>
      <c r="D3592" s="109" t="s">
        <v>3099</v>
      </c>
      <c r="E3592" s="109"/>
      <c r="F3592" s="391" t="s">
        <v>19417</v>
      </c>
      <c r="G3592" s="23" t="s">
        <v>18870</v>
      </c>
      <c r="H3592" s="23"/>
      <c r="I3592" s="23"/>
      <c r="J3592" s="23"/>
      <c r="K3592" s="23"/>
      <c r="L3592" s="375" t="s">
        <v>7787</v>
      </c>
      <c r="M3592" s="351"/>
      <c r="N3592" s="267">
        <f t="shared" si="839"/>
        <v>0</v>
      </c>
      <c r="O3592" s="268">
        <f t="shared" si="840"/>
        <v>0</v>
      </c>
      <c r="P3592" s="239"/>
      <c r="Q3592" s="239"/>
      <c r="R3592" s="239"/>
      <c r="S3592" s="239"/>
      <c r="T3592" s="239"/>
      <c r="U3592" s="240"/>
      <c r="V3592" s="244"/>
      <c r="W3592" s="240"/>
      <c r="X3592" s="278"/>
      <c r="Y3592" s="237"/>
      <c r="Z3592" s="237"/>
      <c r="AA3592" s="279"/>
      <c r="AB3592" s="238"/>
      <c r="AC3592" s="196">
        <f t="shared" si="845"/>
        <v>0</v>
      </c>
      <c r="AD3592" s="196">
        <f t="shared" si="846"/>
        <v>0</v>
      </c>
      <c r="AE3592" s="196">
        <f t="shared" si="847"/>
        <v>0</v>
      </c>
      <c r="AF3592" s="2">
        <f t="shared" si="848"/>
        <v>0</v>
      </c>
      <c r="AG3592" s="2">
        <f t="shared" si="849"/>
        <v>0</v>
      </c>
    </row>
    <row r="3593" spans="1:33">
      <c r="A3593" s="20" t="s">
        <v>2844</v>
      </c>
      <c r="B3593" s="150"/>
      <c r="C3593" s="21" t="s">
        <v>843</v>
      </c>
      <c r="D3593" s="109" t="s">
        <v>15161</v>
      </c>
      <c r="E3593" s="109"/>
      <c r="F3593" s="391" t="s">
        <v>16822</v>
      </c>
      <c r="G3593" s="23" t="s">
        <v>16454</v>
      </c>
      <c r="H3593" s="23" t="s">
        <v>16665</v>
      </c>
      <c r="I3593" s="23"/>
      <c r="J3593" s="23"/>
      <c r="K3593" s="23"/>
      <c r="L3593" s="375" t="s">
        <v>7787</v>
      </c>
      <c r="M3593" s="351" t="s">
        <v>7787</v>
      </c>
      <c r="N3593" s="267">
        <f t="shared" si="839"/>
        <v>0</v>
      </c>
      <c r="O3593" s="268">
        <f t="shared" si="840"/>
        <v>0</v>
      </c>
      <c r="P3593" s="239"/>
      <c r="Q3593" s="239"/>
      <c r="R3593" s="248"/>
      <c r="S3593" s="239"/>
      <c r="T3593" s="239"/>
      <c r="U3593" s="240"/>
      <c r="V3593" s="248"/>
      <c r="W3593" s="240"/>
      <c r="X3593" s="278"/>
      <c r="Y3593" s="237"/>
      <c r="Z3593" s="237"/>
      <c r="AA3593" s="279"/>
      <c r="AB3593" s="238"/>
      <c r="AC3593" s="196">
        <f t="shared" si="845"/>
        <v>0</v>
      </c>
      <c r="AD3593" s="196">
        <f t="shared" si="846"/>
        <v>0</v>
      </c>
      <c r="AE3593" s="196">
        <f t="shared" si="847"/>
        <v>0</v>
      </c>
      <c r="AF3593" s="2">
        <f t="shared" si="848"/>
        <v>0</v>
      </c>
      <c r="AG3593" s="2">
        <f t="shared" si="849"/>
        <v>0</v>
      </c>
    </row>
    <row r="3594" spans="1:33">
      <c r="A3594" s="20" t="s">
        <v>19965</v>
      </c>
      <c r="B3594" s="150"/>
      <c r="C3594" s="21" t="s">
        <v>20016</v>
      </c>
      <c r="D3594" s="109" t="s">
        <v>5649</v>
      </c>
      <c r="E3594" s="109"/>
      <c r="F3594" s="391" t="s">
        <v>20018</v>
      </c>
      <c r="G3594" s="23" t="s">
        <v>20017</v>
      </c>
      <c r="H3594" s="23"/>
      <c r="I3594" s="23"/>
      <c r="J3594" s="23"/>
      <c r="K3594" s="23"/>
      <c r="L3594" s="375" t="s">
        <v>7787</v>
      </c>
      <c r="M3594" s="351" t="s">
        <v>7787</v>
      </c>
      <c r="N3594" s="267">
        <f t="shared" si="839"/>
        <v>0</v>
      </c>
      <c r="O3594" s="268">
        <f t="shared" si="840"/>
        <v>0</v>
      </c>
      <c r="P3594" s="239"/>
      <c r="Q3594" s="239"/>
      <c r="R3594" s="248"/>
      <c r="S3594" s="239"/>
      <c r="T3594" s="239"/>
      <c r="U3594" s="240"/>
      <c r="V3594" s="248"/>
      <c r="W3594" s="240"/>
      <c r="X3594" s="278"/>
      <c r="Y3594" s="237"/>
      <c r="Z3594" s="237"/>
      <c r="AA3594" s="279"/>
      <c r="AB3594" s="238"/>
      <c r="AC3594" s="196">
        <f t="shared" si="845"/>
        <v>0</v>
      </c>
      <c r="AD3594" s="196">
        <f t="shared" si="846"/>
        <v>0</v>
      </c>
      <c r="AE3594" s="196">
        <f t="shared" si="847"/>
        <v>0</v>
      </c>
      <c r="AF3594" s="2">
        <f t="shared" si="848"/>
        <v>0</v>
      </c>
      <c r="AG3594" s="2">
        <f t="shared" si="849"/>
        <v>0</v>
      </c>
    </row>
    <row r="3595" spans="1:33">
      <c r="A3595" s="20" t="s">
        <v>19941</v>
      </c>
      <c r="B3595" s="150"/>
      <c r="C3595" s="21" t="s">
        <v>19446</v>
      </c>
      <c r="D3595" s="109" t="s">
        <v>3137</v>
      </c>
      <c r="E3595" s="109"/>
      <c r="F3595" s="391" t="s">
        <v>19450</v>
      </c>
      <c r="G3595" s="23" t="s">
        <v>14099</v>
      </c>
      <c r="H3595" s="23"/>
      <c r="I3595" s="23"/>
      <c r="J3595" s="23"/>
      <c r="K3595" s="23"/>
      <c r="L3595" s="375" t="s">
        <v>7787</v>
      </c>
      <c r="M3595" s="351"/>
      <c r="N3595" s="267">
        <f t="shared" si="839"/>
        <v>0</v>
      </c>
      <c r="O3595" s="268">
        <f t="shared" si="840"/>
        <v>100</v>
      </c>
      <c r="P3595" s="239"/>
      <c r="Q3595" s="239"/>
      <c r="R3595" s="248"/>
      <c r="S3595" s="239"/>
      <c r="T3595" s="239"/>
      <c r="U3595" s="240">
        <f>600-500</f>
        <v>100</v>
      </c>
      <c r="V3595" s="248"/>
      <c r="W3595" s="240"/>
      <c r="X3595" s="278"/>
      <c r="Y3595" s="237"/>
      <c r="Z3595" s="237"/>
      <c r="AA3595" s="279"/>
      <c r="AB3595" s="238" t="s">
        <v>25034</v>
      </c>
      <c r="AC3595" s="196">
        <f t="shared" si="845"/>
        <v>100</v>
      </c>
      <c r="AD3595" s="196">
        <f t="shared" si="846"/>
        <v>100</v>
      </c>
      <c r="AE3595" s="196">
        <f t="shared" si="847"/>
        <v>0</v>
      </c>
      <c r="AF3595" s="2">
        <f t="shared" si="848"/>
        <v>100</v>
      </c>
      <c r="AG3595" s="2">
        <f t="shared" si="849"/>
        <v>0</v>
      </c>
    </row>
    <row r="3596" spans="1:33">
      <c r="A3596" s="20" t="s">
        <v>19942</v>
      </c>
      <c r="B3596" s="150"/>
      <c r="C3596" s="21" t="s">
        <v>19469</v>
      </c>
      <c r="D3596" s="109" t="s">
        <v>19470</v>
      </c>
      <c r="E3596" s="109"/>
      <c r="F3596" s="391" t="s">
        <v>19567</v>
      </c>
      <c r="G3596" s="23" t="s">
        <v>19471</v>
      </c>
      <c r="H3596" s="23" t="s">
        <v>19472</v>
      </c>
      <c r="I3596" s="23" t="s">
        <v>20692</v>
      </c>
      <c r="J3596" s="23"/>
      <c r="K3596" s="23"/>
      <c r="L3596" s="375" t="s">
        <v>7787</v>
      </c>
      <c r="M3596" s="351" t="s">
        <v>7787</v>
      </c>
      <c r="N3596" s="267">
        <f t="shared" si="839"/>
        <v>0</v>
      </c>
      <c r="O3596" s="268">
        <f t="shared" si="840"/>
        <v>0</v>
      </c>
      <c r="P3596" s="239"/>
      <c r="Q3596" s="239"/>
      <c r="R3596" s="248"/>
      <c r="S3596" s="239"/>
      <c r="T3596" s="239"/>
      <c r="U3596" s="240"/>
      <c r="V3596" s="248"/>
      <c r="W3596" s="240"/>
      <c r="X3596" s="278"/>
      <c r="Y3596" s="239"/>
      <c r="Z3596" s="237"/>
      <c r="AA3596" s="279"/>
      <c r="AB3596" s="238"/>
      <c r="AC3596" s="196">
        <f t="shared" si="845"/>
        <v>0</v>
      </c>
      <c r="AD3596" s="196">
        <f t="shared" si="846"/>
        <v>0</v>
      </c>
      <c r="AE3596" s="196">
        <f t="shared" si="847"/>
        <v>0</v>
      </c>
      <c r="AF3596" s="2">
        <f t="shared" si="848"/>
        <v>0</v>
      </c>
      <c r="AG3596" s="2">
        <f t="shared" si="849"/>
        <v>0</v>
      </c>
    </row>
    <row r="3597" spans="1:33">
      <c r="A3597" s="20" t="s">
        <v>19943</v>
      </c>
      <c r="B3597" s="150"/>
      <c r="C3597" s="21" t="s">
        <v>19837</v>
      </c>
      <c r="D3597" s="109" t="s">
        <v>3137</v>
      </c>
      <c r="E3597" s="109"/>
      <c r="F3597" s="391" t="s">
        <v>19838</v>
      </c>
      <c r="G3597" s="23" t="s">
        <v>6133</v>
      </c>
      <c r="H3597" s="23"/>
      <c r="I3597" s="23"/>
      <c r="J3597" s="23"/>
      <c r="K3597" s="23"/>
      <c r="L3597" s="375" t="s">
        <v>7787</v>
      </c>
      <c r="M3597" s="351" t="s">
        <v>7787</v>
      </c>
      <c r="N3597" s="267">
        <f t="shared" si="839"/>
        <v>0</v>
      </c>
      <c r="O3597" s="268">
        <f t="shared" si="840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5"/>
        <v>0</v>
      </c>
      <c r="AD3597" s="196">
        <f t="shared" si="846"/>
        <v>0</v>
      </c>
      <c r="AE3597" s="196">
        <f t="shared" si="847"/>
        <v>0</v>
      </c>
      <c r="AF3597" s="2">
        <f t="shared" si="848"/>
        <v>0</v>
      </c>
      <c r="AG3597" s="2">
        <f t="shared" si="849"/>
        <v>0</v>
      </c>
    </row>
    <row r="3598" spans="1:33">
      <c r="A3598" s="20" t="s">
        <v>19966</v>
      </c>
      <c r="B3598" s="150"/>
      <c r="C3598" s="21" t="s">
        <v>19994</v>
      </c>
      <c r="D3598" s="109" t="s">
        <v>19995</v>
      </c>
      <c r="E3598" s="109"/>
      <c r="F3598" s="391" t="s">
        <v>20056</v>
      </c>
      <c r="G3598" s="23" t="s">
        <v>15025</v>
      </c>
      <c r="H3598" s="23" t="s">
        <v>23496</v>
      </c>
      <c r="I3598" s="23"/>
      <c r="J3598" s="23"/>
      <c r="K3598" s="23"/>
      <c r="L3598" s="375" t="s">
        <v>7787</v>
      </c>
      <c r="M3598" s="351" t="s">
        <v>7787</v>
      </c>
      <c r="N3598" s="267">
        <f t="shared" si="839"/>
        <v>0</v>
      </c>
      <c r="O3598" s="268">
        <f t="shared" si="840"/>
        <v>0</v>
      </c>
      <c r="P3598" s="239"/>
      <c r="Q3598" s="248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5"/>
        <v>0</v>
      </c>
      <c r="AD3598" s="196">
        <f t="shared" si="846"/>
        <v>0</v>
      </c>
      <c r="AE3598" s="196">
        <f t="shared" si="847"/>
        <v>0</v>
      </c>
      <c r="AF3598" s="2">
        <f t="shared" si="848"/>
        <v>0</v>
      </c>
      <c r="AG3598" s="2">
        <f t="shared" si="849"/>
        <v>0</v>
      </c>
    </row>
    <row r="3599" spans="1:33">
      <c r="A3599" s="20" t="s">
        <v>20470</v>
      </c>
      <c r="B3599" s="150"/>
      <c r="C3599" s="21" t="s">
        <v>19994</v>
      </c>
      <c r="D3599" s="109" t="s">
        <v>20297</v>
      </c>
      <c r="E3599" s="109"/>
      <c r="F3599" s="391" t="s">
        <v>20056</v>
      </c>
      <c r="G3599" s="23" t="s">
        <v>20298</v>
      </c>
      <c r="H3599" s="23"/>
      <c r="I3599" s="23"/>
      <c r="J3599" s="23"/>
      <c r="K3599" s="23"/>
      <c r="L3599" s="375"/>
      <c r="M3599" s="351"/>
      <c r="N3599" s="267">
        <f t="shared" si="839"/>
        <v>0</v>
      </c>
      <c r="O3599" s="268">
        <f t="shared" si="840"/>
        <v>0</v>
      </c>
      <c r="P3599" s="239"/>
      <c r="Q3599" s="248"/>
      <c r="R3599" s="248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5"/>
        <v>0</v>
      </c>
      <c r="AD3599" s="196">
        <f t="shared" si="846"/>
        <v>0</v>
      </c>
      <c r="AE3599" s="196">
        <f t="shared" si="847"/>
        <v>0</v>
      </c>
      <c r="AF3599" s="2">
        <f t="shared" si="848"/>
        <v>0</v>
      </c>
      <c r="AG3599" s="2">
        <f t="shared" si="849"/>
        <v>0</v>
      </c>
    </row>
    <row r="3600" spans="1:33">
      <c r="A3600" s="20" t="s">
        <v>19944</v>
      </c>
      <c r="B3600" s="150"/>
      <c r="C3600" s="21" t="s">
        <v>19828</v>
      </c>
      <c r="D3600" s="109" t="s">
        <v>5649</v>
      </c>
      <c r="E3600" s="109"/>
      <c r="F3600" s="391" t="s">
        <v>19972</v>
      </c>
      <c r="G3600" s="23" t="s">
        <v>13565</v>
      </c>
      <c r="H3600" s="23"/>
      <c r="I3600" s="23"/>
      <c r="J3600" s="23"/>
      <c r="K3600" s="23"/>
      <c r="L3600" s="375" t="s">
        <v>7787</v>
      </c>
      <c r="M3600" s="351"/>
      <c r="N3600" s="267">
        <f t="shared" si="839"/>
        <v>0</v>
      </c>
      <c r="O3600" s="268">
        <f t="shared" si="840"/>
        <v>0</v>
      </c>
      <c r="P3600" s="239"/>
      <c r="Q3600" s="239"/>
      <c r="R3600" s="248"/>
      <c r="S3600" s="239"/>
      <c r="T3600" s="239"/>
      <c r="U3600" s="240"/>
      <c r="V3600" s="248"/>
      <c r="W3600" s="240"/>
      <c r="X3600" s="278"/>
      <c r="Y3600" s="237"/>
      <c r="Z3600" s="237"/>
      <c r="AA3600" s="279"/>
      <c r="AB3600" s="238"/>
      <c r="AC3600" s="196">
        <f t="shared" si="845"/>
        <v>0</v>
      </c>
      <c r="AD3600" s="196">
        <f t="shared" si="846"/>
        <v>0</v>
      </c>
      <c r="AE3600" s="196">
        <f t="shared" si="847"/>
        <v>0</v>
      </c>
      <c r="AF3600" s="2">
        <f t="shared" si="848"/>
        <v>0</v>
      </c>
      <c r="AG3600" s="2">
        <f t="shared" si="849"/>
        <v>0</v>
      </c>
    </row>
    <row r="3601" spans="1:33">
      <c r="A3601" s="20" t="s">
        <v>19945</v>
      </c>
      <c r="B3601" s="150"/>
      <c r="C3601" s="21" t="s">
        <v>19726</v>
      </c>
      <c r="D3601" s="109" t="s">
        <v>3137</v>
      </c>
      <c r="E3601" s="109" t="s">
        <v>24177</v>
      </c>
      <c r="F3601" s="391" t="s">
        <v>19742</v>
      </c>
      <c r="G3601" s="23" t="s">
        <v>16630</v>
      </c>
      <c r="H3601" s="23" t="s">
        <v>15190</v>
      </c>
      <c r="I3601" s="23"/>
      <c r="J3601" s="23"/>
      <c r="K3601" s="23"/>
      <c r="L3601" s="375"/>
      <c r="M3601" s="351" t="s">
        <v>7787</v>
      </c>
      <c r="N3601" s="267">
        <f t="shared" si="839"/>
        <v>0</v>
      </c>
      <c r="O3601" s="268">
        <f t="shared" si="840"/>
        <v>0</v>
      </c>
      <c r="P3601" s="239"/>
      <c r="Q3601" s="248"/>
      <c r="R3601" s="239"/>
      <c r="S3601" s="239"/>
      <c r="T3601" s="239"/>
      <c r="U3601" s="240"/>
      <c r="V3601" s="248"/>
      <c r="W3601" s="240"/>
      <c r="X3601" s="278"/>
      <c r="Y3601" s="237"/>
      <c r="Z3601" s="237"/>
      <c r="AA3601" s="279"/>
      <c r="AB3601" s="238"/>
      <c r="AC3601" s="196">
        <f t="shared" si="845"/>
        <v>0</v>
      </c>
      <c r="AD3601" s="196">
        <f t="shared" si="846"/>
        <v>0</v>
      </c>
      <c r="AE3601" s="196">
        <f t="shared" si="847"/>
        <v>0</v>
      </c>
      <c r="AF3601" s="2">
        <f t="shared" si="848"/>
        <v>0</v>
      </c>
      <c r="AG3601" s="2">
        <f t="shared" si="849"/>
        <v>0</v>
      </c>
    </row>
    <row r="3602" spans="1:33">
      <c r="A3602" s="20" t="s">
        <v>2845</v>
      </c>
      <c r="B3602" s="150"/>
      <c r="C3602" s="21" t="s">
        <v>703</v>
      </c>
      <c r="D3602" s="109" t="s">
        <v>15161</v>
      </c>
      <c r="E3602" s="109"/>
      <c r="F3602" s="391" t="s">
        <v>16823</v>
      </c>
      <c r="G3602" s="23" t="s">
        <v>16468</v>
      </c>
      <c r="H3602" s="23"/>
      <c r="I3602" s="23"/>
      <c r="J3602" s="23"/>
      <c r="K3602" s="23"/>
      <c r="L3602" s="375" t="s">
        <v>7787</v>
      </c>
      <c r="M3602" s="351" t="s">
        <v>7787</v>
      </c>
      <c r="N3602" s="267">
        <f t="shared" si="839"/>
        <v>0</v>
      </c>
      <c r="O3602" s="268">
        <f t="shared" si="840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5"/>
        <v>0</v>
      </c>
      <c r="AD3602" s="196">
        <f t="shared" si="846"/>
        <v>0</v>
      </c>
      <c r="AE3602" s="196">
        <f t="shared" si="847"/>
        <v>0</v>
      </c>
      <c r="AF3602" s="2">
        <f t="shared" si="848"/>
        <v>0</v>
      </c>
      <c r="AG3602" s="2">
        <f t="shared" si="849"/>
        <v>0</v>
      </c>
    </row>
    <row r="3603" spans="1:33">
      <c r="A3603" s="20" t="s">
        <v>2846</v>
      </c>
      <c r="B3603" s="150"/>
      <c r="C3603" s="21" t="s">
        <v>703</v>
      </c>
      <c r="D3603" s="109" t="s">
        <v>15167</v>
      </c>
      <c r="E3603" s="109"/>
      <c r="F3603" s="391" t="s">
        <v>16823</v>
      </c>
      <c r="G3603" s="23"/>
      <c r="H3603" s="23"/>
      <c r="I3603" s="23"/>
      <c r="J3603" s="23"/>
      <c r="K3603" s="23"/>
      <c r="L3603" s="350"/>
      <c r="M3603" s="351"/>
      <c r="N3603" s="267">
        <f t="shared" si="839"/>
        <v>0</v>
      </c>
      <c r="O3603" s="268">
        <f t="shared" si="840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79"/>
      <c r="AB3603" s="238"/>
      <c r="AC3603" s="196">
        <f t="shared" si="845"/>
        <v>0</v>
      </c>
      <c r="AD3603" s="196">
        <f t="shared" si="846"/>
        <v>0</v>
      </c>
      <c r="AE3603" s="196">
        <f t="shared" si="847"/>
        <v>0</v>
      </c>
      <c r="AF3603" s="2">
        <f t="shared" si="848"/>
        <v>0</v>
      </c>
      <c r="AG3603" s="2">
        <f t="shared" si="849"/>
        <v>0</v>
      </c>
    </row>
    <row r="3604" spans="1:33">
      <c r="A3604" s="20" t="s">
        <v>19946</v>
      </c>
      <c r="B3604" s="150"/>
      <c r="C3604" s="21" t="s">
        <v>19722</v>
      </c>
      <c r="D3604" s="109" t="s">
        <v>19723</v>
      </c>
      <c r="E3604" s="109"/>
      <c r="F3604" s="391" t="s">
        <v>19741</v>
      </c>
      <c r="G3604" s="23" t="s">
        <v>18745</v>
      </c>
      <c r="H3604" s="23"/>
      <c r="I3604" s="23"/>
      <c r="J3604" s="23"/>
      <c r="K3604" s="23"/>
      <c r="L3604" s="375" t="s">
        <v>7787</v>
      </c>
      <c r="M3604" s="351" t="s">
        <v>7787</v>
      </c>
      <c r="N3604" s="267">
        <f t="shared" si="839"/>
        <v>0</v>
      </c>
      <c r="O3604" s="268">
        <f t="shared" si="840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39"/>
      <c r="Z3604" s="237"/>
      <c r="AA3604" s="279"/>
      <c r="AB3604" s="238"/>
      <c r="AC3604" s="196">
        <f t="shared" si="845"/>
        <v>0</v>
      </c>
      <c r="AD3604" s="196">
        <f t="shared" si="846"/>
        <v>0</v>
      </c>
      <c r="AE3604" s="196">
        <f t="shared" si="847"/>
        <v>0</v>
      </c>
      <c r="AF3604" s="2">
        <f t="shared" si="848"/>
        <v>0</v>
      </c>
      <c r="AG3604" s="2">
        <f t="shared" si="849"/>
        <v>0</v>
      </c>
    </row>
    <row r="3605" spans="1:33">
      <c r="A3605" s="20" t="s">
        <v>19947</v>
      </c>
      <c r="B3605" s="150"/>
      <c r="C3605" s="21" t="s">
        <v>19668</v>
      </c>
      <c r="D3605" s="109" t="s">
        <v>19669</v>
      </c>
      <c r="E3605" s="109"/>
      <c r="F3605" s="391" t="s">
        <v>19692</v>
      </c>
      <c r="G3605" s="23" t="s">
        <v>19670</v>
      </c>
      <c r="H3605" s="23"/>
      <c r="I3605" s="23"/>
      <c r="J3605" s="23"/>
      <c r="K3605" s="23"/>
      <c r="L3605" s="375" t="s">
        <v>7787</v>
      </c>
      <c r="M3605" s="351" t="s">
        <v>7787</v>
      </c>
      <c r="N3605" s="267">
        <f t="shared" si="839"/>
        <v>0</v>
      </c>
      <c r="O3605" s="268">
        <f t="shared" si="840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39"/>
      <c r="Z3605" s="237"/>
      <c r="AA3605" s="240"/>
      <c r="AB3605" s="238"/>
      <c r="AC3605" s="196">
        <f t="shared" si="845"/>
        <v>0</v>
      </c>
      <c r="AD3605" s="196">
        <f t="shared" si="846"/>
        <v>0</v>
      </c>
      <c r="AE3605" s="196">
        <f t="shared" si="847"/>
        <v>0</v>
      </c>
      <c r="AF3605" s="2">
        <f t="shared" si="848"/>
        <v>0</v>
      </c>
      <c r="AG3605" s="2">
        <f t="shared" si="849"/>
        <v>0</v>
      </c>
    </row>
    <row r="3606" spans="1:33">
      <c r="A3606" s="20" t="s">
        <v>19948</v>
      </c>
      <c r="B3606" s="150"/>
      <c r="C3606" s="21" t="s">
        <v>19764</v>
      </c>
      <c r="D3606" s="109" t="s">
        <v>5979</v>
      </c>
      <c r="E3606" s="109"/>
      <c r="F3606" s="391" t="s">
        <v>19815</v>
      </c>
      <c r="G3606" s="23" t="s">
        <v>19765</v>
      </c>
      <c r="H3606" s="23"/>
      <c r="I3606" s="23"/>
      <c r="J3606" s="23"/>
      <c r="K3606" s="23"/>
      <c r="L3606" s="375" t="s">
        <v>7787</v>
      </c>
      <c r="M3606" s="351"/>
      <c r="N3606" s="267">
        <f t="shared" si="839"/>
        <v>0</v>
      </c>
      <c r="O3606" s="268">
        <f t="shared" si="840"/>
        <v>0</v>
      </c>
      <c r="P3606" s="239"/>
      <c r="Q3606" s="239"/>
      <c r="R3606" s="239"/>
      <c r="S3606" s="239"/>
      <c r="T3606" s="239"/>
      <c r="U3606" s="240"/>
      <c r="V3606" s="240"/>
      <c r="W3606" s="240"/>
      <c r="X3606" s="278"/>
      <c r="Y3606" s="240"/>
      <c r="Z3606" s="237"/>
      <c r="AA3606" s="279"/>
      <c r="AB3606" s="238"/>
      <c r="AC3606" s="196">
        <f t="shared" si="845"/>
        <v>0</v>
      </c>
      <c r="AD3606" s="196">
        <f t="shared" si="846"/>
        <v>0</v>
      </c>
      <c r="AE3606" s="196">
        <f t="shared" si="847"/>
        <v>0</v>
      </c>
      <c r="AF3606" s="2">
        <f t="shared" si="848"/>
        <v>0</v>
      </c>
      <c r="AG3606" s="2">
        <f t="shared" si="849"/>
        <v>0</v>
      </c>
    </row>
    <row r="3607" spans="1:33">
      <c r="A3607" s="20" t="s">
        <v>21476</v>
      </c>
      <c r="B3607" s="150"/>
      <c r="C3607" s="21" t="s">
        <v>20843</v>
      </c>
      <c r="D3607" s="109" t="s">
        <v>5979</v>
      </c>
      <c r="E3607" s="109" t="s">
        <v>20844</v>
      </c>
      <c r="F3607" s="391" t="s">
        <v>19815</v>
      </c>
      <c r="G3607" s="23" t="s">
        <v>15443</v>
      </c>
      <c r="H3607" s="23"/>
      <c r="I3607" s="23"/>
      <c r="J3607" s="23"/>
      <c r="K3607" s="23"/>
      <c r="L3607" s="375"/>
      <c r="M3607" s="351" t="s">
        <v>7787</v>
      </c>
      <c r="N3607" s="267">
        <f t="shared" si="839"/>
        <v>0</v>
      </c>
      <c r="O3607" s="268">
        <f t="shared" si="840"/>
        <v>0</v>
      </c>
      <c r="P3607" s="239"/>
      <c r="Q3607" s="239"/>
      <c r="R3607" s="239"/>
      <c r="S3607" s="239"/>
      <c r="T3607" s="239"/>
      <c r="U3607" s="240"/>
      <c r="V3607" s="240"/>
      <c r="W3607" s="240"/>
      <c r="X3607" s="278"/>
      <c r="Y3607" s="244"/>
      <c r="Z3607" s="237"/>
      <c r="AA3607" s="279"/>
      <c r="AB3607" s="238"/>
      <c r="AC3607" s="196">
        <f t="shared" si="845"/>
        <v>0</v>
      </c>
      <c r="AD3607" s="196">
        <f t="shared" si="846"/>
        <v>0</v>
      </c>
      <c r="AE3607" s="196">
        <f t="shared" si="847"/>
        <v>0</v>
      </c>
      <c r="AF3607" s="2">
        <f t="shared" si="848"/>
        <v>0</v>
      </c>
      <c r="AG3607" s="2">
        <f t="shared" si="849"/>
        <v>0</v>
      </c>
    </row>
    <row r="3608" spans="1:33">
      <c r="A3608" s="20" t="s">
        <v>19949</v>
      </c>
      <c r="B3608" s="150"/>
      <c r="C3608" s="21" t="s">
        <v>19811</v>
      </c>
      <c r="D3608" s="109" t="s">
        <v>19812</v>
      </c>
      <c r="E3608" s="109" t="s">
        <v>25653</v>
      </c>
      <c r="F3608" s="391" t="s">
        <v>19814</v>
      </c>
      <c r="G3608" s="23" t="s">
        <v>14533</v>
      </c>
      <c r="H3608" s="23" t="s">
        <v>19835</v>
      </c>
      <c r="I3608" s="23" t="s">
        <v>13888</v>
      </c>
      <c r="J3608" s="23"/>
      <c r="K3608" s="23"/>
      <c r="L3608" s="375" t="s">
        <v>7787</v>
      </c>
      <c r="M3608" s="351" t="s">
        <v>7787</v>
      </c>
      <c r="N3608" s="267">
        <f t="shared" si="839"/>
        <v>0</v>
      </c>
      <c r="O3608" s="268">
        <f t="shared" si="840"/>
        <v>16900</v>
      </c>
      <c r="P3608" s="239"/>
      <c r="Q3608" s="239"/>
      <c r="R3608" s="470"/>
      <c r="S3608" s="239"/>
      <c r="T3608" s="470">
        <f>10800-4700+6300+5000-500</f>
        <v>16900</v>
      </c>
      <c r="U3608" s="240"/>
      <c r="V3608" s="239"/>
      <c r="W3608" s="240"/>
      <c r="X3608" s="278"/>
      <c r="Y3608" s="239"/>
      <c r="Z3608" s="237"/>
      <c r="AA3608" s="279"/>
      <c r="AB3608" s="238" t="s">
        <v>26902</v>
      </c>
      <c r="AC3608" s="196">
        <f t="shared" si="845"/>
        <v>16900</v>
      </c>
      <c r="AD3608" s="196">
        <f t="shared" si="846"/>
        <v>16900</v>
      </c>
      <c r="AE3608" s="196">
        <f t="shared" si="847"/>
        <v>0</v>
      </c>
      <c r="AF3608" s="2">
        <f t="shared" si="848"/>
        <v>16900</v>
      </c>
      <c r="AG3608" s="2">
        <f t="shared" si="849"/>
        <v>0</v>
      </c>
    </row>
    <row r="3609" spans="1:33">
      <c r="A3609" s="20" t="s">
        <v>19950</v>
      </c>
      <c r="B3609" s="150"/>
      <c r="C3609" s="21" t="s">
        <v>19861</v>
      </c>
      <c r="D3609" s="109" t="s">
        <v>9855</v>
      </c>
      <c r="E3609" s="109"/>
      <c r="F3609" s="391" t="s">
        <v>17610</v>
      </c>
      <c r="G3609" s="23" t="s">
        <v>6133</v>
      </c>
      <c r="H3609" s="23"/>
      <c r="I3609" s="23"/>
      <c r="J3609" s="23"/>
      <c r="K3609" s="23"/>
      <c r="L3609" s="375" t="s">
        <v>7787</v>
      </c>
      <c r="M3609" s="351"/>
      <c r="N3609" s="267">
        <f t="shared" si="839"/>
        <v>0</v>
      </c>
      <c r="O3609" s="268">
        <f t="shared" si="840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5"/>
        <v>0</v>
      </c>
      <c r="AD3609" s="196">
        <f t="shared" si="846"/>
        <v>0</v>
      </c>
      <c r="AE3609" s="196">
        <f t="shared" si="847"/>
        <v>0</v>
      </c>
      <c r="AF3609" s="2">
        <f t="shared" si="848"/>
        <v>0</v>
      </c>
      <c r="AG3609" s="2">
        <f t="shared" si="849"/>
        <v>0</v>
      </c>
    </row>
    <row r="3610" spans="1:33">
      <c r="A3610" s="20" t="s">
        <v>2827</v>
      </c>
      <c r="B3610" s="150"/>
      <c r="C3610" s="21" t="s">
        <v>16824</v>
      </c>
      <c r="D3610" s="109" t="s">
        <v>16795</v>
      </c>
      <c r="E3610" s="109"/>
      <c r="F3610" s="391" t="s">
        <v>16801</v>
      </c>
      <c r="G3610" s="23"/>
      <c r="H3610" s="23"/>
      <c r="I3610" s="23"/>
      <c r="J3610" s="23"/>
      <c r="K3610" s="23"/>
      <c r="L3610" s="350"/>
      <c r="M3610" s="351"/>
      <c r="N3610" s="267">
        <f t="shared" si="839"/>
        <v>0</v>
      </c>
      <c r="O3610" s="268">
        <f t="shared" si="840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5"/>
        <v>0</v>
      </c>
      <c r="AD3610" s="196">
        <f t="shared" si="846"/>
        <v>0</v>
      </c>
      <c r="AE3610" s="196">
        <f t="shared" si="847"/>
        <v>0</v>
      </c>
      <c r="AF3610" s="2">
        <f t="shared" si="848"/>
        <v>0</v>
      </c>
      <c r="AG3610" s="2">
        <f t="shared" si="849"/>
        <v>0</v>
      </c>
    </row>
    <row r="3611" spans="1:33">
      <c r="A3611" s="20" t="s">
        <v>19952</v>
      </c>
      <c r="B3611" s="150"/>
      <c r="C3611" s="21" t="s">
        <v>19725</v>
      </c>
      <c r="D3611" s="109" t="s">
        <v>5979</v>
      </c>
      <c r="E3611" s="109"/>
      <c r="F3611" s="391" t="s">
        <v>19743</v>
      </c>
      <c r="G3611" s="23" t="s">
        <v>19744</v>
      </c>
      <c r="H3611" s="23"/>
      <c r="I3611" s="23"/>
      <c r="J3611" s="23"/>
      <c r="K3611" s="23"/>
      <c r="L3611" s="375" t="s">
        <v>7787</v>
      </c>
      <c r="M3611" s="351" t="s">
        <v>7787</v>
      </c>
      <c r="N3611" s="267">
        <f t="shared" si="839"/>
        <v>0</v>
      </c>
      <c r="O3611" s="268">
        <f t="shared" si="840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5"/>
        <v>0</v>
      </c>
      <c r="AD3611" s="196">
        <f t="shared" si="846"/>
        <v>0</v>
      </c>
      <c r="AE3611" s="196">
        <f t="shared" si="847"/>
        <v>0</v>
      </c>
      <c r="AF3611" s="2">
        <f t="shared" si="848"/>
        <v>0</v>
      </c>
      <c r="AG3611" s="2">
        <f t="shared" si="849"/>
        <v>0</v>
      </c>
    </row>
    <row r="3612" spans="1:33">
      <c r="A3612" s="20" t="s">
        <v>2847</v>
      </c>
      <c r="B3612" s="162"/>
      <c r="C3612" s="21" t="s">
        <v>16825</v>
      </c>
      <c r="D3612" s="109" t="s">
        <v>16795</v>
      </c>
      <c r="E3612" s="109"/>
      <c r="F3612" s="391" t="s">
        <v>16823</v>
      </c>
      <c r="G3612" s="23" t="s">
        <v>16141</v>
      </c>
      <c r="H3612" s="23" t="s">
        <v>16070</v>
      </c>
      <c r="I3612" s="23"/>
      <c r="J3612" s="23"/>
      <c r="K3612" s="23"/>
      <c r="L3612" s="375" t="s">
        <v>7787</v>
      </c>
      <c r="M3612" s="351" t="s">
        <v>7787</v>
      </c>
      <c r="N3612" s="267">
        <f t="shared" si="839"/>
        <v>0</v>
      </c>
      <c r="O3612" s="268">
        <f t="shared" si="840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5"/>
        <v>0</v>
      </c>
      <c r="AD3612" s="196">
        <f t="shared" si="846"/>
        <v>0</v>
      </c>
      <c r="AE3612" s="196">
        <f t="shared" si="847"/>
        <v>0</v>
      </c>
      <c r="AF3612" s="2">
        <f t="shared" si="848"/>
        <v>0</v>
      </c>
      <c r="AG3612" s="2">
        <f t="shared" si="849"/>
        <v>0</v>
      </c>
    </row>
    <row r="3613" spans="1:33">
      <c r="A3613" s="20" t="s">
        <v>2848</v>
      </c>
      <c r="B3613" s="152"/>
      <c r="C3613" s="21" t="s">
        <v>16825</v>
      </c>
      <c r="D3613" s="109" t="s">
        <v>16795</v>
      </c>
      <c r="E3613" s="109"/>
      <c r="F3613" s="391" t="s">
        <v>16823</v>
      </c>
      <c r="G3613" s="23" t="s">
        <v>16141</v>
      </c>
      <c r="H3613" s="23"/>
      <c r="I3613" s="23"/>
      <c r="J3613" s="23"/>
      <c r="K3613" s="23"/>
      <c r="L3613" s="350"/>
      <c r="M3613" s="351"/>
      <c r="N3613" s="267">
        <f t="shared" si="839"/>
        <v>0</v>
      </c>
      <c r="O3613" s="268">
        <f t="shared" si="840"/>
        <v>0</v>
      </c>
      <c r="P3613" s="239"/>
      <c r="Q3613" s="239"/>
      <c r="R3613" s="239"/>
      <c r="S3613" s="239"/>
      <c r="T3613" s="239"/>
      <c r="U3613" s="240"/>
      <c r="V3613" s="240"/>
      <c r="W3613" s="240"/>
      <c r="X3613" s="278"/>
      <c r="Y3613" s="237"/>
      <c r="Z3613" s="237"/>
      <c r="AA3613" s="279"/>
      <c r="AB3613" s="238"/>
      <c r="AC3613" s="196">
        <f t="shared" si="845"/>
        <v>0</v>
      </c>
      <c r="AD3613" s="196">
        <f t="shared" si="846"/>
        <v>0</v>
      </c>
      <c r="AE3613" s="196">
        <f t="shared" si="847"/>
        <v>0</v>
      </c>
      <c r="AF3613" s="2">
        <f t="shared" si="848"/>
        <v>0</v>
      </c>
      <c r="AG3613" s="2">
        <f t="shared" si="849"/>
        <v>0</v>
      </c>
    </row>
    <row r="3614" spans="1:33">
      <c r="A3614" s="20" t="s">
        <v>20471</v>
      </c>
      <c r="B3614" s="162"/>
      <c r="C3614" s="21" t="s">
        <v>20396</v>
      </c>
      <c r="D3614" s="109" t="s">
        <v>20397</v>
      </c>
      <c r="E3614" s="109" t="s">
        <v>22524</v>
      </c>
      <c r="F3614" s="391" t="s">
        <v>20410</v>
      </c>
      <c r="G3614" s="23" t="s">
        <v>20012</v>
      </c>
      <c r="H3614" s="23"/>
      <c r="I3614" s="23"/>
      <c r="J3614" s="23"/>
      <c r="K3614" s="23"/>
      <c r="L3614" s="375" t="s">
        <v>7787</v>
      </c>
      <c r="M3614" s="351">
        <v>200</v>
      </c>
      <c r="N3614" s="267">
        <f t="shared" si="839"/>
        <v>200</v>
      </c>
      <c r="O3614" s="268">
        <f t="shared" si="840"/>
        <v>0</v>
      </c>
      <c r="P3614" s="239"/>
      <c r="Q3614" s="239"/>
      <c r="R3614" s="239"/>
      <c r="S3614" s="239"/>
      <c r="T3614" s="239"/>
      <c r="U3614" s="240"/>
      <c r="V3614" s="240"/>
      <c r="W3614" s="240"/>
      <c r="X3614" s="278"/>
      <c r="Y3614" s="237"/>
      <c r="Z3614" s="237"/>
      <c r="AA3614" s="279"/>
      <c r="AB3614" s="238"/>
      <c r="AC3614" s="196">
        <f t="shared" si="845"/>
        <v>0</v>
      </c>
      <c r="AD3614" s="196">
        <f t="shared" si="846"/>
        <v>0</v>
      </c>
      <c r="AE3614" s="196">
        <f t="shared" si="847"/>
        <v>0</v>
      </c>
      <c r="AF3614" s="2">
        <f t="shared" si="848"/>
        <v>0</v>
      </c>
      <c r="AG3614" s="2">
        <f t="shared" si="849"/>
        <v>0</v>
      </c>
    </row>
    <row r="3615" spans="1:33">
      <c r="A3615" s="20" t="s">
        <v>20072</v>
      </c>
      <c r="B3615" s="162"/>
      <c r="C3615" s="21" t="s">
        <v>20120</v>
      </c>
      <c r="D3615" s="109" t="s">
        <v>9855</v>
      </c>
      <c r="E3615" s="109" t="s">
        <v>26425</v>
      </c>
      <c r="F3615" s="391" t="s">
        <v>20142</v>
      </c>
      <c r="G3615" s="23" t="s">
        <v>13531</v>
      </c>
      <c r="H3615" s="23" t="s">
        <v>26424</v>
      </c>
      <c r="I3615" s="23"/>
      <c r="J3615" s="23"/>
      <c r="K3615" s="23"/>
      <c r="L3615" s="375" t="s">
        <v>7787</v>
      </c>
      <c r="M3615" s="351"/>
      <c r="N3615" s="267">
        <f t="shared" ref="N3615:N3679" si="858">SUM(L3615:M3615)</f>
        <v>0</v>
      </c>
      <c r="O3615" s="268">
        <f t="shared" ref="O3615:O3679" si="859">SUM(P3615:Z3615)</f>
        <v>1900</v>
      </c>
      <c r="P3615" s="239"/>
      <c r="Q3615" s="239"/>
      <c r="R3615" s="239"/>
      <c r="S3615" s="239"/>
      <c r="T3615" s="239"/>
      <c r="U3615" s="239">
        <f>1000-100+2000-1000</f>
        <v>1900</v>
      </c>
      <c r="V3615" s="240"/>
      <c r="W3615" s="240"/>
      <c r="X3615" s="278"/>
      <c r="Y3615" s="237"/>
      <c r="Z3615" s="237"/>
      <c r="AA3615" s="279"/>
      <c r="AB3615" s="238" t="s">
        <v>27520</v>
      </c>
      <c r="AC3615" s="196">
        <f t="shared" si="845"/>
        <v>1900</v>
      </c>
      <c r="AD3615" s="196">
        <f t="shared" si="846"/>
        <v>1900</v>
      </c>
      <c r="AE3615" s="196">
        <f t="shared" si="847"/>
        <v>0</v>
      </c>
      <c r="AF3615" s="2">
        <f t="shared" si="848"/>
        <v>1900</v>
      </c>
      <c r="AG3615" s="2">
        <f t="shared" si="849"/>
        <v>0</v>
      </c>
    </row>
    <row r="3616" spans="1:33">
      <c r="A3616" s="20" t="s">
        <v>27085</v>
      </c>
      <c r="B3616" s="162"/>
      <c r="C3616" s="21" t="s">
        <v>20120</v>
      </c>
      <c r="D3616" s="109" t="s">
        <v>7761</v>
      </c>
      <c r="E3616" s="109" t="s">
        <v>24817</v>
      </c>
      <c r="F3616" s="391" t="s">
        <v>20142</v>
      </c>
      <c r="G3616" s="23" t="s">
        <v>24824</v>
      </c>
      <c r="H3616" s="23"/>
      <c r="I3616" s="23"/>
      <c r="J3616" s="23"/>
      <c r="K3616" s="23"/>
      <c r="L3616" s="375"/>
      <c r="M3616" s="351"/>
      <c r="N3616" s="267">
        <f t="shared" ref="N3616" si="860">SUM(L3616:M3616)</f>
        <v>0</v>
      </c>
      <c r="O3616" s="268">
        <f t="shared" ref="O3616" si="861">SUM(P3616:Z3616)</f>
        <v>0</v>
      </c>
      <c r="P3616" s="239"/>
      <c r="Q3616" s="239"/>
      <c r="R3616" s="239"/>
      <c r="S3616" s="239"/>
      <c r="T3616" s="239"/>
      <c r="U3616" s="239"/>
      <c r="V3616" s="240"/>
      <c r="W3616" s="240"/>
      <c r="X3616" s="278"/>
      <c r="Y3616" s="237"/>
      <c r="Z3616" s="237"/>
      <c r="AA3616" s="279"/>
      <c r="AB3616" s="238"/>
      <c r="AC3616" s="196">
        <f t="shared" si="845"/>
        <v>0</v>
      </c>
      <c r="AD3616" s="196">
        <f t="shared" si="846"/>
        <v>0</v>
      </c>
      <c r="AE3616" s="196">
        <f t="shared" si="847"/>
        <v>0</v>
      </c>
      <c r="AF3616" s="2">
        <f t="shared" si="848"/>
        <v>0</v>
      </c>
      <c r="AG3616" s="2">
        <f t="shared" si="849"/>
        <v>0</v>
      </c>
    </row>
    <row r="3617" spans="1:33">
      <c r="A3617" s="20" t="s">
        <v>19967</v>
      </c>
      <c r="B3617" s="162"/>
      <c r="C3617" s="21" t="s">
        <v>20022</v>
      </c>
      <c r="D3617" s="109" t="s">
        <v>20023</v>
      </c>
      <c r="E3617" s="109"/>
      <c r="F3617" s="391" t="s">
        <v>20082</v>
      </c>
      <c r="G3617" s="23" t="s">
        <v>13565</v>
      </c>
      <c r="H3617" s="23"/>
      <c r="I3617" s="23"/>
      <c r="J3617" s="23"/>
      <c r="K3617" s="23"/>
      <c r="L3617" s="375" t="s">
        <v>7787</v>
      </c>
      <c r="M3617" s="351" t="s">
        <v>7787</v>
      </c>
      <c r="N3617" s="267">
        <f t="shared" si="858"/>
        <v>0</v>
      </c>
      <c r="O3617" s="268">
        <f t="shared" si="859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5"/>
        <v>0</v>
      </c>
      <c r="AD3617" s="196">
        <f t="shared" si="846"/>
        <v>0</v>
      </c>
      <c r="AE3617" s="196">
        <f t="shared" si="847"/>
        <v>0</v>
      </c>
      <c r="AF3617" s="2">
        <f t="shared" si="848"/>
        <v>0</v>
      </c>
      <c r="AG3617" s="2">
        <f t="shared" si="849"/>
        <v>0</v>
      </c>
    </row>
    <row r="3618" spans="1:33">
      <c r="A3618" s="20" t="s">
        <v>19968</v>
      </c>
      <c r="B3618" s="162"/>
      <c r="C3618" s="21" t="s">
        <v>19975</v>
      </c>
      <c r="D3618" s="109" t="s">
        <v>19977</v>
      </c>
      <c r="E3618" s="109"/>
      <c r="F3618" s="391" t="s">
        <v>20002</v>
      </c>
      <c r="G3618" s="23" t="s">
        <v>20012</v>
      </c>
      <c r="H3618" s="23"/>
      <c r="I3618" s="23"/>
      <c r="J3618" s="23"/>
      <c r="K3618" s="23"/>
      <c r="L3618" s="375"/>
      <c r="M3618" s="351" t="s">
        <v>7787</v>
      </c>
      <c r="N3618" s="267">
        <f t="shared" si="858"/>
        <v>0</v>
      </c>
      <c r="O3618" s="268">
        <f t="shared" si="859"/>
        <v>0</v>
      </c>
      <c r="P3618" s="239"/>
      <c r="Q3618" s="239"/>
      <c r="R3618" s="239"/>
      <c r="S3618" s="239"/>
      <c r="T3618" s="239"/>
      <c r="U3618" s="240"/>
      <c r="V3618" s="240"/>
      <c r="W3618" s="240"/>
      <c r="X3618" s="278"/>
      <c r="Y3618" s="237"/>
      <c r="Z3618" s="237"/>
      <c r="AA3618" s="279"/>
      <c r="AB3618" s="238"/>
      <c r="AC3618" s="196">
        <f t="shared" si="845"/>
        <v>0</v>
      </c>
      <c r="AD3618" s="196">
        <f t="shared" si="846"/>
        <v>0</v>
      </c>
      <c r="AE3618" s="196">
        <f t="shared" si="847"/>
        <v>0</v>
      </c>
      <c r="AF3618" s="2">
        <f t="shared" si="848"/>
        <v>0</v>
      </c>
      <c r="AG3618" s="2">
        <f t="shared" si="849"/>
        <v>0</v>
      </c>
    </row>
    <row r="3619" spans="1:33">
      <c r="A3619" s="20" t="s">
        <v>20472</v>
      </c>
      <c r="B3619" s="162"/>
      <c r="C3619" s="21" t="s">
        <v>19975</v>
      </c>
      <c r="D3619" s="109" t="s">
        <v>20283</v>
      </c>
      <c r="E3619" s="109"/>
      <c r="F3619" s="391" t="s">
        <v>20002</v>
      </c>
      <c r="G3619" s="23" t="s">
        <v>15025</v>
      </c>
      <c r="H3619" s="23"/>
      <c r="I3619" s="23"/>
      <c r="J3619" s="23"/>
      <c r="K3619" s="23"/>
      <c r="L3619" s="375" t="s">
        <v>7787</v>
      </c>
      <c r="M3619" s="351"/>
      <c r="N3619" s="267">
        <f t="shared" si="858"/>
        <v>0</v>
      </c>
      <c r="O3619" s="268">
        <f t="shared" si="859"/>
        <v>0</v>
      </c>
      <c r="P3619" s="239"/>
      <c r="Q3619" s="239"/>
      <c r="R3619" s="239"/>
      <c r="S3619" s="239"/>
      <c r="T3619" s="239"/>
      <c r="U3619" s="240"/>
      <c r="V3619" s="240"/>
      <c r="W3619" s="240"/>
      <c r="X3619" s="278"/>
      <c r="Y3619" s="237"/>
      <c r="Z3619" s="237"/>
      <c r="AA3619" s="279"/>
      <c r="AB3619" s="238"/>
      <c r="AC3619" s="196">
        <f t="shared" si="845"/>
        <v>0</v>
      </c>
      <c r="AD3619" s="196">
        <f t="shared" si="846"/>
        <v>0</v>
      </c>
      <c r="AE3619" s="196">
        <f t="shared" si="847"/>
        <v>0</v>
      </c>
      <c r="AF3619" s="2">
        <f t="shared" si="848"/>
        <v>0</v>
      </c>
      <c r="AG3619" s="2">
        <f t="shared" si="849"/>
        <v>0</v>
      </c>
    </row>
    <row r="3620" spans="1:33">
      <c r="A3620" s="20" t="s">
        <v>19969</v>
      </c>
      <c r="B3620" s="162"/>
      <c r="C3620" s="21" t="s">
        <v>20029</v>
      </c>
      <c r="D3620" s="109" t="s">
        <v>9855</v>
      </c>
      <c r="E3620" s="109"/>
      <c r="F3620" s="391" t="s">
        <v>20042</v>
      </c>
      <c r="G3620" s="23" t="s">
        <v>13301</v>
      </c>
      <c r="H3620" s="23"/>
      <c r="I3620" s="23"/>
      <c r="J3620" s="23"/>
      <c r="K3620" s="23"/>
      <c r="L3620" s="375" t="s">
        <v>27925</v>
      </c>
      <c r="M3620" s="351" t="s">
        <v>45</v>
      </c>
      <c r="N3620" s="267">
        <f t="shared" si="858"/>
        <v>0</v>
      </c>
      <c r="O3620" s="268">
        <f t="shared" si="859"/>
        <v>300</v>
      </c>
      <c r="P3620" s="239"/>
      <c r="Q3620" s="239"/>
      <c r="R3620" s="240"/>
      <c r="S3620" s="239"/>
      <c r="T3620" s="239"/>
      <c r="U3620" s="240">
        <f>3500-3200</f>
        <v>300</v>
      </c>
      <c r="V3620" s="240"/>
      <c r="W3620" s="240"/>
      <c r="X3620" s="278"/>
      <c r="Y3620" s="237"/>
      <c r="Z3620" s="237"/>
      <c r="AA3620" s="279"/>
      <c r="AB3620" s="238" t="s">
        <v>27916</v>
      </c>
      <c r="AC3620" s="196">
        <f t="shared" si="845"/>
        <v>300</v>
      </c>
      <c r="AD3620" s="196">
        <f t="shared" si="846"/>
        <v>300</v>
      </c>
      <c r="AE3620" s="196">
        <f t="shared" si="847"/>
        <v>0</v>
      </c>
      <c r="AF3620" s="2">
        <f t="shared" si="848"/>
        <v>300</v>
      </c>
      <c r="AG3620" s="2">
        <f t="shared" si="849"/>
        <v>0</v>
      </c>
    </row>
    <row r="3621" spans="1:33">
      <c r="A3621" s="20" t="s">
        <v>21477</v>
      </c>
      <c r="B3621" s="162"/>
      <c r="C3621" s="21" t="s">
        <v>20527</v>
      </c>
      <c r="D3621" s="109" t="s">
        <v>20528</v>
      </c>
      <c r="E3621" s="109" t="s">
        <v>21341</v>
      </c>
      <c r="F3621" s="391" t="s">
        <v>20542</v>
      </c>
      <c r="G3621" s="23" t="s">
        <v>20529</v>
      </c>
      <c r="H3621" s="23" t="s">
        <v>24516</v>
      </c>
      <c r="I3621" s="23"/>
      <c r="J3621" s="23"/>
      <c r="K3621" s="23"/>
      <c r="L3621" s="375"/>
      <c r="M3621" s="351" t="s">
        <v>7787</v>
      </c>
      <c r="N3621" s="267">
        <f t="shared" si="858"/>
        <v>0</v>
      </c>
      <c r="O3621" s="268">
        <f t="shared" si="859"/>
        <v>7400</v>
      </c>
      <c r="P3621" s="239"/>
      <c r="Q3621" s="239"/>
      <c r="R3621" s="239"/>
      <c r="S3621" s="239"/>
      <c r="T3621" s="239"/>
      <c r="U3621" s="240">
        <f>2000+3400+3400+2800+3400+3400-18000+3200+3800</f>
        <v>7400</v>
      </c>
      <c r="V3621" s="240"/>
      <c r="W3621" s="240"/>
      <c r="X3621" s="278"/>
      <c r="Y3621" s="237"/>
      <c r="Z3621" s="237"/>
      <c r="AA3621" s="279"/>
      <c r="AB3621" s="238" t="s">
        <v>28008</v>
      </c>
      <c r="AC3621" s="196">
        <f t="shared" si="845"/>
        <v>7400</v>
      </c>
      <c r="AD3621" s="196">
        <f t="shared" si="846"/>
        <v>7400</v>
      </c>
      <c r="AE3621" s="196">
        <f t="shared" si="847"/>
        <v>0</v>
      </c>
      <c r="AF3621" s="2">
        <f t="shared" si="848"/>
        <v>7400</v>
      </c>
      <c r="AG3621" s="2">
        <f t="shared" si="849"/>
        <v>0</v>
      </c>
    </row>
    <row r="3622" spans="1:33">
      <c r="A3622" s="20" t="s">
        <v>20073</v>
      </c>
      <c r="B3622" s="162"/>
      <c r="C3622" s="21" t="s">
        <v>20119</v>
      </c>
      <c r="D3622" s="109" t="s">
        <v>9855</v>
      </c>
      <c r="E3622" s="109" t="s">
        <v>26796</v>
      </c>
      <c r="F3622" s="391" t="s">
        <v>20142</v>
      </c>
      <c r="G3622" s="23" t="s">
        <v>13531</v>
      </c>
      <c r="H3622" s="23" t="s">
        <v>13301</v>
      </c>
      <c r="I3622" s="23"/>
      <c r="J3622" s="23"/>
      <c r="K3622" s="23"/>
      <c r="L3622" s="375" t="s">
        <v>7787</v>
      </c>
      <c r="M3622" s="351"/>
      <c r="N3622" s="267">
        <f t="shared" si="858"/>
        <v>0</v>
      </c>
      <c r="O3622" s="268">
        <f t="shared" si="859"/>
        <v>1600</v>
      </c>
      <c r="P3622" s="239"/>
      <c r="Q3622" s="239"/>
      <c r="R3622" s="239"/>
      <c r="S3622" s="239"/>
      <c r="T3622" s="239"/>
      <c r="U3622" s="240">
        <f>2000-400-1000+2000-1000</f>
        <v>1600</v>
      </c>
      <c r="V3622" s="240"/>
      <c r="W3622" s="240"/>
      <c r="X3622" s="278"/>
      <c r="Y3622" s="237"/>
      <c r="Z3622" s="237"/>
      <c r="AA3622" s="279"/>
      <c r="AB3622" s="238" t="s">
        <v>26797</v>
      </c>
      <c r="AC3622" s="196">
        <f t="shared" si="845"/>
        <v>1600</v>
      </c>
      <c r="AD3622" s="196">
        <f t="shared" si="846"/>
        <v>1600</v>
      </c>
      <c r="AE3622" s="196">
        <f t="shared" si="847"/>
        <v>0</v>
      </c>
      <c r="AF3622" s="2">
        <f t="shared" si="848"/>
        <v>1600</v>
      </c>
      <c r="AG3622" s="2">
        <f t="shared" si="849"/>
        <v>0</v>
      </c>
    </row>
    <row r="3623" spans="1:33">
      <c r="A3623" s="20" t="s">
        <v>19971</v>
      </c>
      <c r="B3623" s="162"/>
      <c r="C3623" s="21" t="s">
        <v>19976</v>
      </c>
      <c r="D3623" s="109" t="s">
        <v>19977</v>
      </c>
      <c r="E3623" s="109"/>
      <c r="F3623" s="391" t="s">
        <v>20001</v>
      </c>
      <c r="G3623" s="23" t="s">
        <v>13581</v>
      </c>
      <c r="H3623" s="23"/>
      <c r="I3623" s="23"/>
      <c r="J3623" s="23"/>
      <c r="K3623" s="23"/>
      <c r="L3623" s="375" t="s">
        <v>7787</v>
      </c>
      <c r="M3623" s="351" t="s">
        <v>7787</v>
      </c>
      <c r="N3623" s="267">
        <f t="shared" si="858"/>
        <v>0</v>
      </c>
      <c r="O3623" s="268">
        <f t="shared" si="859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5"/>
        <v>0</v>
      </c>
      <c r="AD3623" s="196">
        <f t="shared" si="846"/>
        <v>0</v>
      </c>
      <c r="AE3623" s="196">
        <f t="shared" si="847"/>
        <v>0</v>
      </c>
      <c r="AF3623" s="2">
        <f t="shared" si="848"/>
        <v>0</v>
      </c>
      <c r="AG3623" s="2">
        <f t="shared" si="849"/>
        <v>0</v>
      </c>
    </row>
    <row r="3624" spans="1:33">
      <c r="A3624" s="20" t="s">
        <v>21478</v>
      </c>
      <c r="B3624" s="162"/>
      <c r="C3624" s="21" t="s">
        <v>19976</v>
      </c>
      <c r="D3624" s="109" t="s">
        <v>18336</v>
      </c>
      <c r="E3624" s="109"/>
      <c r="F3624" s="391" t="s">
        <v>20001</v>
      </c>
      <c r="G3624" s="23" t="s">
        <v>15025</v>
      </c>
      <c r="H3624" s="23"/>
      <c r="I3624" s="23"/>
      <c r="J3624" s="23"/>
      <c r="K3624" s="23"/>
      <c r="L3624" s="375" t="s">
        <v>7787</v>
      </c>
      <c r="M3624" s="351" t="s">
        <v>7787</v>
      </c>
      <c r="N3624" s="267">
        <f t="shared" si="858"/>
        <v>0</v>
      </c>
      <c r="O3624" s="268">
        <f t="shared" si="859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5"/>
        <v>0</v>
      </c>
      <c r="AD3624" s="196">
        <f t="shared" si="846"/>
        <v>0</v>
      </c>
      <c r="AE3624" s="196">
        <f t="shared" si="847"/>
        <v>0</v>
      </c>
      <c r="AF3624" s="2">
        <f t="shared" si="848"/>
        <v>0</v>
      </c>
      <c r="AG3624" s="2">
        <f t="shared" si="849"/>
        <v>0</v>
      </c>
    </row>
    <row r="3625" spans="1:33">
      <c r="A3625" s="20" t="s">
        <v>19970</v>
      </c>
      <c r="B3625" s="162"/>
      <c r="C3625" s="21" t="s">
        <v>20024</v>
      </c>
      <c r="D3625" s="109" t="s">
        <v>7761</v>
      </c>
      <c r="E3625" s="109"/>
      <c r="F3625" s="391" t="s">
        <v>20025</v>
      </c>
      <c r="G3625" s="23" t="s">
        <v>18870</v>
      </c>
      <c r="H3625" s="23"/>
      <c r="I3625" s="23"/>
      <c r="J3625" s="23"/>
      <c r="K3625" s="23"/>
      <c r="L3625" s="375" t="s">
        <v>7787</v>
      </c>
      <c r="M3625" s="351"/>
      <c r="N3625" s="267">
        <f t="shared" si="858"/>
        <v>0</v>
      </c>
      <c r="O3625" s="268">
        <f t="shared" si="859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5"/>
        <v>0</v>
      </c>
      <c r="AD3625" s="196">
        <f t="shared" si="846"/>
        <v>0</v>
      </c>
      <c r="AE3625" s="196">
        <f t="shared" si="847"/>
        <v>0</v>
      </c>
      <c r="AF3625" s="2">
        <f t="shared" si="848"/>
        <v>0</v>
      </c>
      <c r="AG3625" s="2">
        <f t="shared" si="849"/>
        <v>0</v>
      </c>
    </row>
    <row r="3626" spans="1:33">
      <c r="A3626" s="20" t="s">
        <v>21479</v>
      </c>
      <c r="B3626" s="162"/>
      <c r="C3626" s="21" t="s">
        <v>20792</v>
      </c>
      <c r="D3626" s="109" t="s">
        <v>7761</v>
      </c>
      <c r="E3626" s="109"/>
      <c r="F3626" s="391" t="s">
        <v>19284</v>
      </c>
      <c r="G3626" s="23" t="s">
        <v>20793</v>
      </c>
      <c r="H3626" s="23"/>
      <c r="I3626" s="23"/>
      <c r="J3626" s="23"/>
      <c r="K3626" s="23"/>
      <c r="L3626" s="375"/>
      <c r="M3626" s="351" t="s">
        <v>7787</v>
      </c>
      <c r="N3626" s="267">
        <f t="shared" si="858"/>
        <v>0</v>
      </c>
      <c r="O3626" s="268">
        <f t="shared" si="859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5"/>
        <v>0</v>
      </c>
      <c r="AD3626" s="196">
        <f t="shared" si="846"/>
        <v>0</v>
      </c>
      <c r="AE3626" s="196">
        <f t="shared" si="847"/>
        <v>0</v>
      </c>
      <c r="AF3626" s="2">
        <f t="shared" si="848"/>
        <v>0</v>
      </c>
      <c r="AG3626" s="2">
        <f t="shared" si="849"/>
        <v>0</v>
      </c>
    </row>
    <row r="3627" spans="1:33">
      <c r="A3627" s="20" t="s">
        <v>20057</v>
      </c>
      <c r="B3627" s="162"/>
      <c r="C3627" s="21" t="s">
        <v>19996</v>
      </c>
      <c r="D3627" s="109" t="s">
        <v>19997</v>
      </c>
      <c r="E3627" s="109" t="s">
        <v>19998</v>
      </c>
      <c r="F3627" s="391" t="s">
        <v>18689</v>
      </c>
      <c r="G3627" s="23" t="s">
        <v>20000</v>
      </c>
      <c r="H3627" s="23"/>
      <c r="I3627" s="23"/>
      <c r="J3627" s="23"/>
      <c r="K3627" s="23"/>
      <c r="L3627" s="375" t="s">
        <v>7787</v>
      </c>
      <c r="M3627" s="351" t="s">
        <v>7787</v>
      </c>
      <c r="N3627" s="267">
        <f t="shared" si="858"/>
        <v>0</v>
      </c>
      <c r="O3627" s="268">
        <f t="shared" si="859"/>
        <v>0</v>
      </c>
      <c r="P3627" s="239"/>
      <c r="Q3627" s="239"/>
      <c r="R3627" s="239"/>
      <c r="S3627" s="239"/>
      <c r="T3627" s="239"/>
      <c r="U3627" s="240"/>
      <c r="V3627" s="240"/>
      <c r="W3627" s="240"/>
      <c r="X3627" s="278"/>
      <c r="Y3627" s="237"/>
      <c r="Z3627" s="237"/>
      <c r="AA3627" s="279"/>
      <c r="AB3627" s="238"/>
      <c r="AC3627" s="196">
        <f t="shared" si="845"/>
        <v>0</v>
      </c>
      <c r="AD3627" s="196">
        <f t="shared" si="846"/>
        <v>0</v>
      </c>
      <c r="AE3627" s="196">
        <f t="shared" si="847"/>
        <v>0</v>
      </c>
      <c r="AF3627" s="2">
        <f t="shared" si="848"/>
        <v>0</v>
      </c>
      <c r="AG3627" s="2">
        <f t="shared" si="849"/>
        <v>0</v>
      </c>
    </row>
    <row r="3628" spans="1:33">
      <c r="A3628" s="20" t="s">
        <v>2850</v>
      </c>
      <c r="B3628" s="162" t="s">
        <v>5889</v>
      </c>
      <c r="C3628" s="21" t="s">
        <v>844</v>
      </c>
      <c r="D3628" s="109" t="s">
        <v>16684</v>
      </c>
      <c r="E3628" s="109"/>
      <c r="F3628" s="391" t="s">
        <v>16826</v>
      </c>
      <c r="G3628" s="23" t="s">
        <v>16141</v>
      </c>
      <c r="H3628" s="23" t="s">
        <v>16544</v>
      </c>
      <c r="I3628" s="23"/>
      <c r="J3628" s="23"/>
      <c r="K3628" s="23"/>
      <c r="L3628" s="350"/>
      <c r="M3628" s="351"/>
      <c r="N3628" s="267">
        <f t="shared" si="858"/>
        <v>0</v>
      </c>
      <c r="O3628" s="268">
        <f t="shared" si="859"/>
        <v>0</v>
      </c>
      <c r="P3628" s="239"/>
      <c r="Q3628" s="239"/>
      <c r="R3628" s="239"/>
      <c r="S3628" s="239"/>
      <c r="T3628" s="239"/>
      <c r="U3628" s="240"/>
      <c r="V3628" s="240"/>
      <c r="W3628" s="240"/>
      <c r="X3628" s="278"/>
      <c r="Y3628" s="237"/>
      <c r="Z3628" s="237"/>
      <c r="AA3628" s="279"/>
      <c r="AB3628" s="238"/>
      <c r="AC3628" s="196">
        <f t="shared" si="845"/>
        <v>0</v>
      </c>
      <c r="AD3628" s="196">
        <f t="shared" si="846"/>
        <v>0</v>
      </c>
      <c r="AE3628" s="196">
        <f t="shared" si="847"/>
        <v>0</v>
      </c>
      <c r="AF3628" s="2">
        <f t="shared" si="848"/>
        <v>0</v>
      </c>
      <c r="AG3628" s="2">
        <f t="shared" si="849"/>
        <v>0</v>
      </c>
    </row>
    <row r="3629" spans="1:33">
      <c r="A3629" s="20" t="s">
        <v>18916</v>
      </c>
      <c r="B3629" s="162"/>
      <c r="C3629" s="21" t="s">
        <v>844</v>
      </c>
      <c r="D3629" s="109" t="s">
        <v>19032</v>
      </c>
      <c r="E3629" s="109"/>
      <c r="F3629" s="391" t="s">
        <v>5218</v>
      </c>
      <c r="G3629" s="23" t="s">
        <v>13350</v>
      </c>
      <c r="H3629" s="23" t="s">
        <v>16830</v>
      </c>
      <c r="I3629" s="23" t="s">
        <v>14086</v>
      </c>
      <c r="J3629" s="23" t="s">
        <v>13888</v>
      </c>
      <c r="K3629" s="23" t="s">
        <v>13301</v>
      </c>
      <c r="L3629" s="375" t="s">
        <v>45</v>
      </c>
      <c r="M3629" s="351" t="s">
        <v>7787</v>
      </c>
      <c r="N3629" s="267">
        <f t="shared" si="858"/>
        <v>0</v>
      </c>
      <c r="O3629" s="268">
        <f t="shared" si="859"/>
        <v>0</v>
      </c>
      <c r="P3629" s="239"/>
      <c r="Q3629" s="239"/>
      <c r="R3629" s="239"/>
      <c r="S3629" s="239"/>
      <c r="T3629" s="239"/>
      <c r="U3629" s="239"/>
      <c r="V3629" s="239"/>
      <c r="W3629" s="240"/>
      <c r="X3629" s="278"/>
      <c r="Y3629" s="237"/>
      <c r="Z3629" s="237"/>
      <c r="AA3629" s="279"/>
      <c r="AB3629" s="238"/>
      <c r="AC3629" s="196">
        <f t="shared" si="845"/>
        <v>0</v>
      </c>
      <c r="AD3629" s="196">
        <f t="shared" si="846"/>
        <v>0</v>
      </c>
      <c r="AE3629" s="196">
        <f t="shared" si="847"/>
        <v>0</v>
      </c>
      <c r="AF3629" s="2">
        <f t="shared" si="848"/>
        <v>0</v>
      </c>
      <c r="AG3629" s="2">
        <f t="shared" si="849"/>
        <v>0</v>
      </c>
    </row>
    <row r="3630" spans="1:33">
      <c r="A3630" s="20" t="s">
        <v>2849</v>
      </c>
      <c r="B3630" s="156" t="s">
        <v>16827</v>
      </c>
      <c r="C3630" s="21" t="s">
        <v>844</v>
      </c>
      <c r="D3630" s="109" t="s">
        <v>16828</v>
      </c>
      <c r="E3630" s="109" t="s">
        <v>19033</v>
      </c>
      <c r="F3630" s="391" t="s">
        <v>16826</v>
      </c>
      <c r="G3630" s="23" t="s">
        <v>16829</v>
      </c>
      <c r="H3630" s="23"/>
      <c r="I3630" s="23"/>
      <c r="J3630" s="23"/>
      <c r="K3630" s="23"/>
      <c r="L3630" s="375"/>
      <c r="M3630" s="351" t="s">
        <v>7787</v>
      </c>
      <c r="N3630" s="267">
        <f t="shared" si="858"/>
        <v>0</v>
      </c>
      <c r="O3630" s="268">
        <f t="shared" si="859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si="845"/>
        <v>0</v>
      </c>
      <c r="AD3630" s="196">
        <f t="shared" si="846"/>
        <v>0</v>
      </c>
      <c r="AE3630" s="196">
        <f t="shared" si="847"/>
        <v>0</v>
      </c>
      <c r="AF3630" s="2">
        <f t="shared" si="848"/>
        <v>0</v>
      </c>
      <c r="AG3630" s="2">
        <f t="shared" si="849"/>
        <v>0</v>
      </c>
    </row>
    <row r="3631" spans="1:33">
      <c r="A3631" s="20" t="s">
        <v>20063</v>
      </c>
      <c r="B3631" s="156"/>
      <c r="C3631" s="21" t="s">
        <v>19999</v>
      </c>
      <c r="D3631" s="109" t="s">
        <v>7957</v>
      </c>
      <c r="E3631" s="109" t="s">
        <v>19998</v>
      </c>
      <c r="F3631" s="391" t="s">
        <v>20014</v>
      </c>
      <c r="G3631" s="23" t="s">
        <v>20000</v>
      </c>
      <c r="H3631" s="23"/>
      <c r="I3631" s="23"/>
      <c r="J3631" s="23"/>
      <c r="K3631" s="23"/>
      <c r="L3631" s="375" t="s">
        <v>7787</v>
      </c>
      <c r="M3631" s="351" t="s">
        <v>7787</v>
      </c>
      <c r="N3631" s="267">
        <f t="shared" si="858"/>
        <v>0</v>
      </c>
      <c r="O3631" s="268">
        <f t="shared" si="859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ref="AC3631:AC3694" si="862">SUM(P3631:AA3631)</f>
        <v>0</v>
      </c>
      <c r="AD3631" s="196">
        <f t="shared" ref="AD3631:AD3694" si="863">SUM(P3631:AB3631)</f>
        <v>0</v>
      </c>
      <c r="AE3631" s="196">
        <f t="shared" ref="AE3631:AE3694" si="864">SUM(AC3631-AD3631)</f>
        <v>0</v>
      </c>
      <c r="AF3631" s="2">
        <f t="shared" ref="AF3631:AF3694" si="865">+AC3631</f>
        <v>0</v>
      </c>
      <c r="AG3631" s="2">
        <f t="shared" ref="AG3631:AG3694" si="866">+AC3631-AF3631</f>
        <v>0</v>
      </c>
    </row>
    <row r="3632" spans="1:33">
      <c r="A3632" s="20" t="s">
        <v>21480</v>
      </c>
      <c r="B3632" s="156"/>
      <c r="C3632" s="21" t="s">
        <v>20533</v>
      </c>
      <c r="D3632" s="109" t="s">
        <v>7761</v>
      </c>
      <c r="E3632" s="109"/>
      <c r="F3632" s="391" t="s">
        <v>20690</v>
      </c>
      <c r="G3632" s="23" t="s">
        <v>20534</v>
      </c>
      <c r="H3632" s="23"/>
      <c r="I3632" s="23"/>
      <c r="J3632" s="23"/>
      <c r="K3632" s="23"/>
      <c r="L3632" s="375" t="s">
        <v>7787</v>
      </c>
      <c r="M3632" s="351" t="s">
        <v>7787</v>
      </c>
      <c r="N3632" s="267">
        <f t="shared" si="858"/>
        <v>0</v>
      </c>
      <c r="O3632" s="268">
        <f t="shared" si="859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62"/>
        <v>0</v>
      </c>
      <c r="AD3632" s="196">
        <f t="shared" si="863"/>
        <v>0</v>
      </c>
      <c r="AE3632" s="196">
        <f t="shared" si="864"/>
        <v>0</v>
      </c>
      <c r="AF3632" s="2">
        <f t="shared" si="865"/>
        <v>0</v>
      </c>
      <c r="AG3632" s="2">
        <f t="shared" si="866"/>
        <v>0</v>
      </c>
    </row>
    <row r="3633" spans="1:33">
      <c r="A3633" s="20" t="s">
        <v>20074</v>
      </c>
      <c r="B3633" s="156"/>
      <c r="C3633" s="21" t="s">
        <v>20046</v>
      </c>
      <c r="D3633" s="109" t="s">
        <v>7761</v>
      </c>
      <c r="E3633" s="109"/>
      <c r="F3633" s="391" t="s">
        <v>20083</v>
      </c>
      <c r="G3633" s="23" t="s">
        <v>20047</v>
      </c>
      <c r="H3633" s="23"/>
      <c r="I3633" s="23"/>
      <c r="J3633" s="23"/>
      <c r="K3633" s="23"/>
      <c r="L3633" s="375"/>
      <c r="M3633" s="351" t="s">
        <v>7787</v>
      </c>
      <c r="N3633" s="267">
        <f t="shared" si="858"/>
        <v>0</v>
      </c>
      <c r="O3633" s="268">
        <f t="shared" si="859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85"/>
      <c r="AB3633" s="238"/>
      <c r="AC3633" s="196">
        <f t="shared" si="862"/>
        <v>0</v>
      </c>
      <c r="AD3633" s="196">
        <f t="shared" si="863"/>
        <v>0</v>
      </c>
      <c r="AE3633" s="196">
        <f t="shared" si="864"/>
        <v>0</v>
      </c>
      <c r="AF3633" s="2">
        <f t="shared" si="865"/>
        <v>0</v>
      </c>
      <c r="AG3633" s="2">
        <f t="shared" si="866"/>
        <v>0</v>
      </c>
    </row>
    <row r="3634" spans="1:33">
      <c r="A3634" s="20" t="s">
        <v>20058</v>
      </c>
      <c r="B3634" s="156"/>
      <c r="C3634" s="21" t="s">
        <v>20043</v>
      </c>
      <c r="D3634" s="109" t="s">
        <v>7761</v>
      </c>
      <c r="E3634" s="109"/>
      <c r="F3634" s="391" t="s">
        <v>20045</v>
      </c>
      <c r="G3634" s="23" t="s">
        <v>20044</v>
      </c>
      <c r="H3634" s="23"/>
      <c r="I3634" s="23"/>
      <c r="J3634" s="23"/>
      <c r="K3634" s="23"/>
      <c r="L3634" s="375" t="s">
        <v>7787</v>
      </c>
      <c r="M3634" s="351"/>
      <c r="N3634" s="267">
        <f t="shared" si="858"/>
        <v>0</v>
      </c>
      <c r="O3634" s="268">
        <f t="shared" si="859"/>
        <v>0</v>
      </c>
      <c r="P3634" s="239"/>
      <c r="Q3634" s="239"/>
      <c r="R3634" s="239"/>
      <c r="S3634" s="239"/>
      <c r="T3634" s="239"/>
      <c r="U3634" s="240"/>
      <c r="V3634" s="239"/>
      <c r="W3634" s="240"/>
      <c r="X3634" s="278"/>
      <c r="Y3634" s="237"/>
      <c r="Z3634" s="237"/>
      <c r="AA3634" s="285"/>
      <c r="AB3634" s="238"/>
      <c r="AC3634" s="196">
        <f t="shared" si="862"/>
        <v>0</v>
      </c>
      <c r="AD3634" s="196">
        <f t="shared" si="863"/>
        <v>0</v>
      </c>
      <c r="AE3634" s="196">
        <f t="shared" si="864"/>
        <v>0</v>
      </c>
      <c r="AF3634" s="2">
        <f t="shared" si="865"/>
        <v>0</v>
      </c>
      <c r="AG3634" s="2">
        <f t="shared" si="866"/>
        <v>0</v>
      </c>
    </row>
    <row r="3635" spans="1:33">
      <c r="A3635" s="20" t="s">
        <v>20059</v>
      </c>
      <c r="B3635" s="156"/>
      <c r="C3635" s="21" t="s">
        <v>20030</v>
      </c>
      <c r="D3635" s="109" t="s">
        <v>9855</v>
      </c>
      <c r="E3635" s="109"/>
      <c r="F3635" s="391" t="s">
        <v>20041</v>
      </c>
      <c r="G3635" s="23" t="s">
        <v>20031</v>
      </c>
      <c r="H3635" s="23"/>
      <c r="I3635" s="23"/>
      <c r="J3635" s="23"/>
      <c r="K3635" s="23"/>
      <c r="L3635" s="375"/>
      <c r="M3635" s="351"/>
      <c r="N3635" s="267">
        <f t="shared" si="858"/>
        <v>0</v>
      </c>
      <c r="O3635" s="268">
        <f t="shared" si="859"/>
        <v>0</v>
      </c>
      <c r="P3635" s="239"/>
      <c r="Q3635" s="239"/>
      <c r="R3635" s="239"/>
      <c r="S3635" s="239"/>
      <c r="T3635" s="239"/>
      <c r="U3635" s="240"/>
      <c r="V3635" s="239"/>
      <c r="W3635" s="240"/>
      <c r="X3635" s="278"/>
      <c r="Y3635" s="237"/>
      <c r="Z3635" s="237"/>
      <c r="AA3635" s="279"/>
      <c r="AB3635" s="238"/>
      <c r="AC3635" s="196">
        <f t="shared" si="862"/>
        <v>0</v>
      </c>
      <c r="AD3635" s="196">
        <f t="shared" si="863"/>
        <v>0</v>
      </c>
      <c r="AE3635" s="196">
        <f t="shared" si="864"/>
        <v>0</v>
      </c>
      <c r="AF3635" s="2">
        <f t="shared" si="865"/>
        <v>0</v>
      </c>
      <c r="AG3635" s="2">
        <f t="shared" si="866"/>
        <v>0</v>
      </c>
    </row>
    <row r="3636" spans="1:33">
      <c r="A3636" s="20" t="s">
        <v>20473</v>
      </c>
      <c r="B3636" s="156"/>
      <c r="C3636" s="21" t="s">
        <v>20329</v>
      </c>
      <c r="D3636" s="109" t="s">
        <v>6433</v>
      </c>
      <c r="E3636" s="109" t="s">
        <v>25530</v>
      </c>
      <c r="F3636" s="391" t="s">
        <v>20372</v>
      </c>
      <c r="G3636" s="23" t="s">
        <v>20012</v>
      </c>
      <c r="H3636" s="23"/>
      <c r="I3636" s="23"/>
      <c r="J3636" s="23"/>
      <c r="K3636" s="23"/>
      <c r="L3636" s="375" t="s">
        <v>7787</v>
      </c>
      <c r="M3636" s="351"/>
      <c r="N3636" s="267">
        <f t="shared" si="858"/>
        <v>0</v>
      </c>
      <c r="O3636" s="268">
        <f t="shared" si="859"/>
        <v>8000</v>
      </c>
      <c r="P3636" s="239"/>
      <c r="Q3636" s="239"/>
      <c r="R3636" s="239">
        <v>3000</v>
      </c>
      <c r="S3636" s="239"/>
      <c r="T3636" s="239">
        <v>5000</v>
      </c>
      <c r="U3636" s="240"/>
      <c r="V3636" s="239"/>
      <c r="W3636" s="240"/>
      <c r="X3636" s="278"/>
      <c r="Y3636" s="237"/>
      <c r="Z3636" s="237"/>
      <c r="AA3636" s="285"/>
      <c r="AB3636" s="238" t="s">
        <v>25659</v>
      </c>
      <c r="AC3636" s="196">
        <f t="shared" si="862"/>
        <v>8000</v>
      </c>
      <c r="AD3636" s="196">
        <f t="shared" si="863"/>
        <v>8000</v>
      </c>
      <c r="AE3636" s="196">
        <f t="shared" si="864"/>
        <v>0</v>
      </c>
      <c r="AF3636" s="2">
        <f t="shared" si="865"/>
        <v>8000</v>
      </c>
      <c r="AG3636" s="2">
        <f t="shared" si="866"/>
        <v>0</v>
      </c>
    </row>
    <row r="3637" spans="1:33">
      <c r="A3637" s="20" t="s">
        <v>21481</v>
      </c>
      <c r="B3637" s="156"/>
      <c r="C3637" s="21" t="s">
        <v>20329</v>
      </c>
      <c r="D3637" s="109" t="s">
        <v>20741</v>
      </c>
      <c r="E3637" s="109"/>
      <c r="F3637" s="391" t="s">
        <v>20372</v>
      </c>
      <c r="G3637" s="23" t="s">
        <v>20742</v>
      </c>
      <c r="H3637" s="23"/>
      <c r="I3637" s="23"/>
      <c r="J3637" s="23"/>
      <c r="K3637" s="23"/>
      <c r="L3637" s="375" t="s">
        <v>7787</v>
      </c>
      <c r="M3637" s="351" t="s">
        <v>7787</v>
      </c>
      <c r="N3637" s="267">
        <f t="shared" si="858"/>
        <v>0</v>
      </c>
      <c r="O3637" s="268">
        <f t="shared" si="859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62"/>
        <v>0</v>
      </c>
      <c r="AD3637" s="196">
        <f t="shared" si="863"/>
        <v>0</v>
      </c>
      <c r="AE3637" s="196">
        <f t="shared" si="864"/>
        <v>0</v>
      </c>
      <c r="AF3637" s="2">
        <f t="shared" si="865"/>
        <v>0</v>
      </c>
      <c r="AG3637" s="2">
        <f t="shared" si="866"/>
        <v>0</v>
      </c>
    </row>
    <row r="3638" spans="1:33">
      <c r="A3638" s="20" t="s">
        <v>20060</v>
      </c>
      <c r="B3638" s="156"/>
      <c r="C3638" s="21" t="s">
        <v>20038</v>
      </c>
      <c r="D3638" s="109" t="s">
        <v>9855</v>
      </c>
      <c r="E3638" s="109"/>
      <c r="F3638" s="391" t="s">
        <v>20040</v>
      </c>
      <c r="G3638" s="23" t="s">
        <v>20039</v>
      </c>
      <c r="H3638" s="23"/>
      <c r="I3638" s="23"/>
      <c r="J3638" s="23"/>
      <c r="K3638" s="23"/>
      <c r="L3638" s="375" t="s">
        <v>7787</v>
      </c>
      <c r="M3638" s="351"/>
      <c r="N3638" s="267">
        <f t="shared" si="858"/>
        <v>0</v>
      </c>
      <c r="O3638" s="268">
        <f t="shared" si="859"/>
        <v>0</v>
      </c>
      <c r="P3638" s="239"/>
      <c r="Q3638" s="239"/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85"/>
      <c r="AB3638" s="238"/>
      <c r="AC3638" s="196">
        <f t="shared" si="862"/>
        <v>0</v>
      </c>
      <c r="AD3638" s="196">
        <f t="shared" si="863"/>
        <v>0</v>
      </c>
      <c r="AE3638" s="196">
        <f t="shared" si="864"/>
        <v>0</v>
      </c>
      <c r="AF3638" s="2">
        <f t="shared" si="865"/>
        <v>0</v>
      </c>
      <c r="AG3638" s="2">
        <f t="shared" si="866"/>
        <v>0</v>
      </c>
    </row>
    <row r="3639" spans="1:33">
      <c r="A3639" s="20" t="s">
        <v>20075</v>
      </c>
      <c r="B3639" s="156"/>
      <c r="C3639" s="21" t="s">
        <v>20137</v>
      </c>
      <c r="D3639" s="109" t="s">
        <v>9855</v>
      </c>
      <c r="E3639" s="109"/>
      <c r="F3639" s="391" t="s">
        <v>20143</v>
      </c>
      <c r="G3639" s="23" t="s">
        <v>6133</v>
      </c>
      <c r="H3639" s="23" t="s">
        <v>13888</v>
      </c>
      <c r="I3639" s="23"/>
      <c r="J3639" s="23"/>
      <c r="K3639" s="23"/>
      <c r="L3639" s="375"/>
      <c r="M3639" s="351"/>
      <c r="N3639" s="267">
        <f t="shared" si="858"/>
        <v>0</v>
      </c>
      <c r="O3639" s="268">
        <f t="shared" si="859"/>
        <v>0</v>
      </c>
      <c r="P3639" s="239"/>
      <c r="Q3639" s="239"/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85"/>
      <c r="AB3639" s="238"/>
      <c r="AC3639" s="196">
        <f t="shared" si="862"/>
        <v>0</v>
      </c>
      <c r="AD3639" s="196">
        <f t="shared" si="863"/>
        <v>0</v>
      </c>
      <c r="AE3639" s="196">
        <f t="shared" si="864"/>
        <v>0</v>
      </c>
      <c r="AF3639" s="2">
        <f t="shared" si="865"/>
        <v>0</v>
      </c>
      <c r="AG3639" s="2">
        <f t="shared" si="866"/>
        <v>0</v>
      </c>
    </row>
    <row r="3640" spans="1:33">
      <c r="A3640" s="20" t="s">
        <v>20076</v>
      </c>
      <c r="B3640" s="156"/>
      <c r="C3640" s="21" t="s">
        <v>22608</v>
      </c>
      <c r="D3640" s="109" t="s">
        <v>9855</v>
      </c>
      <c r="E3640" s="109"/>
      <c r="F3640" s="391" t="s">
        <v>20855</v>
      </c>
      <c r="G3640" s="23" t="s">
        <v>6133</v>
      </c>
      <c r="H3640" s="23"/>
      <c r="I3640" s="23"/>
      <c r="J3640" s="23"/>
      <c r="K3640" s="23"/>
      <c r="L3640" s="375"/>
      <c r="M3640" s="351" t="s">
        <v>45</v>
      </c>
      <c r="N3640" s="267">
        <f t="shared" si="858"/>
        <v>0</v>
      </c>
      <c r="O3640" s="268">
        <f t="shared" si="859"/>
        <v>1100</v>
      </c>
      <c r="P3640" s="239"/>
      <c r="Q3640" s="239">
        <f>800-100-100+700-100-100</f>
        <v>1100</v>
      </c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79"/>
      <c r="AB3640" s="238" t="s">
        <v>27976</v>
      </c>
      <c r="AC3640" s="196">
        <f t="shared" si="862"/>
        <v>1100</v>
      </c>
      <c r="AD3640" s="196">
        <f t="shared" si="863"/>
        <v>1100</v>
      </c>
      <c r="AE3640" s="196">
        <f t="shared" si="864"/>
        <v>0</v>
      </c>
      <c r="AF3640" s="2">
        <f t="shared" si="865"/>
        <v>1100</v>
      </c>
      <c r="AG3640" s="2">
        <f t="shared" si="866"/>
        <v>0</v>
      </c>
    </row>
    <row r="3641" spans="1:33">
      <c r="A3641" s="20" t="s">
        <v>20061</v>
      </c>
      <c r="B3641" s="156"/>
      <c r="C3641" s="21" t="s">
        <v>20003</v>
      </c>
      <c r="D3641" s="109" t="s">
        <v>7957</v>
      </c>
      <c r="E3641" s="109" t="s">
        <v>19998</v>
      </c>
      <c r="F3641" s="391" t="s">
        <v>18691</v>
      </c>
      <c r="G3641" s="23" t="s">
        <v>20005</v>
      </c>
      <c r="H3641" s="23"/>
      <c r="I3641" s="23"/>
      <c r="J3641" s="23"/>
      <c r="K3641" s="23"/>
      <c r="L3641" s="375" t="s">
        <v>7787</v>
      </c>
      <c r="M3641" s="351" t="s">
        <v>7787</v>
      </c>
      <c r="N3641" s="267">
        <f t="shared" si="858"/>
        <v>0</v>
      </c>
      <c r="O3641" s="268">
        <f t="shared" si="859"/>
        <v>0</v>
      </c>
      <c r="P3641" s="239"/>
      <c r="Q3641" s="239"/>
      <c r="R3641" s="239"/>
      <c r="S3641" s="239"/>
      <c r="T3641" s="239"/>
      <c r="U3641" s="240"/>
      <c r="V3641" s="239"/>
      <c r="W3641" s="240"/>
      <c r="X3641" s="278"/>
      <c r="Y3641" s="237"/>
      <c r="Z3641" s="237"/>
      <c r="AA3641" s="285"/>
      <c r="AB3641" s="238"/>
      <c r="AC3641" s="196">
        <f t="shared" si="862"/>
        <v>0</v>
      </c>
      <c r="AD3641" s="196">
        <f t="shared" si="863"/>
        <v>0</v>
      </c>
      <c r="AE3641" s="196">
        <f t="shared" si="864"/>
        <v>0</v>
      </c>
      <c r="AF3641" s="2">
        <f t="shared" si="865"/>
        <v>0</v>
      </c>
      <c r="AG3641" s="2">
        <f t="shared" si="866"/>
        <v>0</v>
      </c>
    </row>
    <row r="3642" spans="1:33">
      <c r="A3642" s="20" t="s">
        <v>20062</v>
      </c>
      <c r="B3642" s="156"/>
      <c r="C3642" s="21" t="s">
        <v>20004</v>
      </c>
      <c r="D3642" s="109" t="s">
        <v>7957</v>
      </c>
      <c r="E3642" s="109" t="s">
        <v>19998</v>
      </c>
      <c r="F3642" s="391" t="s">
        <v>20015</v>
      </c>
      <c r="G3642" s="23" t="s">
        <v>20005</v>
      </c>
      <c r="H3642" s="23"/>
      <c r="I3642" s="23"/>
      <c r="J3642" s="23"/>
      <c r="K3642" s="23"/>
      <c r="L3642" s="375" t="s">
        <v>7787</v>
      </c>
      <c r="M3642" s="351"/>
      <c r="N3642" s="267">
        <f t="shared" si="858"/>
        <v>0</v>
      </c>
      <c r="O3642" s="268">
        <f t="shared" si="859"/>
        <v>0</v>
      </c>
      <c r="P3642" s="239"/>
      <c r="Q3642" s="239"/>
      <c r="R3642" s="239"/>
      <c r="S3642" s="239"/>
      <c r="T3642" s="239"/>
      <c r="U3642" s="240"/>
      <c r="V3642" s="239"/>
      <c r="W3642" s="240"/>
      <c r="X3642" s="278"/>
      <c r="Y3642" s="237"/>
      <c r="Z3642" s="237"/>
      <c r="AA3642" s="285"/>
      <c r="AB3642" s="238"/>
      <c r="AC3642" s="196">
        <f t="shared" si="862"/>
        <v>0</v>
      </c>
      <c r="AD3642" s="196">
        <f t="shared" si="863"/>
        <v>0</v>
      </c>
      <c r="AE3642" s="196">
        <f t="shared" si="864"/>
        <v>0</v>
      </c>
      <c r="AF3642" s="2">
        <f t="shared" si="865"/>
        <v>0</v>
      </c>
      <c r="AG3642" s="2">
        <f t="shared" si="866"/>
        <v>0</v>
      </c>
    </row>
    <row r="3643" spans="1:33">
      <c r="A3643" s="20" t="s">
        <v>20077</v>
      </c>
      <c r="B3643" s="156"/>
      <c r="C3643" s="21" t="s">
        <v>20133</v>
      </c>
      <c r="D3643" s="109" t="s">
        <v>9855</v>
      </c>
      <c r="E3643" s="109"/>
      <c r="F3643" s="391" t="s">
        <v>20135</v>
      </c>
      <c r="G3643" s="23" t="s">
        <v>13888</v>
      </c>
      <c r="H3643" s="23"/>
      <c r="I3643" s="23"/>
      <c r="J3643" s="23"/>
      <c r="K3643" s="23"/>
      <c r="L3643" s="375" t="s">
        <v>45</v>
      </c>
      <c r="M3643" s="351" t="s">
        <v>45</v>
      </c>
      <c r="N3643" s="267">
        <f t="shared" si="858"/>
        <v>0</v>
      </c>
      <c r="O3643" s="268">
        <f t="shared" si="859"/>
        <v>50</v>
      </c>
      <c r="P3643" s="239"/>
      <c r="Q3643" s="239"/>
      <c r="R3643" s="239"/>
      <c r="S3643" s="239"/>
      <c r="T3643" s="239"/>
      <c r="U3643" s="240">
        <f>250-200</f>
        <v>50</v>
      </c>
      <c r="V3643" s="239"/>
      <c r="W3643" s="240"/>
      <c r="X3643" s="278"/>
      <c r="Y3643" s="237"/>
      <c r="Z3643" s="237"/>
      <c r="AA3643" s="285"/>
      <c r="AB3643" s="238" t="s">
        <v>25839</v>
      </c>
      <c r="AC3643" s="196">
        <f t="shared" si="862"/>
        <v>50</v>
      </c>
      <c r="AD3643" s="196">
        <f t="shared" si="863"/>
        <v>50</v>
      </c>
      <c r="AE3643" s="196">
        <f t="shared" si="864"/>
        <v>0</v>
      </c>
      <c r="AF3643" s="2">
        <f t="shared" si="865"/>
        <v>50</v>
      </c>
      <c r="AG3643" s="2">
        <f t="shared" si="866"/>
        <v>0</v>
      </c>
    </row>
    <row r="3644" spans="1:33">
      <c r="A3644" s="20" t="s">
        <v>20078</v>
      </c>
      <c r="B3644" s="156"/>
      <c r="C3644" s="21" t="s">
        <v>20161</v>
      </c>
      <c r="D3644" s="109" t="s">
        <v>9855</v>
      </c>
      <c r="E3644" s="109"/>
      <c r="F3644" s="391" t="s">
        <v>20165</v>
      </c>
      <c r="G3644" s="23" t="s">
        <v>13888</v>
      </c>
      <c r="H3644" s="23"/>
      <c r="I3644" s="23"/>
      <c r="J3644" s="23"/>
      <c r="K3644" s="23"/>
      <c r="L3644" s="375" t="s">
        <v>7787</v>
      </c>
      <c r="M3644" s="351"/>
      <c r="N3644" s="267">
        <f t="shared" si="858"/>
        <v>0</v>
      </c>
      <c r="O3644" s="268">
        <f t="shared" si="859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62"/>
        <v>0</v>
      </c>
      <c r="AD3644" s="196">
        <f t="shared" si="863"/>
        <v>0</v>
      </c>
      <c r="AE3644" s="196">
        <f t="shared" si="864"/>
        <v>0</v>
      </c>
      <c r="AF3644" s="2">
        <f t="shared" si="865"/>
        <v>0</v>
      </c>
      <c r="AG3644" s="2">
        <f t="shared" si="866"/>
        <v>0</v>
      </c>
    </row>
    <row r="3645" spans="1:33">
      <c r="A3645" s="20" t="s">
        <v>20474</v>
      </c>
      <c r="B3645" s="156"/>
      <c r="C3645" s="21" t="s">
        <v>20273</v>
      </c>
      <c r="D3645" s="109" t="s">
        <v>9855</v>
      </c>
      <c r="E3645" s="109"/>
      <c r="F3645" s="391" t="s">
        <v>20274</v>
      </c>
      <c r="G3645" s="23" t="s">
        <v>6133</v>
      </c>
      <c r="H3645" s="23"/>
      <c r="I3645" s="23"/>
      <c r="J3645" s="23"/>
      <c r="K3645" s="23"/>
      <c r="L3645" s="375"/>
      <c r="M3645" s="351"/>
      <c r="N3645" s="267">
        <f t="shared" si="858"/>
        <v>0</v>
      </c>
      <c r="O3645" s="268">
        <f t="shared" si="859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85"/>
      <c r="AB3645" s="238"/>
      <c r="AC3645" s="196">
        <f t="shared" si="862"/>
        <v>0</v>
      </c>
      <c r="AD3645" s="196">
        <f t="shared" si="863"/>
        <v>0</v>
      </c>
      <c r="AE3645" s="196">
        <f t="shared" si="864"/>
        <v>0</v>
      </c>
      <c r="AF3645" s="2">
        <f t="shared" si="865"/>
        <v>0</v>
      </c>
      <c r="AG3645" s="2">
        <f t="shared" si="866"/>
        <v>0</v>
      </c>
    </row>
    <row r="3646" spans="1:33">
      <c r="A3646" s="20" t="s">
        <v>20079</v>
      </c>
      <c r="B3646" s="156"/>
      <c r="C3646" s="21" t="s">
        <v>20174</v>
      </c>
      <c r="D3646" s="109" t="s">
        <v>7761</v>
      </c>
      <c r="E3646" s="109"/>
      <c r="F3646" s="391" t="s">
        <v>20184</v>
      </c>
      <c r="G3646" s="23" t="s">
        <v>20179</v>
      </c>
      <c r="H3646" s="23"/>
      <c r="I3646" s="23"/>
      <c r="J3646" s="23"/>
      <c r="K3646" s="23"/>
      <c r="L3646" s="375"/>
      <c r="M3646" s="351"/>
      <c r="N3646" s="267">
        <f t="shared" si="858"/>
        <v>0</v>
      </c>
      <c r="O3646" s="268">
        <f t="shared" si="859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85"/>
      <c r="AB3646" s="238"/>
      <c r="AC3646" s="196">
        <f t="shared" si="862"/>
        <v>0</v>
      </c>
      <c r="AD3646" s="196">
        <f t="shared" si="863"/>
        <v>0</v>
      </c>
      <c r="AE3646" s="196">
        <f t="shared" si="864"/>
        <v>0</v>
      </c>
      <c r="AF3646" s="2">
        <f t="shared" si="865"/>
        <v>0</v>
      </c>
      <c r="AG3646" s="2">
        <f t="shared" si="866"/>
        <v>0</v>
      </c>
    </row>
    <row r="3647" spans="1:33">
      <c r="A3647" s="20" t="s">
        <v>20475</v>
      </c>
      <c r="B3647" s="156"/>
      <c r="C3647" s="21" t="s">
        <v>20178</v>
      </c>
      <c r="D3647" s="109" t="s">
        <v>7761</v>
      </c>
      <c r="E3647" s="109"/>
      <c r="F3647" s="391" t="s">
        <v>20242</v>
      </c>
      <c r="G3647" s="23" t="s">
        <v>20179</v>
      </c>
      <c r="H3647" s="23" t="s">
        <v>21947</v>
      </c>
      <c r="I3647" s="23"/>
      <c r="J3647" s="23"/>
      <c r="K3647" s="23"/>
      <c r="L3647" s="375" t="s">
        <v>7787</v>
      </c>
      <c r="M3647" s="351" t="s">
        <v>7787</v>
      </c>
      <c r="N3647" s="267">
        <f t="shared" si="858"/>
        <v>0</v>
      </c>
      <c r="O3647" s="268">
        <f t="shared" si="859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79"/>
      <c r="AB3647" s="238"/>
      <c r="AC3647" s="196">
        <f t="shared" si="862"/>
        <v>0</v>
      </c>
      <c r="AD3647" s="196">
        <f t="shared" si="863"/>
        <v>0</v>
      </c>
      <c r="AE3647" s="196">
        <f t="shared" si="864"/>
        <v>0</v>
      </c>
      <c r="AF3647" s="2">
        <f t="shared" si="865"/>
        <v>0</v>
      </c>
      <c r="AG3647" s="2">
        <f t="shared" si="866"/>
        <v>0</v>
      </c>
    </row>
    <row r="3648" spans="1:33">
      <c r="A3648" s="20" t="s">
        <v>20080</v>
      </c>
      <c r="B3648" s="156"/>
      <c r="C3648" s="21" t="s">
        <v>20104</v>
      </c>
      <c r="D3648" s="109" t="s">
        <v>7761</v>
      </c>
      <c r="E3648" s="109"/>
      <c r="F3648" s="391" t="s">
        <v>20112</v>
      </c>
      <c r="G3648" s="23" t="s">
        <v>18870</v>
      </c>
      <c r="H3648" s="23"/>
      <c r="I3648" s="23"/>
      <c r="J3648" s="23"/>
      <c r="K3648" s="23"/>
      <c r="L3648" s="375" t="s">
        <v>7787</v>
      </c>
      <c r="M3648" s="351"/>
      <c r="N3648" s="267">
        <f t="shared" si="858"/>
        <v>0</v>
      </c>
      <c r="O3648" s="268">
        <f t="shared" si="859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62"/>
        <v>0</v>
      </c>
      <c r="AD3648" s="196">
        <f t="shared" si="863"/>
        <v>0</v>
      </c>
      <c r="AE3648" s="196">
        <f t="shared" si="864"/>
        <v>0</v>
      </c>
      <c r="AF3648" s="2">
        <f t="shared" si="865"/>
        <v>0</v>
      </c>
      <c r="AG3648" s="2">
        <f t="shared" si="866"/>
        <v>0</v>
      </c>
    </row>
    <row r="3649" spans="1:33">
      <c r="A3649" s="20" t="s">
        <v>20081</v>
      </c>
      <c r="B3649" s="156"/>
      <c r="C3649" s="21" t="s">
        <v>20177</v>
      </c>
      <c r="D3649" s="109" t="s">
        <v>7761</v>
      </c>
      <c r="E3649" s="109"/>
      <c r="F3649" s="391" t="s">
        <v>20187</v>
      </c>
      <c r="G3649" s="23" t="s">
        <v>18870</v>
      </c>
      <c r="H3649" s="23"/>
      <c r="I3649" s="23"/>
      <c r="J3649" s="23"/>
      <c r="K3649" s="23"/>
      <c r="L3649" s="375" t="s">
        <v>7787</v>
      </c>
      <c r="M3649" s="351" t="s">
        <v>7787</v>
      </c>
      <c r="N3649" s="267">
        <f t="shared" si="858"/>
        <v>0</v>
      </c>
      <c r="O3649" s="268">
        <f t="shared" si="859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62"/>
        <v>0</v>
      </c>
      <c r="AD3649" s="196">
        <f t="shared" si="863"/>
        <v>0</v>
      </c>
      <c r="AE3649" s="196">
        <f t="shared" si="864"/>
        <v>0</v>
      </c>
      <c r="AF3649" s="2">
        <f t="shared" si="865"/>
        <v>0</v>
      </c>
      <c r="AG3649" s="2">
        <f t="shared" si="866"/>
        <v>0</v>
      </c>
    </row>
    <row r="3650" spans="1:33">
      <c r="A3650" s="20" t="s">
        <v>20190</v>
      </c>
      <c r="B3650" s="156"/>
      <c r="C3650" s="21" t="s">
        <v>20181</v>
      </c>
      <c r="D3650" s="109" t="s">
        <v>7761</v>
      </c>
      <c r="E3650" s="109" t="s">
        <v>22127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 t="s">
        <v>7787</v>
      </c>
      <c r="M3650" s="351" t="s">
        <v>7787</v>
      </c>
      <c r="N3650" s="267">
        <f t="shared" si="858"/>
        <v>0</v>
      </c>
      <c r="O3650" s="268">
        <f t="shared" si="859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285"/>
      <c r="AB3650" s="238"/>
      <c r="AC3650" s="196">
        <f t="shared" si="862"/>
        <v>0</v>
      </c>
      <c r="AD3650" s="196">
        <f t="shared" si="863"/>
        <v>0</v>
      </c>
      <c r="AE3650" s="196">
        <f t="shared" si="864"/>
        <v>0</v>
      </c>
      <c r="AF3650" s="2">
        <f t="shared" si="865"/>
        <v>0</v>
      </c>
      <c r="AG3650" s="2">
        <f t="shared" si="866"/>
        <v>0</v>
      </c>
    </row>
    <row r="3651" spans="1:33">
      <c r="A3651" s="20" t="s">
        <v>22094</v>
      </c>
      <c r="B3651" s="156"/>
      <c r="C3651" s="21" t="s">
        <v>20181</v>
      </c>
      <c r="D3651" s="109" t="s">
        <v>7761</v>
      </c>
      <c r="E3651" s="109" t="s">
        <v>22128</v>
      </c>
      <c r="F3651" s="391" t="s">
        <v>20189</v>
      </c>
      <c r="G3651" s="23" t="s">
        <v>18870</v>
      </c>
      <c r="H3651" s="23" t="s">
        <v>21947</v>
      </c>
      <c r="I3651" s="23"/>
      <c r="J3651" s="23"/>
      <c r="K3651" s="23"/>
      <c r="L3651" s="375" t="s">
        <v>7787</v>
      </c>
      <c r="M3651" s="351" t="s">
        <v>7787</v>
      </c>
      <c r="N3651" s="267">
        <f t="shared" si="858"/>
        <v>0</v>
      </c>
      <c r="O3651" s="268">
        <f t="shared" si="859"/>
        <v>0</v>
      </c>
      <c r="P3651" s="239"/>
      <c r="Q3651" s="239"/>
      <c r="R3651" s="239"/>
      <c r="S3651" s="239"/>
      <c r="T3651" s="239"/>
      <c r="U3651" s="240"/>
      <c r="V3651" s="239"/>
      <c r="W3651" s="240"/>
      <c r="X3651" s="278"/>
      <c r="Y3651" s="237"/>
      <c r="Z3651" s="237"/>
      <c r="AA3651" s="285"/>
      <c r="AB3651" s="238"/>
      <c r="AC3651" s="196">
        <f t="shared" si="862"/>
        <v>0</v>
      </c>
      <c r="AD3651" s="196">
        <f t="shared" si="863"/>
        <v>0</v>
      </c>
      <c r="AE3651" s="196">
        <f t="shared" si="864"/>
        <v>0</v>
      </c>
      <c r="AF3651" s="2">
        <f t="shared" si="865"/>
        <v>0</v>
      </c>
      <c r="AG3651" s="2">
        <f t="shared" si="866"/>
        <v>0</v>
      </c>
    </row>
    <row r="3652" spans="1:33">
      <c r="A3652" s="20" t="s">
        <v>22203</v>
      </c>
      <c r="B3652" s="156"/>
      <c r="C3652" s="21" t="s">
        <v>20181</v>
      </c>
      <c r="D3652" s="109" t="s">
        <v>7761</v>
      </c>
      <c r="E3652" s="109" t="s">
        <v>22227</v>
      </c>
      <c r="F3652" s="391" t="s">
        <v>20189</v>
      </c>
      <c r="G3652" s="23" t="s">
        <v>18870</v>
      </c>
      <c r="H3652" s="23" t="s">
        <v>21947</v>
      </c>
      <c r="I3652" s="23"/>
      <c r="J3652" s="23"/>
      <c r="K3652" s="23"/>
      <c r="L3652" s="375"/>
      <c r="M3652" s="351"/>
      <c r="N3652" s="267">
        <f t="shared" si="858"/>
        <v>0</v>
      </c>
      <c r="O3652" s="268">
        <f t="shared" si="859"/>
        <v>0</v>
      </c>
      <c r="P3652" s="239"/>
      <c r="Q3652" s="239"/>
      <c r="R3652" s="239"/>
      <c r="S3652" s="239"/>
      <c r="T3652" s="239"/>
      <c r="U3652" s="240"/>
      <c r="V3652" s="239"/>
      <c r="W3652" s="240"/>
      <c r="X3652" s="278"/>
      <c r="Y3652" s="237"/>
      <c r="Z3652" s="237"/>
      <c r="AA3652" s="444"/>
      <c r="AB3652" s="238"/>
      <c r="AC3652" s="196">
        <f t="shared" si="862"/>
        <v>0</v>
      </c>
      <c r="AD3652" s="196">
        <f t="shared" si="863"/>
        <v>0</v>
      </c>
      <c r="AE3652" s="196">
        <f t="shared" si="864"/>
        <v>0</v>
      </c>
      <c r="AF3652" s="2">
        <f t="shared" si="865"/>
        <v>0</v>
      </c>
      <c r="AG3652" s="2">
        <f t="shared" si="866"/>
        <v>0</v>
      </c>
    </row>
    <row r="3653" spans="1:33">
      <c r="A3653" s="20" t="s">
        <v>2831</v>
      </c>
      <c r="B3653" s="161"/>
      <c r="C3653" s="21" t="s">
        <v>16831</v>
      </c>
      <c r="D3653" s="109" t="s">
        <v>16453</v>
      </c>
      <c r="E3653" s="109"/>
      <c r="F3653" s="391" t="s">
        <v>16801</v>
      </c>
      <c r="G3653" s="23"/>
      <c r="H3653" s="23"/>
      <c r="I3653" s="23"/>
      <c r="J3653" s="23"/>
      <c r="K3653" s="23"/>
      <c r="L3653" s="350"/>
      <c r="M3653" s="351"/>
      <c r="N3653" s="267">
        <f t="shared" si="858"/>
        <v>0</v>
      </c>
      <c r="O3653" s="268">
        <f t="shared" si="859"/>
        <v>0</v>
      </c>
      <c r="P3653" s="239"/>
      <c r="Q3653" s="239"/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/>
      <c r="AC3653" s="196">
        <f t="shared" si="862"/>
        <v>0</v>
      </c>
      <c r="AD3653" s="196">
        <f t="shared" si="863"/>
        <v>0</v>
      </c>
      <c r="AE3653" s="196">
        <f t="shared" si="864"/>
        <v>0</v>
      </c>
      <c r="AF3653" s="2">
        <f t="shared" si="865"/>
        <v>0</v>
      </c>
      <c r="AG3653" s="2">
        <f t="shared" si="866"/>
        <v>0</v>
      </c>
    </row>
    <row r="3654" spans="1:33">
      <c r="A3654" s="20" t="s">
        <v>2834</v>
      </c>
      <c r="B3654" s="161"/>
      <c r="C3654" s="21" t="s">
        <v>16831</v>
      </c>
      <c r="D3654" s="109" t="s">
        <v>16656</v>
      </c>
      <c r="E3654" s="109"/>
      <c r="F3654" s="391" t="s">
        <v>16801</v>
      </c>
      <c r="G3654" s="23"/>
      <c r="H3654" s="23"/>
      <c r="I3654" s="23"/>
      <c r="J3654" s="23"/>
      <c r="K3654" s="23"/>
      <c r="L3654" s="375" t="s">
        <v>7787</v>
      </c>
      <c r="M3654" s="351"/>
      <c r="N3654" s="267">
        <f t="shared" si="858"/>
        <v>0</v>
      </c>
      <c r="O3654" s="268">
        <f t="shared" si="859"/>
        <v>0</v>
      </c>
      <c r="P3654" s="239"/>
      <c r="Q3654" s="239"/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/>
      <c r="AC3654" s="196">
        <f t="shared" si="862"/>
        <v>0</v>
      </c>
      <c r="AD3654" s="196">
        <f t="shared" si="863"/>
        <v>0</v>
      </c>
      <c r="AE3654" s="196">
        <f t="shared" si="864"/>
        <v>0</v>
      </c>
      <c r="AF3654" s="2">
        <f t="shared" si="865"/>
        <v>0</v>
      </c>
      <c r="AG3654" s="2">
        <f t="shared" si="866"/>
        <v>0</v>
      </c>
    </row>
    <row r="3655" spans="1:33">
      <c r="A3655" s="20" t="s">
        <v>2835</v>
      </c>
      <c r="B3655" s="162" t="s">
        <v>5890</v>
      </c>
      <c r="C3655" s="21" t="s">
        <v>16831</v>
      </c>
      <c r="D3655" s="109" t="s">
        <v>16832</v>
      </c>
      <c r="E3655" s="109"/>
      <c r="F3655" s="391" t="s">
        <v>16801</v>
      </c>
      <c r="G3655" s="23" t="s">
        <v>20535</v>
      </c>
      <c r="H3655" s="23" t="s">
        <v>16141</v>
      </c>
      <c r="I3655" s="23" t="s">
        <v>16370</v>
      </c>
      <c r="J3655" s="23" t="s">
        <v>16833</v>
      </c>
      <c r="K3655" s="23" t="s">
        <v>16834</v>
      </c>
      <c r="L3655" s="375" t="s">
        <v>27393</v>
      </c>
      <c r="M3655" s="351" t="s">
        <v>45</v>
      </c>
      <c r="N3655" s="267">
        <f t="shared" si="858"/>
        <v>0</v>
      </c>
      <c r="O3655" s="268">
        <f t="shared" si="859"/>
        <v>1250</v>
      </c>
      <c r="P3655" s="239"/>
      <c r="Q3655" s="239">
        <f>750-150+1200-300-100-100-50</f>
        <v>1250</v>
      </c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 t="s">
        <v>27391</v>
      </c>
      <c r="AC3655" s="196">
        <f t="shared" si="862"/>
        <v>1250</v>
      </c>
      <c r="AD3655" s="196">
        <f t="shared" si="863"/>
        <v>1250</v>
      </c>
      <c r="AE3655" s="196">
        <f t="shared" si="864"/>
        <v>0</v>
      </c>
      <c r="AF3655" s="2">
        <f t="shared" si="865"/>
        <v>1250</v>
      </c>
      <c r="AG3655" s="2">
        <f t="shared" si="866"/>
        <v>0</v>
      </c>
    </row>
    <row r="3656" spans="1:33">
      <c r="A3656" s="20" t="s">
        <v>1973</v>
      </c>
      <c r="B3656" s="150"/>
      <c r="C3656" s="21" t="s">
        <v>801</v>
      </c>
      <c r="D3656" s="109" t="s">
        <v>16766</v>
      </c>
      <c r="E3656" s="109" t="s">
        <v>15965</v>
      </c>
      <c r="F3656" s="391" t="s">
        <v>16835</v>
      </c>
      <c r="G3656" s="23"/>
      <c r="H3656" s="23"/>
      <c r="I3656" s="23"/>
      <c r="J3656" s="23"/>
      <c r="K3656" s="23"/>
      <c r="L3656" s="350"/>
      <c r="M3656" s="351"/>
      <c r="N3656" s="267">
        <f t="shared" si="858"/>
        <v>0</v>
      </c>
      <c r="O3656" s="268">
        <f t="shared" si="859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62"/>
        <v>0</v>
      </c>
      <c r="AD3656" s="196">
        <f t="shared" si="863"/>
        <v>0</v>
      </c>
      <c r="AE3656" s="196">
        <f t="shared" si="864"/>
        <v>0</v>
      </c>
      <c r="AF3656" s="2">
        <f t="shared" si="865"/>
        <v>0</v>
      </c>
      <c r="AG3656" s="2">
        <f t="shared" si="866"/>
        <v>0</v>
      </c>
    </row>
    <row r="3657" spans="1:33">
      <c r="A3657" s="20" t="s">
        <v>1969</v>
      </c>
      <c r="B3657" s="150"/>
      <c r="C3657" s="21" t="s">
        <v>801</v>
      </c>
      <c r="D3657" s="109" t="s">
        <v>16376</v>
      </c>
      <c r="E3657" s="109" t="s">
        <v>15965</v>
      </c>
      <c r="F3657" s="391" t="s">
        <v>16836</v>
      </c>
      <c r="G3657" s="23"/>
      <c r="H3657" s="23"/>
      <c r="I3657" s="23"/>
      <c r="J3657" s="23"/>
      <c r="K3657" s="23"/>
      <c r="L3657" s="350"/>
      <c r="M3657" s="351"/>
      <c r="N3657" s="267">
        <f t="shared" si="858"/>
        <v>0</v>
      </c>
      <c r="O3657" s="268">
        <f t="shared" si="859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62"/>
        <v>0</v>
      </c>
      <c r="AD3657" s="196">
        <f t="shared" si="863"/>
        <v>0</v>
      </c>
      <c r="AE3657" s="196">
        <f t="shared" si="864"/>
        <v>0</v>
      </c>
      <c r="AF3657" s="2">
        <f t="shared" si="865"/>
        <v>0</v>
      </c>
      <c r="AG3657" s="2">
        <f t="shared" si="866"/>
        <v>0</v>
      </c>
    </row>
    <row r="3658" spans="1:33">
      <c r="A3658" s="20" t="s">
        <v>1970</v>
      </c>
      <c r="B3658" s="150"/>
      <c r="C3658" s="21" t="s">
        <v>801</v>
      </c>
      <c r="D3658" s="109" t="s">
        <v>16376</v>
      </c>
      <c r="E3658" s="109" t="s">
        <v>15965</v>
      </c>
      <c r="F3658" s="391" t="s">
        <v>16837</v>
      </c>
      <c r="G3658" s="23"/>
      <c r="H3658" s="23"/>
      <c r="I3658" s="23"/>
      <c r="J3658" s="23"/>
      <c r="K3658" s="23"/>
      <c r="L3658" s="350"/>
      <c r="M3658" s="351"/>
      <c r="N3658" s="267">
        <f t="shared" si="858"/>
        <v>0</v>
      </c>
      <c r="O3658" s="268">
        <f t="shared" si="859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79"/>
      <c r="AB3658" s="238"/>
      <c r="AC3658" s="196">
        <f t="shared" si="862"/>
        <v>0</v>
      </c>
      <c r="AD3658" s="196">
        <f t="shared" si="863"/>
        <v>0</v>
      </c>
      <c r="AE3658" s="196">
        <f t="shared" si="864"/>
        <v>0</v>
      </c>
      <c r="AF3658" s="2">
        <f t="shared" si="865"/>
        <v>0</v>
      </c>
      <c r="AG3658" s="2">
        <f t="shared" si="866"/>
        <v>0</v>
      </c>
    </row>
    <row r="3659" spans="1:33">
      <c r="A3659" s="20" t="s">
        <v>1988</v>
      </c>
      <c r="B3659" s="150"/>
      <c r="C3659" s="21" t="s">
        <v>801</v>
      </c>
      <c r="D3659" s="109" t="s">
        <v>16684</v>
      </c>
      <c r="E3659" s="109" t="s">
        <v>16838</v>
      </c>
      <c r="F3659" s="391" t="s">
        <v>16835</v>
      </c>
      <c r="G3659" s="23" t="s">
        <v>16141</v>
      </c>
      <c r="H3659" s="23"/>
      <c r="I3659" s="23"/>
      <c r="J3659" s="23"/>
      <c r="K3659" s="23"/>
      <c r="L3659" s="350"/>
      <c r="M3659" s="351"/>
      <c r="N3659" s="267">
        <f t="shared" si="858"/>
        <v>0</v>
      </c>
      <c r="O3659" s="268">
        <f t="shared" si="859"/>
        <v>0</v>
      </c>
      <c r="P3659" s="239"/>
      <c r="Q3659" s="239"/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79"/>
      <c r="AB3659" s="238"/>
      <c r="AC3659" s="196">
        <f t="shared" si="862"/>
        <v>0</v>
      </c>
      <c r="AD3659" s="196">
        <f t="shared" si="863"/>
        <v>0</v>
      </c>
      <c r="AE3659" s="196">
        <f t="shared" si="864"/>
        <v>0</v>
      </c>
      <c r="AF3659" s="2">
        <f t="shared" si="865"/>
        <v>0</v>
      </c>
      <c r="AG3659" s="2">
        <f t="shared" si="866"/>
        <v>0</v>
      </c>
    </row>
    <row r="3660" spans="1:33">
      <c r="A3660" s="20" t="s">
        <v>1987</v>
      </c>
      <c r="B3660" s="162" t="s">
        <v>5892</v>
      </c>
      <c r="C3660" s="21" t="s">
        <v>801</v>
      </c>
      <c r="D3660" s="109" t="s">
        <v>16684</v>
      </c>
      <c r="E3660" s="109"/>
      <c r="F3660" s="391" t="s">
        <v>16835</v>
      </c>
      <c r="G3660" s="23" t="s">
        <v>16141</v>
      </c>
      <c r="H3660" s="23" t="s">
        <v>15802</v>
      </c>
      <c r="I3660" s="23" t="s">
        <v>16839</v>
      </c>
      <c r="J3660" s="23" t="s">
        <v>13350</v>
      </c>
      <c r="K3660" s="23"/>
      <c r="L3660" s="375" t="s">
        <v>7787</v>
      </c>
      <c r="M3660" s="351" t="s">
        <v>7787</v>
      </c>
      <c r="N3660" s="267">
        <f t="shared" si="858"/>
        <v>0</v>
      </c>
      <c r="O3660" s="268">
        <f t="shared" si="859"/>
        <v>0</v>
      </c>
      <c r="P3660" s="239"/>
      <c r="Q3660" s="239"/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39"/>
      <c r="AB3660" s="238"/>
      <c r="AC3660" s="196">
        <f t="shared" si="862"/>
        <v>0</v>
      </c>
      <c r="AD3660" s="196">
        <f t="shared" si="863"/>
        <v>0</v>
      </c>
      <c r="AE3660" s="196">
        <f t="shared" si="864"/>
        <v>0</v>
      </c>
      <c r="AF3660" s="2">
        <f t="shared" si="865"/>
        <v>0</v>
      </c>
      <c r="AG3660" s="2">
        <f t="shared" si="866"/>
        <v>0</v>
      </c>
    </row>
    <row r="3661" spans="1:33">
      <c r="A3661" s="20" t="s">
        <v>1971</v>
      </c>
      <c r="B3661" s="150"/>
      <c r="C3661" s="21" t="s">
        <v>801</v>
      </c>
      <c r="D3661" s="109" t="s">
        <v>16442</v>
      </c>
      <c r="E3661" s="109"/>
      <c r="F3661" s="391" t="s">
        <v>16840</v>
      </c>
      <c r="G3661" s="23" t="s">
        <v>16141</v>
      </c>
      <c r="H3661" s="23" t="s">
        <v>16454</v>
      </c>
      <c r="I3661" s="23"/>
      <c r="J3661" s="23"/>
      <c r="K3661" s="23"/>
      <c r="L3661" s="375" t="s">
        <v>45</v>
      </c>
      <c r="M3661" s="351"/>
      <c r="N3661" s="267">
        <f t="shared" si="858"/>
        <v>0</v>
      </c>
      <c r="O3661" s="268">
        <f t="shared" si="859"/>
        <v>250</v>
      </c>
      <c r="P3661" s="239"/>
      <c r="Q3661" s="239">
        <f>550-300</f>
        <v>250</v>
      </c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 t="s">
        <v>25130</v>
      </c>
      <c r="AC3661" s="196">
        <f t="shared" si="862"/>
        <v>250</v>
      </c>
      <c r="AD3661" s="196">
        <f t="shared" si="863"/>
        <v>250</v>
      </c>
      <c r="AE3661" s="196">
        <f t="shared" si="864"/>
        <v>0</v>
      </c>
      <c r="AF3661" s="2">
        <f t="shared" si="865"/>
        <v>250</v>
      </c>
      <c r="AG3661" s="2">
        <f t="shared" si="866"/>
        <v>0</v>
      </c>
    </row>
    <row r="3662" spans="1:33">
      <c r="A3662" s="20" t="s">
        <v>1972</v>
      </c>
      <c r="B3662" s="161"/>
      <c r="C3662" s="21" t="s">
        <v>801</v>
      </c>
      <c r="D3662" s="109" t="s">
        <v>16442</v>
      </c>
      <c r="E3662" s="109"/>
      <c r="F3662" s="391" t="s">
        <v>16835</v>
      </c>
      <c r="G3662" s="23" t="s">
        <v>16141</v>
      </c>
      <c r="H3662" s="23" t="s">
        <v>16454</v>
      </c>
      <c r="I3662" s="23"/>
      <c r="J3662" s="23"/>
      <c r="K3662" s="23"/>
      <c r="L3662" s="350"/>
      <c r="M3662" s="351"/>
      <c r="N3662" s="267">
        <f t="shared" si="858"/>
        <v>0</v>
      </c>
      <c r="O3662" s="268">
        <f t="shared" si="859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79"/>
      <c r="AB3662" s="238"/>
      <c r="AC3662" s="196">
        <f t="shared" si="862"/>
        <v>0</v>
      </c>
      <c r="AD3662" s="196">
        <f t="shared" si="863"/>
        <v>0</v>
      </c>
      <c r="AE3662" s="196">
        <f t="shared" si="864"/>
        <v>0</v>
      </c>
      <c r="AF3662" s="2">
        <f t="shared" si="865"/>
        <v>0</v>
      </c>
      <c r="AG3662" s="2">
        <f t="shared" si="866"/>
        <v>0</v>
      </c>
    </row>
    <row r="3663" spans="1:33">
      <c r="A3663" s="20" t="s">
        <v>1985</v>
      </c>
      <c r="B3663" s="161"/>
      <c r="C3663" s="21" t="s">
        <v>801</v>
      </c>
      <c r="D3663" s="109" t="s">
        <v>16656</v>
      </c>
      <c r="E3663" s="109"/>
      <c r="F3663" s="391" t="s">
        <v>16835</v>
      </c>
      <c r="G3663" s="23"/>
      <c r="H3663" s="23"/>
      <c r="I3663" s="23"/>
      <c r="J3663" s="23"/>
      <c r="K3663" s="23"/>
      <c r="L3663" s="350"/>
      <c r="M3663" s="351"/>
      <c r="N3663" s="267">
        <f t="shared" si="858"/>
        <v>0</v>
      </c>
      <c r="O3663" s="268">
        <f t="shared" si="859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79"/>
      <c r="AB3663" s="238"/>
      <c r="AC3663" s="196">
        <f t="shared" si="862"/>
        <v>0</v>
      </c>
      <c r="AD3663" s="196">
        <f t="shared" si="863"/>
        <v>0</v>
      </c>
      <c r="AE3663" s="196">
        <f t="shared" si="864"/>
        <v>0</v>
      </c>
      <c r="AF3663" s="2">
        <f t="shared" si="865"/>
        <v>0</v>
      </c>
      <c r="AG3663" s="2">
        <f t="shared" si="866"/>
        <v>0</v>
      </c>
    </row>
    <row r="3664" spans="1:33">
      <c r="A3664" s="20" t="s">
        <v>1975</v>
      </c>
      <c r="B3664" s="152" t="s">
        <v>5891</v>
      </c>
      <c r="C3664" s="21" t="s">
        <v>801</v>
      </c>
      <c r="D3664" s="109" t="s">
        <v>16841</v>
      </c>
      <c r="E3664" s="109"/>
      <c r="F3664" s="391" t="s">
        <v>16836</v>
      </c>
      <c r="G3664" s="23" t="s">
        <v>16141</v>
      </c>
      <c r="H3664" s="23" t="s">
        <v>15164</v>
      </c>
      <c r="I3664" s="23" t="s">
        <v>16468</v>
      </c>
      <c r="J3664" s="23" t="s">
        <v>16253</v>
      </c>
      <c r="K3664" s="23"/>
      <c r="L3664" s="375" t="s">
        <v>7787</v>
      </c>
      <c r="M3664" s="351" t="s">
        <v>7787</v>
      </c>
      <c r="N3664" s="267">
        <f t="shared" si="858"/>
        <v>0</v>
      </c>
      <c r="O3664" s="268">
        <f t="shared" si="859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39"/>
      <c r="AB3664" s="238"/>
      <c r="AC3664" s="196">
        <f t="shared" si="862"/>
        <v>0</v>
      </c>
      <c r="AD3664" s="196">
        <f t="shared" si="863"/>
        <v>0</v>
      </c>
      <c r="AE3664" s="196">
        <f t="shared" si="864"/>
        <v>0</v>
      </c>
      <c r="AF3664" s="2">
        <f t="shared" si="865"/>
        <v>0</v>
      </c>
      <c r="AG3664" s="2">
        <f t="shared" si="866"/>
        <v>0</v>
      </c>
    </row>
    <row r="3665" spans="1:33">
      <c r="A3665" s="20" t="s">
        <v>1974</v>
      </c>
      <c r="B3665" s="150"/>
      <c r="C3665" s="21" t="s">
        <v>801</v>
      </c>
      <c r="D3665" s="109" t="s">
        <v>15161</v>
      </c>
      <c r="E3665" s="109"/>
      <c r="F3665" s="391" t="s">
        <v>16837</v>
      </c>
      <c r="G3665" s="23"/>
      <c r="H3665" s="23"/>
      <c r="I3665" s="23"/>
      <c r="J3665" s="23"/>
      <c r="K3665" s="23"/>
      <c r="L3665" s="350"/>
      <c r="M3665" s="351"/>
      <c r="N3665" s="267">
        <f t="shared" si="858"/>
        <v>0</v>
      </c>
      <c r="O3665" s="268">
        <f t="shared" si="859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62"/>
        <v>0</v>
      </c>
      <c r="AD3665" s="196">
        <f t="shared" si="863"/>
        <v>0</v>
      </c>
      <c r="AE3665" s="196">
        <f t="shared" si="864"/>
        <v>0</v>
      </c>
      <c r="AF3665" s="2">
        <f t="shared" si="865"/>
        <v>0</v>
      </c>
      <c r="AG3665" s="2">
        <f t="shared" si="866"/>
        <v>0</v>
      </c>
    </row>
    <row r="3666" spans="1:33">
      <c r="A3666" s="20" t="s">
        <v>1976</v>
      </c>
      <c r="B3666" s="150"/>
      <c r="C3666" s="21" t="s">
        <v>801</v>
      </c>
      <c r="D3666" s="109" t="s">
        <v>15161</v>
      </c>
      <c r="E3666" s="109"/>
      <c r="F3666" s="391" t="s">
        <v>16842</v>
      </c>
      <c r="G3666" s="23"/>
      <c r="H3666" s="23"/>
      <c r="I3666" s="23"/>
      <c r="J3666" s="23"/>
      <c r="K3666" s="23"/>
      <c r="L3666" s="350"/>
      <c r="M3666" s="351"/>
      <c r="N3666" s="267">
        <f t="shared" si="858"/>
        <v>0</v>
      </c>
      <c r="O3666" s="268">
        <f t="shared" si="859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62"/>
        <v>0</v>
      </c>
      <c r="AD3666" s="196">
        <f t="shared" si="863"/>
        <v>0</v>
      </c>
      <c r="AE3666" s="196">
        <f t="shared" si="864"/>
        <v>0</v>
      </c>
      <c r="AF3666" s="2">
        <f t="shared" si="865"/>
        <v>0</v>
      </c>
      <c r="AG3666" s="2">
        <f t="shared" si="866"/>
        <v>0</v>
      </c>
    </row>
    <row r="3667" spans="1:33">
      <c r="A3667" s="20" t="s">
        <v>1980</v>
      </c>
      <c r="B3667" s="150"/>
      <c r="C3667" s="21" t="s">
        <v>801</v>
      </c>
      <c r="D3667" s="109" t="s">
        <v>15161</v>
      </c>
      <c r="E3667" s="109"/>
      <c r="F3667" s="391" t="s">
        <v>16843</v>
      </c>
      <c r="G3667" s="23"/>
      <c r="H3667" s="23"/>
      <c r="I3667" s="23"/>
      <c r="J3667" s="23"/>
      <c r="K3667" s="23"/>
      <c r="L3667" s="350"/>
      <c r="M3667" s="351"/>
      <c r="N3667" s="267">
        <f t="shared" si="858"/>
        <v>0</v>
      </c>
      <c r="O3667" s="268">
        <f t="shared" si="859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62"/>
        <v>0</v>
      </c>
      <c r="AD3667" s="196">
        <f t="shared" si="863"/>
        <v>0</v>
      </c>
      <c r="AE3667" s="196">
        <f t="shared" si="864"/>
        <v>0</v>
      </c>
      <c r="AF3667" s="2">
        <f t="shared" si="865"/>
        <v>0</v>
      </c>
      <c r="AG3667" s="2">
        <f t="shared" si="866"/>
        <v>0</v>
      </c>
    </row>
    <row r="3668" spans="1:33">
      <c r="A3668" s="20" t="s">
        <v>1981</v>
      </c>
      <c r="B3668" s="150"/>
      <c r="C3668" s="21" t="s">
        <v>801</v>
      </c>
      <c r="D3668" s="109" t="s">
        <v>15167</v>
      </c>
      <c r="E3668" s="109"/>
      <c r="F3668" s="391" t="s">
        <v>16837</v>
      </c>
      <c r="G3668" s="23" t="s">
        <v>16454</v>
      </c>
      <c r="H3668" s="23" t="s">
        <v>16844</v>
      </c>
      <c r="I3668" s="23" t="s">
        <v>16221</v>
      </c>
      <c r="J3668" s="23"/>
      <c r="K3668" s="23"/>
      <c r="L3668" s="350"/>
      <c r="M3668" s="351" t="s">
        <v>7787</v>
      </c>
      <c r="N3668" s="267">
        <f t="shared" si="858"/>
        <v>0</v>
      </c>
      <c r="O3668" s="268">
        <f t="shared" si="859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62"/>
        <v>0</v>
      </c>
      <c r="AD3668" s="196">
        <f t="shared" si="863"/>
        <v>0</v>
      </c>
      <c r="AE3668" s="196">
        <f t="shared" si="864"/>
        <v>0</v>
      </c>
      <c r="AF3668" s="2">
        <f t="shared" si="865"/>
        <v>0</v>
      </c>
      <c r="AG3668" s="2">
        <f t="shared" si="866"/>
        <v>0</v>
      </c>
    </row>
    <row r="3669" spans="1:33">
      <c r="A3669" s="20" t="s">
        <v>1983</v>
      </c>
      <c r="B3669" s="150"/>
      <c r="C3669" s="21" t="s">
        <v>801</v>
      </c>
      <c r="D3669" s="109" t="s">
        <v>15167</v>
      </c>
      <c r="E3669" s="109"/>
      <c r="F3669" s="391" t="s">
        <v>16843</v>
      </c>
      <c r="G3669" s="23"/>
      <c r="H3669" s="23"/>
      <c r="I3669" s="23"/>
      <c r="J3669" s="23"/>
      <c r="K3669" s="23"/>
      <c r="L3669" s="350"/>
      <c r="M3669" s="351"/>
      <c r="N3669" s="267">
        <f t="shared" si="858"/>
        <v>0</v>
      </c>
      <c r="O3669" s="268">
        <f t="shared" si="859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62"/>
        <v>0</v>
      </c>
      <c r="AD3669" s="196">
        <f t="shared" si="863"/>
        <v>0</v>
      </c>
      <c r="AE3669" s="196">
        <f t="shared" si="864"/>
        <v>0</v>
      </c>
      <c r="AF3669" s="2">
        <f t="shared" si="865"/>
        <v>0</v>
      </c>
      <c r="AG3669" s="2">
        <f t="shared" si="866"/>
        <v>0</v>
      </c>
    </row>
    <row r="3670" spans="1:33">
      <c r="A3670" s="20" t="s">
        <v>1986</v>
      </c>
      <c r="B3670" s="150"/>
      <c r="C3670" s="21" t="s">
        <v>801</v>
      </c>
      <c r="D3670" s="109" t="s">
        <v>16363</v>
      </c>
      <c r="E3670" s="109"/>
      <c r="F3670" s="391" t="s">
        <v>16835</v>
      </c>
      <c r="G3670" s="23"/>
      <c r="H3670" s="23"/>
      <c r="I3670" s="23"/>
      <c r="J3670" s="23"/>
      <c r="K3670" s="23"/>
      <c r="L3670" s="350"/>
      <c r="M3670" s="351"/>
      <c r="N3670" s="267">
        <f t="shared" si="858"/>
        <v>0</v>
      </c>
      <c r="O3670" s="268">
        <f t="shared" si="859"/>
        <v>0</v>
      </c>
      <c r="P3670" s="239"/>
      <c r="Q3670" s="239"/>
      <c r="R3670" s="239"/>
      <c r="S3670" s="239"/>
      <c r="T3670" s="239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62"/>
        <v>0</v>
      </c>
      <c r="AD3670" s="196">
        <f t="shared" si="863"/>
        <v>0</v>
      </c>
      <c r="AE3670" s="196">
        <f t="shared" si="864"/>
        <v>0</v>
      </c>
      <c r="AF3670" s="2">
        <f t="shared" si="865"/>
        <v>0</v>
      </c>
      <c r="AG3670" s="2">
        <f t="shared" si="866"/>
        <v>0</v>
      </c>
    </row>
    <row r="3671" spans="1:33">
      <c r="A3671" s="20" t="s">
        <v>1979</v>
      </c>
      <c r="B3671" s="150"/>
      <c r="C3671" s="21" t="s">
        <v>801</v>
      </c>
      <c r="D3671" s="109" t="s">
        <v>16667</v>
      </c>
      <c r="E3671" s="109"/>
      <c r="F3671" s="391" t="s">
        <v>16836</v>
      </c>
      <c r="G3671" s="23" t="s">
        <v>16070</v>
      </c>
      <c r="H3671" s="23"/>
      <c r="I3671" s="23"/>
      <c r="J3671" s="23"/>
      <c r="K3671" s="23"/>
      <c r="L3671" s="350"/>
      <c r="M3671" s="351"/>
      <c r="N3671" s="267">
        <f t="shared" si="858"/>
        <v>0</v>
      </c>
      <c r="O3671" s="268">
        <f t="shared" si="859"/>
        <v>0</v>
      </c>
      <c r="P3671" s="239"/>
      <c r="Q3671" s="239"/>
      <c r="R3671" s="239"/>
      <c r="S3671" s="239"/>
      <c r="T3671" s="239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62"/>
        <v>0</v>
      </c>
      <c r="AD3671" s="196">
        <f t="shared" si="863"/>
        <v>0</v>
      </c>
      <c r="AE3671" s="196">
        <f t="shared" si="864"/>
        <v>0</v>
      </c>
      <c r="AF3671" s="2">
        <f t="shared" si="865"/>
        <v>0</v>
      </c>
      <c r="AG3671" s="2">
        <f t="shared" si="866"/>
        <v>0</v>
      </c>
    </row>
    <row r="3672" spans="1:33">
      <c r="A3672" s="20" t="s">
        <v>1982</v>
      </c>
      <c r="B3672" s="156" t="s">
        <v>16845</v>
      </c>
      <c r="C3672" s="21" t="s">
        <v>801</v>
      </c>
      <c r="D3672" s="109" t="s">
        <v>16458</v>
      </c>
      <c r="E3672" s="109"/>
      <c r="F3672" s="391" t="s">
        <v>16836</v>
      </c>
      <c r="G3672" s="23" t="s">
        <v>16070</v>
      </c>
      <c r="H3672" s="23" t="s">
        <v>16379</v>
      </c>
      <c r="I3672" s="23" t="s">
        <v>16221</v>
      </c>
      <c r="J3672" s="23" t="s">
        <v>16846</v>
      </c>
      <c r="K3672" s="23" t="s">
        <v>16847</v>
      </c>
      <c r="L3672" s="375"/>
      <c r="M3672" s="351" t="s">
        <v>7787</v>
      </c>
      <c r="N3672" s="267">
        <f t="shared" si="858"/>
        <v>0</v>
      </c>
      <c r="O3672" s="268">
        <f t="shared" si="859"/>
        <v>0</v>
      </c>
      <c r="P3672" s="239"/>
      <c r="Q3672" s="239"/>
      <c r="R3672" s="239"/>
      <c r="S3672" s="239"/>
      <c r="T3672" s="241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62"/>
        <v>0</v>
      </c>
      <c r="AD3672" s="196">
        <f t="shared" si="863"/>
        <v>0</v>
      </c>
      <c r="AE3672" s="196">
        <f t="shared" si="864"/>
        <v>0</v>
      </c>
      <c r="AF3672" s="2">
        <f t="shared" si="865"/>
        <v>0</v>
      </c>
      <c r="AG3672" s="2">
        <f t="shared" si="866"/>
        <v>0</v>
      </c>
    </row>
    <row r="3673" spans="1:33">
      <c r="A3673" s="20" t="s">
        <v>1984</v>
      </c>
      <c r="B3673" s="151" t="s">
        <v>16848</v>
      </c>
      <c r="C3673" s="21" t="s">
        <v>801</v>
      </c>
      <c r="D3673" s="109" t="s">
        <v>15167</v>
      </c>
      <c r="E3673" s="109"/>
      <c r="F3673" s="391" t="s">
        <v>16837</v>
      </c>
      <c r="G3673" s="23" t="s">
        <v>16844</v>
      </c>
      <c r="H3673" s="23"/>
      <c r="I3673" s="23"/>
      <c r="J3673" s="23"/>
      <c r="K3673" s="23"/>
      <c r="L3673" s="350"/>
      <c r="M3673" s="351"/>
      <c r="N3673" s="267">
        <f t="shared" si="858"/>
        <v>0</v>
      </c>
      <c r="O3673" s="268">
        <f t="shared" si="859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62"/>
        <v>0</v>
      </c>
      <c r="AD3673" s="196">
        <f t="shared" si="863"/>
        <v>0</v>
      </c>
      <c r="AE3673" s="196">
        <f t="shared" si="864"/>
        <v>0</v>
      </c>
      <c r="AF3673" s="2">
        <f t="shared" si="865"/>
        <v>0</v>
      </c>
      <c r="AG3673" s="2">
        <f t="shared" si="866"/>
        <v>0</v>
      </c>
    </row>
    <row r="3674" spans="1:33">
      <c r="A3674" s="20" t="s">
        <v>1993</v>
      </c>
      <c r="B3674" s="150"/>
      <c r="C3674" s="21" t="s">
        <v>803</v>
      </c>
      <c r="D3674" s="109" t="s">
        <v>16376</v>
      </c>
      <c r="E3674" s="109" t="s">
        <v>15965</v>
      </c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8"/>
        <v>0</v>
      </c>
      <c r="O3674" s="268">
        <f t="shared" si="859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62"/>
        <v>0</v>
      </c>
      <c r="AD3674" s="196">
        <f t="shared" si="863"/>
        <v>0</v>
      </c>
      <c r="AE3674" s="196">
        <f t="shared" si="864"/>
        <v>0</v>
      </c>
      <c r="AF3674" s="2">
        <f t="shared" si="865"/>
        <v>0</v>
      </c>
      <c r="AG3674" s="2">
        <f t="shared" si="866"/>
        <v>0</v>
      </c>
    </row>
    <row r="3675" spans="1:33">
      <c r="A3675" s="20" t="s">
        <v>1989</v>
      </c>
      <c r="B3675" s="161"/>
      <c r="C3675" s="21" t="s">
        <v>803</v>
      </c>
      <c r="D3675" s="109" t="s">
        <v>16251</v>
      </c>
      <c r="E3675" s="109"/>
      <c r="F3675" s="391" t="s">
        <v>16849</v>
      </c>
      <c r="G3675" s="23"/>
      <c r="H3675" s="23"/>
      <c r="I3675" s="23"/>
      <c r="J3675" s="23"/>
      <c r="K3675" s="23"/>
      <c r="L3675" s="350"/>
      <c r="M3675" s="351"/>
      <c r="N3675" s="267">
        <f t="shared" si="858"/>
        <v>0</v>
      </c>
      <c r="O3675" s="268">
        <f t="shared" si="859"/>
        <v>0</v>
      </c>
      <c r="P3675" s="239"/>
      <c r="Q3675" s="239"/>
      <c r="R3675" s="239"/>
      <c r="S3675" s="239"/>
      <c r="T3675" s="239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62"/>
        <v>0</v>
      </c>
      <c r="AD3675" s="196">
        <f t="shared" si="863"/>
        <v>0</v>
      </c>
      <c r="AE3675" s="196">
        <f t="shared" si="864"/>
        <v>0</v>
      </c>
      <c r="AF3675" s="2">
        <f t="shared" si="865"/>
        <v>0</v>
      </c>
      <c r="AG3675" s="2">
        <f t="shared" si="866"/>
        <v>0</v>
      </c>
    </row>
    <row r="3676" spans="1:33">
      <c r="A3676" s="20" t="s">
        <v>1990</v>
      </c>
      <c r="B3676" s="161"/>
      <c r="C3676" s="21" t="s">
        <v>803</v>
      </c>
      <c r="D3676" s="109" t="s">
        <v>15161</v>
      </c>
      <c r="E3676" s="109"/>
      <c r="F3676" s="391" t="s">
        <v>16849</v>
      </c>
      <c r="G3676" s="23"/>
      <c r="H3676" s="23"/>
      <c r="I3676" s="23"/>
      <c r="J3676" s="23"/>
      <c r="K3676" s="23"/>
      <c r="L3676" s="350"/>
      <c r="M3676" s="351"/>
      <c r="N3676" s="267">
        <f t="shared" si="858"/>
        <v>0</v>
      </c>
      <c r="O3676" s="268">
        <f t="shared" si="859"/>
        <v>0</v>
      </c>
      <c r="P3676" s="239"/>
      <c r="Q3676" s="239"/>
      <c r="R3676" s="239"/>
      <c r="S3676" s="239"/>
      <c r="T3676" s="239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62"/>
        <v>0</v>
      </c>
      <c r="AD3676" s="196">
        <f t="shared" si="863"/>
        <v>0</v>
      </c>
      <c r="AE3676" s="196">
        <f t="shared" si="864"/>
        <v>0</v>
      </c>
      <c r="AF3676" s="2">
        <f t="shared" si="865"/>
        <v>0</v>
      </c>
      <c r="AG3676" s="2">
        <f t="shared" si="866"/>
        <v>0</v>
      </c>
    </row>
    <row r="3677" spans="1:33">
      <c r="A3677" s="20" t="s">
        <v>1991</v>
      </c>
      <c r="B3677" s="150"/>
      <c r="C3677" s="21" t="s">
        <v>803</v>
      </c>
      <c r="D3677" s="109" t="s">
        <v>15167</v>
      </c>
      <c r="E3677" s="109"/>
      <c r="F3677" s="391" t="s">
        <v>16849</v>
      </c>
      <c r="G3677" s="23"/>
      <c r="H3677" s="23"/>
      <c r="I3677" s="23"/>
      <c r="J3677" s="23"/>
      <c r="K3677" s="23"/>
      <c r="L3677" s="375" t="s">
        <v>7787</v>
      </c>
      <c r="M3677" s="351" t="s">
        <v>7787</v>
      </c>
      <c r="N3677" s="267">
        <f t="shared" si="858"/>
        <v>0</v>
      </c>
      <c r="O3677" s="268">
        <f t="shared" si="859"/>
        <v>0</v>
      </c>
      <c r="P3677" s="237"/>
      <c r="Q3677" s="237"/>
      <c r="R3677" s="237"/>
      <c r="S3677" s="237"/>
      <c r="T3677" s="237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62"/>
        <v>0</v>
      </c>
      <c r="AD3677" s="196">
        <f t="shared" si="863"/>
        <v>0</v>
      </c>
      <c r="AE3677" s="196">
        <f t="shared" si="864"/>
        <v>0</v>
      </c>
      <c r="AF3677" s="2">
        <f t="shared" si="865"/>
        <v>0</v>
      </c>
      <c r="AG3677" s="2">
        <f t="shared" si="866"/>
        <v>0</v>
      </c>
    </row>
    <row r="3678" spans="1:33">
      <c r="A3678" s="20" t="s">
        <v>1992</v>
      </c>
      <c r="B3678" s="161"/>
      <c r="C3678" s="21" t="s">
        <v>803</v>
      </c>
      <c r="D3678" s="109" t="s">
        <v>16363</v>
      </c>
      <c r="E3678" s="109"/>
      <c r="F3678" s="391" t="s">
        <v>16849</v>
      </c>
      <c r="G3678" s="23"/>
      <c r="H3678" s="23"/>
      <c r="I3678" s="23"/>
      <c r="J3678" s="23"/>
      <c r="K3678" s="23"/>
      <c r="L3678" s="350"/>
      <c r="M3678" s="351"/>
      <c r="N3678" s="267">
        <f t="shared" si="858"/>
        <v>0</v>
      </c>
      <c r="O3678" s="268">
        <f t="shared" si="859"/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62"/>
        <v>0</v>
      </c>
      <c r="AD3678" s="196">
        <f t="shared" si="863"/>
        <v>0</v>
      </c>
      <c r="AE3678" s="196">
        <f t="shared" si="864"/>
        <v>0</v>
      </c>
      <c r="AF3678" s="2">
        <f t="shared" si="865"/>
        <v>0</v>
      </c>
      <c r="AG3678" s="2">
        <f t="shared" si="866"/>
        <v>0</v>
      </c>
    </row>
    <row r="3679" spans="1:33">
      <c r="A3679" s="20" t="s">
        <v>1994</v>
      </c>
      <c r="B3679" s="150"/>
      <c r="C3679" s="21" t="s">
        <v>16850</v>
      </c>
      <c r="D3679" s="109" t="s">
        <v>16795</v>
      </c>
      <c r="E3679" s="109"/>
      <c r="F3679" s="391" t="s">
        <v>16849</v>
      </c>
      <c r="G3679" s="23" t="s">
        <v>16291</v>
      </c>
      <c r="H3679" s="23"/>
      <c r="I3679" s="23"/>
      <c r="J3679" s="23"/>
      <c r="K3679" s="23"/>
      <c r="L3679" s="375" t="s">
        <v>7787</v>
      </c>
      <c r="M3679" s="351" t="s">
        <v>7787</v>
      </c>
      <c r="N3679" s="267">
        <f t="shared" si="858"/>
        <v>0</v>
      </c>
      <c r="O3679" s="268">
        <f t="shared" si="859"/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62"/>
        <v>0</v>
      </c>
      <c r="AD3679" s="196">
        <f t="shared" si="863"/>
        <v>0</v>
      </c>
      <c r="AE3679" s="196">
        <f t="shared" si="864"/>
        <v>0</v>
      </c>
      <c r="AF3679" s="2">
        <f t="shared" si="865"/>
        <v>0</v>
      </c>
      <c r="AG3679" s="2">
        <f t="shared" si="866"/>
        <v>0</v>
      </c>
    </row>
    <row r="3680" spans="1:33">
      <c r="A3680" s="20" t="s">
        <v>1995</v>
      </c>
      <c r="B3680" s="161"/>
      <c r="C3680" s="21" t="s">
        <v>804</v>
      </c>
      <c r="D3680" s="109" t="s">
        <v>16851</v>
      </c>
      <c r="E3680" s="109"/>
      <c r="F3680" s="391" t="s">
        <v>16852</v>
      </c>
      <c r="G3680" s="23"/>
      <c r="H3680" s="23"/>
      <c r="I3680" s="23"/>
      <c r="J3680" s="23"/>
      <c r="K3680" s="23"/>
      <c r="L3680" s="350"/>
      <c r="M3680" s="351"/>
      <c r="N3680" s="267">
        <f t="shared" ref="N3680:N3746" si="867">SUM(L3680:M3680)</f>
        <v>0</v>
      </c>
      <c r="O3680" s="268">
        <f t="shared" ref="O3680:O3746" si="868">SUM(P3680:Z3680)</f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62"/>
        <v>0</v>
      </c>
      <c r="AD3680" s="196">
        <f t="shared" si="863"/>
        <v>0</v>
      </c>
      <c r="AE3680" s="196">
        <f t="shared" si="864"/>
        <v>0</v>
      </c>
      <c r="AF3680" s="2">
        <f t="shared" si="865"/>
        <v>0</v>
      </c>
      <c r="AG3680" s="2">
        <f t="shared" si="866"/>
        <v>0</v>
      </c>
    </row>
    <row r="3681" spans="1:33">
      <c r="A3681" s="20" t="s">
        <v>1996</v>
      </c>
      <c r="B3681" s="150"/>
      <c r="C3681" s="21" t="s">
        <v>804</v>
      </c>
      <c r="D3681" s="109" t="s">
        <v>15161</v>
      </c>
      <c r="E3681" s="109"/>
      <c r="F3681" s="391" t="s">
        <v>16852</v>
      </c>
      <c r="G3681" s="23"/>
      <c r="H3681" s="23"/>
      <c r="I3681" s="23"/>
      <c r="J3681" s="23"/>
      <c r="K3681" s="23"/>
      <c r="L3681" s="350"/>
      <c r="M3681" s="351"/>
      <c r="N3681" s="267">
        <f t="shared" si="867"/>
        <v>0</v>
      </c>
      <c r="O3681" s="268">
        <f t="shared" si="868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62"/>
        <v>0</v>
      </c>
      <c r="AD3681" s="196">
        <f t="shared" si="863"/>
        <v>0</v>
      </c>
      <c r="AE3681" s="196">
        <f t="shared" si="864"/>
        <v>0</v>
      </c>
      <c r="AF3681" s="2">
        <f t="shared" si="865"/>
        <v>0</v>
      </c>
      <c r="AG3681" s="2">
        <f t="shared" si="866"/>
        <v>0</v>
      </c>
    </row>
    <row r="3682" spans="1:33">
      <c r="A3682" s="20" t="s">
        <v>1998</v>
      </c>
      <c r="B3682" s="152" t="s">
        <v>5893</v>
      </c>
      <c r="C3682" s="21" t="s">
        <v>804</v>
      </c>
      <c r="D3682" s="109" t="s">
        <v>15167</v>
      </c>
      <c r="E3682" s="109"/>
      <c r="F3682" s="391" t="s">
        <v>16852</v>
      </c>
      <c r="G3682" s="23" t="s">
        <v>16141</v>
      </c>
      <c r="H3682" s="23" t="s">
        <v>16454</v>
      </c>
      <c r="I3682" s="23"/>
      <c r="J3682" s="23"/>
      <c r="K3682" s="23"/>
      <c r="L3682" s="375" t="s">
        <v>7787</v>
      </c>
      <c r="M3682" s="351"/>
      <c r="N3682" s="267">
        <f t="shared" si="867"/>
        <v>0</v>
      </c>
      <c r="O3682" s="268">
        <f t="shared" si="868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62"/>
        <v>0</v>
      </c>
      <c r="AD3682" s="196">
        <f t="shared" si="863"/>
        <v>0</v>
      </c>
      <c r="AE3682" s="196">
        <f t="shared" si="864"/>
        <v>0</v>
      </c>
      <c r="AF3682" s="2">
        <f t="shared" si="865"/>
        <v>0</v>
      </c>
      <c r="AG3682" s="2">
        <f t="shared" si="866"/>
        <v>0</v>
      </c>
    </row>
    <row r="3683" spans="1:33">
      <c r="A3683" s="20" t="s">
        <v>1997</v>
      </c>
      <c r="B3683" s="150"/>
      <c r="C3683" s="21" t="s">
        <v>16853</v>
      </c>
      <c r="D3683" s="109" t="s">
        <v>16795</v>
      </c>
      <c r="E3683" s="109"/>
      <c r="F3683" s="391" t="s">
        <v>16852</v>
      </c>
      <c r="G3683" s="23"/>
      <c r="H3683" s="23"/>
      <c r="I3683" s="23"/>
      <c r="J3683" s="23"/>
      <c r="K3683" s="23"/>
      <c r="L3683" s="350"/>
      <c r="M3683" s="351"/>
      <c r="N3683" s="267">
        <f t="shared" si="867"/>
        <v>0</v>
      </c>
      <c r="O3683" s="268">
        <f t="shared" si="868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62"/>
        <v>0</v>
      </c>
      <c r="AD3683" s="196">
        <f t="shared" si="863"/>
        <v>0</v>
      </c>
      <c r="AE3683" s="196">
        <f t="shared" si="864"/>
        <v>0</v>
      </c>
      <c r="AF3683" s="2">
        <f t="shared" si="865"/>
        <v>0</v>
      </c>
      <c r="AG3683" s="2">
        <f t="shared" si="866"/>
        <v>0</v>
      </c>
    </row>
    <row r="3684" spans="1:33">
      <c r="A3684" s="20" t="s">
        <v>1999</v>
      </c>
      <c r="B3684" s="161"/>
      <c r="C3684" s="21" t="s">
        <v>805</v>
      </c>
      <c r="D3684" s="109" t="s">
        <v>15161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7"/>
        <v>0</v>
      </c>
      <c r="O3684" s="268">
        <f t="shared" si="868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62"/>
        <v>0</v>
      </c>
      <c r="AD3684" s="196">
        <f t="shared" si="863"/>
        <v>0</v>
      </c>
      <c r="AE3684" s="196">
        <f t="shared" si="864"/>
        <v>0</v>
      </c>
      <c r="AF3684" s="2">
        <f t="shared" si="865"/>
        <v>0</v>
      </c>
      <c r="AG3684" s="2">
        <f t="shared" si="866"/>
        <v>0</v>
      </c>
    </row>
    <row r="3685" spans="1:33">
      <c r="A3685" s="20" t="s">
        <v>2000</v>
      </c>
      <c r="B3685" s="161"/>
      <c r="C3685" s="21" t="s">
        <v>805</v>
      </c>
      <c r="D3685" s="109" t="s">
        <v>15161</v>
      </c>
      <c r="E3685" s="109"/>
      <c r="F3685" s="391" t="s">
        <v>16854</v>
      </c>
      <c r="G3685" s="23"/>
      <c r="H3685" s="23"/>
      <c r="I3685" s="23"/>
      <c r="J3685" s="23"/>
      <c r="K3685" s="23"/>
      <c r="L3685" s="350"/>
      <c r="M3685" s="351"/>
      <c r="N3685" s="267">
        <f t="shared" si="867"/>
        <v>0</v>
      </c>
      <c r="O3685" s="268">
        <f t="shared" si="868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62"/>
        <v>0</v>
      </c>
      <c r="AD3685" s="196">
        <f t="shared" si="863"/>
        <v>0</v>
      </c>
      <c r="AE3685" s="196">
        <f t="shared" si="864"/>
        <v>0</v>
      </c>
      <c r="AF3685" s="2">
        <f t="shared" si="865"/>
        <v>0</v>
      </c>
      <c r="AG3685" s="2">
        <f t="shared" si="866"/>
        <v>0</v>
      </c>
    </row>
    <row r="3686" spans="1:33">
      <c r="A3686" s="20" t="s">
        <v>2001</v>
      </c>
      <c r="B3686" s="150"/>
      <c r="C3686" s="21" t="s">
        <v>805</v>
      </c>
      <c r="D3686" s="109" t="s">
        <v>15167</v>
      </c>
      <c r="E3686" s="109"/>
      <c r="F3686" s="391" t="s">
        <v>16854</v>
      </c>
      <c r="G3686" s="23"/>
      <c r="H3686" s="23"/>
      <c r="I3686" s="23"/>
      <c r="J3686" s="23"/>
      <c r="K3686" s="23"/>
      <c r="L3686" s="350"/>
      <c r="M3686" s="351"/>
      <c r="N3686" s="267">
        <f t="shared" si="867"/>
        <v>0</v>
      </c>
      <c r="O3686" s="268">
        <f t="shared" si="868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62"/>
        <v>0</v>
      </c>
      <c r="AD3686" s="196">
        <f t="shared" si="863"/>
        <v>0</v>
      </c>
      <c r="AE3686" s="196">
        <f t="shared" si="864"/>
        <v>0</v>
      </c>
      <c r="AF3686" s="2">
        <f t="shared" si="865"/>
        <v>0</v>
      </c>
      <c r="AG3686" s="2">
        <f t="shared" si="866"/>
        <v>0</v>
      </c>
    </row>
    <row r="3687" spans="1:33">
      <c r="A3687" s="20" t="s">
        <v>2004</v>
      </c>
      <c r="B3687" s="150"/>
      <c r="C3687" s="21" t="s">
        <v>806</v>
      </c>
      <c r="D3687" s="109" t="s">
        <v>16376</v>
      </c>
      <c r="E3687" s="109" t="s">
        <v>15965</v>
      </c>
      <c r="F3687" s="391" t="s">
        <v>16855</v>
      </c>
      <c r="G3687" s="23"/>
      <c r="H3687" s="23"/>
      <c r="I3687" s="23"/>
      <c r="J3687" s="23"/>
      <c r="K3687" s="23"/>
      <c r="L3687" s="350"/>
      <c r="M3687" s="351"/>
      <c r="N3687" s="267">
        <f t="shared" si="867"/>
        <v>0</v>
      </c>
      <c r="O3687" s="268">
        <f t="shared" si="868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62"/>
        <v>0</v>
      </c>
      <c r="AD3687" s="196">
        <f t="shared" si="863"/>
        <v>0</v>
      </c>
      <c r="AE3687" s="196">
        <f t="shared" si="864"/>
        <v>0</v>
      </c>
      <c r="AF3687" s="2">
        <f t="shared" si="865"/>
        <v>0</v>
      </c>
      <c r="AG3687" s="2">
        <f t="shared" si="866"/>
        <v>0</v>
      </c>
    </row>
    <row r="3688" spans="1:33">
      <c r="A3688" s="20" t="s">
        <v>2002</v>
      </c>
      <c r="B3688" s="150"/>
      <c r="C3688" s="21" t="s">
        <v>806</v>
      </c>
      <c r="D3688" s="109" t="s">
        <v>15167</v>
      </c>
      <c r="E3688" s="109"/>
      <c r="F3688" s="391" t="s">
        <v>16855</v>
      </c>
      <c r="G3688" s="23" t="s">
        <v>15802</v>
      </c>
      <c r="H3688" s="23" t="s">
        <v>16291</v>
      </c>
      <c r="I3688" s="23"/>
      <c r="J3688" s="23"/>
      <c r="K3688" s="23"/>
      <c r="L3688" s="350"/>
      <c r="M3688" s="351"/>
      <c r="N3688" s="267">
        <f t="shared" si="867"/>
        <v>0</v>
      </c>
      <c r="O3688" s="268">
        <f t="shared" si="868"/>
        <v>0</v>
      </c>
      <c r="P3688" s="239"/>
      <c r="Q3688" s="239"/>
      <c r="R3688" s="239"/>
      <c r="S3688" s="239"/>
      <c r="T3688" s="239"/>
      <c r="U3688" s="240"/>
      <c r="V3688" s="240"/>
      <c r="W3688" s="240"/>
      <c r="X3688" s="278"/>
      <c r="Y3688" s="237"/>
      <c r="Z3688" s="237"/>
      <c r="AA3688" s="279"/>
      <c r="AB3688" s="238"/>
      <c r="AC3688" s="196">
        <f t="shared" si="862"/>
        <v>0</v>
      </c>
      <c r="AD3688" s="196">
        <f t="shared" si="863"/>
        <v>0</v>
      </c>
      <c r="AE3688" s="196">
        <f t="shared" si="864"/>
        <v>0</v>
      </c>
      <c r="AF3688" s="2">
        <f t="shared" si="865"/>
        <v>0</v>
      </c>
      <c r="AG3688" s="2">
        <f t="shared" si="866"/>
        <v>0</v>
      </c>
    </row>
    <row r="3689" spans="1:33">
      <c r="A3689" s="20" t="s">
        <v>2003</v>
      </c>
      <c r="B3689" s="150"/>
      <c r="C3689" s="21" t="s">
        <v>806</v>
      </c>
      <c r="D3689" s="109" t="s">
        <v>16363</v>
      </c>
      <c r="E3689" s="109"/>
      <c r="F3689" s="391" t="s">
        <v>16855</v>
      </c>
      <c r="G3689" s="23"/>
      <c r="H3689" s="23"/>
      <c r="I3689" s="23"/>
      <c r="J3689" s="23"/>
      <c r="K3689" s="23"/>
      <c r="L3689" s="350"/>
      <c r="M3689" s="351"/>
      <c r="N3689" s="267">
        <f t="shared" si="867"/>
        <v>0</v>
      </c>
      <c r="O3689" s="268">
        <f t="shared" si="868"/>
        <v>0</v>
      </c>
      <c r="P3689" s="239"/>
      <c r="Q3689" s="239"/>
      <c r="R3689" s="239"/>
      <c r="S3689" s="239"/>
      <c r="T3689" s="239"/>
      <c r="U3689" s="240"/>
      <c r="V3689" s="240"/>
      <c r="W3689" s="240"/>
      <c r="X3689" s="278"/>
      <c r="Y3689" s="237"/>
      <c r="Z3689" s="237"/>
      <c r="AA3689" s="279"/>
      <c r="AB3689" s="238"/>
      <c r="AC3689" s="196">
        <f t="shared" si="862"/>
        <v>0</v>
      </c>
      <c r="AD3689" s="196">
        <f t="shared" si="863"/>
        <v>0</v>
      </c>
      <c r="AE3689" s="196">
        <f t="shared" si="864"/>
        <v>0</v>
      </c>
      <c r="AF3689" s="2">
        <f t="shared" si="865"/>
        <v>0</v>
      </c>
      <c r="AG3689" s="2">
        <f t="shared" si="866"/>
        <v>0</v>
      </c>
    </row>
    <row r="3690" spans="1:33">
      <c r="A3690" s="20" t="s">
        <v>2005</v>
      </c>
      <c r="B3690" s="152" t="s">
        <v>5894</v>
      </c>
      <c r="C3690" s="21" t="s">
        <v>16856</v>
      </c>
      <c r="D3690" s="109" t="s">
        <v>16795</v>
      </c>
      <c r="E3690" s="109"/>
      <c r="F3690" s="391" t="s">
        <v>16855</v>
      </c>
      <c r="G3690" s="23" t="s">
        <v>16141</v>
      </c>
      <c r="H3690" s="23"/>
      <c r="I3690" s="23"/>
      <c r="J3690" s="23"/>
      <c r="K3690" s="23"/>
      <c r="L3690" s="375" t="s">
        <v>7787</v>
      </c>
      <c r="M3690" s="351" t="s">
        <v>7787</v>
      </c>
      <c r="N3690" s="267">
        <f t="shared" si="867"/>
        <v>0</v>
      </c>
      <c r="O3690" s="268">
        <f t="shared" si="868"/>
        <v>0</v>
      </c>
      <c r="P3690" s="241"/>
      <c r="Q3690" s="241"/>
      <c r="R3690" s="241"/>
      <c r="S3690" s="241"/>
      <c r="T3690" s="241"/>
      <c r="U3690" s="240"/>
      <c r="V3690" s="240"/>
      <c r="W3690" s="240"/>
      <c r="X3690" s="278"/>
      <c r="Y3690" s="237"/>
      <c r="Z3690" s="237"/>
      <c r="AA3690" s="241"/>
      <c r="AB3690" s="238"/>
      <c r="AC3690" s="196">
        <f t="shared" si="862"/>
        <v>0</v>
      </c>
      <c r="AD3690" s="196">
        <f t="shared" si="863"/>
        <v>0</v>
      </c>
      <c r="AE3690" s="196">
        <f t="shared" si="864"/>
        <v>0</v>
      </c>
      <c r="AF3690" s="2">
        <f t="shared" si="865"/>
        <v>0</v>
      </c>
      <c r="AG3690" s="2">
        <f t="shared" si="866"/>
        <v>0</v>
      </c>
    </row>
    <row r="3691" spans="1:33">
      <c r="A3691" s="20" t="s">
        <v>20191</v>
      </c>
      <c r="B3691" s="152"/>
      <c r="C3691" s="21" t="s">
        <v>20175</v>
      </c>
      <c r="D3691" s="109" t="s">
        <v>20176</v>
      </c>
      <c r="E3691" s="109"/>
      <c r="F3691" s="391" t="s">
        <v>20183</v>
      </c>
      <c r="G3691" s="23" t="s">
        <v>18870</v>
      </c>
      <c r="H3691" s="23"/>
      <c r="I3691" s="23"/>
      <c r="J3691" s="23"/>
      <c r="K3691" s="23"/>
      <c r="L3691" s="375" t="s">
        <v>7787</v>
      </c>
      <c r="M3691" s="351"/>
      <c r="N3691" s="267">
        <f t="shared" si="867"/>
        <v>0</v>
      </c>
      <c r="O3691" s="268">
        <f t="shared" si="868"/>
        <v>0</v>
      </c>
      <c r="P3691" s="241"/>
      <c r="Q3691" s="241"/>
      <c r="R3691" s="241"/>
      <c r="S3691" s="241"/>
      <c r="T3691" s="241"/>
      <c r="U3691" s="240"/>
      <c r="V3691" s="240"/>
      <c r="W3691" s="240"/>
      <c r="X3691" s="278"/>
      <c r="Y3691" s="237"/>
      <c r="Z3691" s="237"/>
      <c r="AA3691" s="420"/>
      <c r="AB3691" s="238"/>
      <c r="AC3691" s="196">
        <f t="shared" si="862"/>
        <v>0</v>
      </c>
      <c r="AD3691" s="196">
        <f t="shared" si="863"/>
        <v>0</v>
      </c>
      <c r="AE3691" s="196">
        <f t="shared" si="864"/>
        <v>0</v>
      </c>
      <c r="AF3691" s="2">
        <f t="shared" si="865"/>
        <v>0</v>
      </c>
      <c r="AG3691" s="2">
        <f t="shared" si="866"/>
        <v>0</v>
      </c>
    </row>
    <row r="3692" spans="1:33">
      <c r="A3692" s="20" t="s">
        <v>20192</v>
      </c>
      <c r="B3692" s="152"/>
      <c r="C3692" s="421" t="s">
        <v>20116</v>
      </c>
      <c r="D3692" s="109" t="s">
        <v>3137</v>
      </c>
      <c r="E3692" s="109"/>
      <c r="F3692" s="391" t="s">
        <v>20118</v>
      </c>
      <c r="G3692" s="23" t="s">
        <v>14533</v>
      </c>
      <c r="H3692" s="23" t="s">
        <v>15190</v>
      </c>
      <c r="I3692" s="23" t="s">
        <v>13888</v>
      </c>
      <c r="J3692" s="23"/>
      <c r="K3692" s="23"/>
      <c r="L3692" s="375" t="s">
        <v>27736</v>
      </c>
      <c r="M3692" s="351"/>
      <c r="N3692" s="267">
        <f t="shared" si="867"/>
        <v>0</v>
      </c>
      <c r="O3692" s="268">
        <f t="shared" si="868"/>
        <v>50</v>
      </c>
      <c r="P3692" s="241"/>
      <c r="Q3692" s="241"/>
      <c r="R3692" s="240"/>
      <c r="S3692" s="240">
        <f>100-50</f>
        <v>50</v>
      </c>
      <c r="T3692" s="241"/>
      <c r="U3692" s="240"/>
      <c r="V3692" s="240"/>
      <c r="W3692" s="240"/>
      <c r="X3692" s="278"/>
      <c r="Y3692" s="237"/>
      <c r="Z3692" s="237"/>
      <c r="AA3692" s="420"/>
      <c r="AB3692" s="238" t="s">
        <v>27730</v>
      </c>
      <c r="AC3692" s="196">
        <f t="shared" si="862"/>
        <v>50</v>
      </c>
      <c r="AD3692" s="196">
        <f t="shared" si="863"/>
        <v>50</v>
      </c>
      <c r="AE3692" s="196">
        <f t="shared" si="864"/>
        <v>0</v>
      </c>
      <c r="AF3692" s="2">
        <f t="shared" si="865"/>
        <v>50</v>
      </c>
      <c r="AG3692" s="2">
        <f t="shared" si="866"/>
        <v>0</v>
      </c>
    </row>
    <row r="3693" spans="1:33">
      <c r="A3693" s="20" t="s">
        <v>20193</v>
      </c>
      <c r="B3693" s="152"/>
      <c r="C3693" s="21" t="s">
        <v>20182</v>
      </c>
      <c r="D3693" s="109" t="s">
        <v>7761</v>
      </c>
      <c r="E3693" s="109"/>
      <c r="F3693" s="391" t="s">
        <v>20185</v>
      </c>
      <c r="G3693" s="23" t="s">
        <v>18870</v>
      </c>
      <c r="H3693" s="23"/>
      <c r="I3693" s="23"/>
      <c r="J3693" s="23"/>
      <c r="K3693" s="23"/>
      <c r="L3693" s="375"/>
      <c r="M3693" s="351"/>
      <c r="N3693" s="267">
        <f t="shared" si="867"/>
        <v>0</v>
      </c>
      <c r="O3693" s="268">
        <f t="shared" si="868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si="862"/>
        <v>0</v>
      </c>
      <c r="AD3693" s="196">
        <f t="shared" si="863"/>
        <v>0</v>
      </c>
      <c r="AE3693" s="196">
        <f t="shared" si="864"/>
        <v>0</v>
      </c>
      <c r="AF3693" s="2">
        <f t="shared" si="865"/>
        <v>0</v>
      </c>
      <c r="AG3693" s="2">
        <f t="shared" si="866"/>
        <v>0</v>
      </c>
    </row>
    <row r="3694" spans="1:33">
      <c r="A3694" s="20" t="s">
        <v>20476</v>
      </c>
      <c r="B3694" s="152"/>
      <c r="C3694" s="21" t="s">
        <v>20266</v>
      </c>
      <c r="D3694" s="109" t="s">
        <v>7761</v>
      </c>
      <c r="E3694" s="109"/>
      <c r="F3694" s="391" t="s">
        <v>20275</v>
      </c>
      <c r="G3694" s="23" t="s">
        <v>18870</v>
      </c>
      <c r="H3694" s="23"/>
      <c r="I3694" s="23"/>
      <c r="J3694" s="23"/>
      <c r="K3694" s="23"/>
      <c r="L3694" s="375" t="s">
        <v>7787</v>
      </c>
      <c r="M3694" s="351" t="s">
        <v>7787</v>
      </c>
      <c r="N3694" s="267">
        <f t="shared" si="867"/>
        <v>0</v>
      </c>
      <c r="O3694" s="268">
        <f t="shared" si="868"/>
        <v>0</v>
      </c>
      <c r="P3694" s="241"/>
      <c r="Q3694" s="241"/>
      <c r="R3694" s="241"/>
      <c r="S3694" s="241"/>
      <c r="T3694" s="241"/>
      <c r="U3694" s="240"/>
      <c r="V3694" s="240"/>
      <c r="W3694" s="240"/>
      <c r="X3694" s="278"/>
      <c r="Y3694" s="237"/>
      <c r="Z3694" s="237"/>
      <c r="AA3694" s="420"/>
      <c r="AB3694" s="238"/>
      <c r="AC3694" s="196">
        <f t="shared" si="862"/>
        <v>0</v>
      </c>
      <c r="AD3694" s="196">
        <f t="shared" si="863"/>
        <v>0</v>
      </c>
      <c r="AE3694" s="196">
        <f t="shared" si="864"/>
        <v>0</v>
      </c>
      <c r="AF3694" s="2">
        <f t="shared" si="865"/>
        <v>0</v>
      </c>
      <c r="AG3694" s="2">
        <f t="shared" si="866"/>
        <v>0</v>
      </c>
    </row>
    <row r="3695" spans="1:33">
      <c r="A3695" s="20" t="s">
        <v>20194</v>
      </c>
      <c r="B3695" s="152"/>
      <c r="C3695" s="21" t="s">
        <v>20180</v>
      </c>
      <c r="D3695" s="109" t="s">
        <v>3137</v>
      </c>
      <c r="E3695" s="109"/>
      <c r="F3695" s="391" t="s">
        <v>20186</v>
      </c>
      <c r="G3695" s="23" t="s">
        <v>6133</v>
      </c>
      <c r="H3695" s="23"/>
      <c r="I3695" s="23"/>
      <c r="J3695" s="23"/>
      <c r="K3695" s="23"/>
      <c r="L3695" s="375" t="s">
        <v>7787</v>
      </c>
      <c r="M3695" s="351"/>
      <c r="N3695" s="267">
        <f t="shared" si="867"/>
        <v>0</v>
      </c>
      <c r="O3695" s="268">
        <f t="shared" si="868"/>
        <v>0</v>
      </c>
      <c r="P3695" s="241"/>
      <c r="Q3695" s="241"/>
      <c r="R3695" s="241"/>
      <c r="S3695" s="241"/>
      <c r="T3695" s="241"/>
      <c r="U3695" s="240"/>
      <c r="V3695" s="240"/>
      <c r="W3695" s="240"/>
      <c r="X3695" s="278"/>
      <c r="Y3695" s="237"/>
      <c r="Z3695" s="237"/>
      <c r="AA3695" s="420"/>
      <c r="AB3695" s="238"/>
      <c r="AC3695" s="196">
        <f t="shared" ref="AC3695:AC3760" si="869">SUM(P3695:AA3695)</f>
        <v>0</v>
      </c>
      <c r="AD3695" s="196">
        <f t="shared" ref="AD3695:AD3760" si="870">SUM(P3695:AB3695)</f>
        <v>0</v>
      </c>
      <c r="AE3695" s="196">
        <f t="shared" ref="AE3695:AE3760" si="871">SUM(AC3695-AD3695)</f>
        <v>0</v>
      </c>
      <c r="AF3695" s="2">
        <f t="shared" ref="AF3695:AF3760" si="872">+AC3695</f>
        <v>0</v>
      </c>
      <c r="AG3695" s="2">
        <f t="shared" ref="AG3695:AG3760" si="873">+AC3695-AF3695</f>
        <v>0</v>
      </c>
    </row>
    <row r="3696" spans="1:33">
      <c r="A3696" s="20" t="s">
        <v>20477</v>
      </c>
      <c r="B3696" s="152"/>
      <c r="C3696" s="21" t="s">
        <v>20289</v>
      </c>
      <c r="D3696" s="109" t="s">
        <v>3137</v>
      </c>
      <c r="E3696" s="109" t="s">
        <v>3128</v>
      </c>
      <c r="F3696" s="391" t="s">
        <v>20314</v>
      </c>
      <c r="G3696" s="23" t="s">
        <v>20333</v>
      </c>
      <c r="H3696" s="23" t="s">
        <v>13301</v>
      </c>
      <c r="I3696" s="23" t="s">
        <v>25702</v>
      </c>
      <c r="J3696" s="23"/>
      <c r="K3696" s="23"/>
      <c r="L3696" s="375"/>
      <c r="M3696" s="351" t="s">
        <v>45</v>
      </c>
      <c r="N3696" s="267">
        <f t="shared" si="867"/>
        <v>0</v>
      </c>
      <c r="O3696" s="268">
        <f t="shared" si="868"/>
        <v>1400</v>
      </c>
      <c r="P3696" s="241"/>
      <c r="Q3696" s="241"/>
      <c r="R3696" s="240"/>
      <c r="S3696" s="240"/>
      <c r="T3696" s="241"/>
      <c r="U3696" s="240">
        <f>2050-650</f>
        <v>1400</v>
      </c>
      <c r="V3696" s="240"/>
      <c r="W3696" s="240"/>
      <c r="X3696" s="278"/>
      <c r="Y3696" s="240"/>
      <c r="Z3696" s="237"/>
      <c r="AA3696" s="420"/>
      <c r="AB3696" s="238" t="s">
        <v>27692</v>
      </c>
      <c r="AC3696" s="196">
        <f t="shared" si="869"/>
        <v>1400</v>
      </c>
      <c r="AD3696" s="196">
        <f t="shared" si="870"/>
        <v>1400</v>
      </c>
      <c r="AE3696" s="196">
        <f t="shared" si="871"/>
        <v>0</v>
      </c>
      <c r="AF3696" s="2">
        <f t="shared" si="872"/>
        <v>1400</v>
      </c>
      <c r="AG3696" s="2">
        <f t="shared" si="873"/>
        <v>0</v>
      </c>
    </row>
    <row r="3697" spans="1:33">
      <c r="A3697" s="20" t="s">
        <v>27086</v>
      </c>
      <c r="B3697" s="152"/>
      <c r="C3697" s="21" t="s">
        <v>25642</v>
      </c>
      <c r="D3697" s="109" t="s">
        <v>4070</v>
      </c>
      <c r="E3697" s="109" t="s">
        <v>25644</v>
      </c>
      <c r="F3697" s="391" t="s">
        <v>25643</v>
      </c>
      <c r="G3697" s="23" t="s">
        <v>25645</v>
      </c>
      <c r="H3697" s="23"/>
      <c r="I3697" s="23"/>
      <c r="J3697" s="23"/>
      <c r="K3697" s="23"/>
      <c r="L3697" s="375" t="s">
        <v>45</v>
      </c>
      <c r="M3697" s="351" t="s">
        <v>45</v>
      </c>
      <c r="N3697" s="267">
        <f t="shared" ref="N3697" si="874">SUM(L3697:M3697)</f>
        <v>0</v>
      </c>
      <c r="O3697" s="268">
        <f t="shared" ref="O3697" si="875">SUM(P3697:Z3697)</f>
        <v>0</v>
      </c>
      <c r="P3697" s="241"/>
      <c r="Q3697" s="241"/>
      <c r="R3697" s="244"/>
      <c r="S3697" s="244"/>
      <c r="T3697" s="241"/>
      <c r="U3697" s="240"/>
      <c r="V3697" s="240"/>
      <c r="W3697" s="240"/>
      <c r="X3697" s="278"/>
      <c r="Y3697" s="240"/>
      <c r="Z3697" s="237"/>
      <c r="AA3697" s="420"/>
      <c r="AB3697" s="238"/>
      <c r="AC3697" s="196">
        <f t="shared" si="869"/>
        <v>0</v>
      </c>
      <c r="AD3697" s="196">
        <f t="shared" si="870"/>
        <v>0</v>
      </c>
      <c r="AE3697" s="196">
        <f t="shared" si="871"/>
        <v>0</v>
      </c>
      <c r="AF3697" s="2">
        <f t="shared" si="872"/>
        <v>0</v>
      </c>
      <c r="AG3697" s="2">
        <f t="shared" si="873"/>
        <v>0</v>
      </c>
    </row>
    <row r="3698" spans="1:33">
      <c r="A3698" s="20" t="s">
        <v>23008</v>
      </c>
      <c r="B3698" s="152"/>
      <c r="C3698" s="21" t="s">
        <v>20289</v>
      </c>
      <c r="D3698" s="109" t="s">
        <v>3133</v>
      </c>
      <c r="E3698" s="109" t="s">
        <v>3115</v>
      </c>
      <c r="F3698" s="391" t="s">
        <v>20314</v>
      </c>
      <c r="G3698" s="23" t="s">
        <v>23063</v>
      </c>
      <c r="H3698" s="23"/>
      <c r="I3698" s="23"/>
      <c r="J3698" s="23"/>
      <c r="K3698" s="23"/>
      <c r="L3698" s="375"/>
      <c r="M3698" s="351"/>
      <c r="N3698" s="267">
        <f t="shared" si="867"/>
        <v>0</v>
      </c>
      <c r="O3698" s="268">
        <f t="shared" si="868"/>
        <v>0</v>
      </c>
      <c r="P3698" s="241"/>
      <c r="Q3698" s="241"/>
      <c r="R3698" s="244"/>
      <c r="S3698" s="241"/>
      <c r="T3698" s="241"/>
      <c r="U3698" s="240"/>
      <c r="V3698" s="240"/>
      <c r="W3698" s="240"/>
      <c r="X3698" s="278"/>
      <c r="Y3698" s="237"/>
      <c r="Z3698" s="237"/>
      <c r="AA3698" s="420"/>
      <c r="AB3698" s="238"/>
      <c r="AC3698" s="196">
        <f t="shared" si="869"/>
        <v>0</v>
      </c>
      <c r="AD3698" s="196">
        <f t="shared" si="870"/>
        <v>0</v>
      </c>
      <c r="AE3698" s="196">
        <f t="shared" si="871"/>
        <v>0</v>
      </c>
      <c r="AF3698" s="2">
        <f t="shared" si="872"/>
        <v>0</v>
      </c>
      <c r="AG3698" s="2">
        <f t="shared" si="873"/>
        <v>0</v>
      </c>
    </row>
    <row r="3699" spans="1:33">
      <c r="A3699" s="20" t="s">
        <v>23009</v>
      </c>
      <c r="B3699" s="152"/>
      <c r="C3699" s="21" t="s">
        <v>20289</v>
      </c>
      <c r="D3699" s="109" t="s">
        <v>3133</v>
      </c>
      <c r="E3699" s="109" t="s">
        <v>3117</v>
      </c>
      <c r="F3699" s="391" t="s">
        <v>20314</v>
      </c>
      <c r="G3699" s="23" t="s">
        <v>23063</v>
      </c>
      <c r="H3699" s="23"/>
      <c r="I3699" s="23"/>
      <c r="J3699" s="23"/>
      <c r="K3699" s="23"/>
      <c r="L3699" s="375"/>
      <c r="M3699" s="351" t="s">
        <v>7787</v>
      </c>
      <c r="N3699" s="267">
        <f t="shared" si="867"/>
        <v>0</v>
      </c>
      <c r="O3699" s="268">
        <f t="shared" si="868"/>
        <v>0</v>
      </c>
      <c r="P3699" s="241"/>
      <c r="Q3699" s="241"/>
      <c r="R3699" s="244"/>
      <c r="S3699" s="241"/>
      <c r="T3699" s="241"/>
      <c r="U3699" s="240"/>
      <c r="V3699" s="240"/>
      <c r="W3699" s="240"/>
      <c r="X3699" s="278"/>
      <c r="Y3699" s="237"/>
      <c r="Z3699" s="237"/>
      <c r="AA3699" s="420"/>
      <c r="AB3699" s="238"/>
      <c r="AC3699" s="196">
        <f t="shared" si="869"/>
        <v>0</v>
      </c>
      <c r="AD3699" s="196">
        <f t="shared" si="870"/>
        <v>0</v>
      </c>
      <c r="AE3699" s="196">
        <f t="shared" si="871"/>
        <v>0</v>
      </c>
      <c r="AF3699" s="2">
        <f t="shared" si="872"/>
        <v>0</v>
      </c>
      <c r="AG3699" s="2">
        <f t="shared" si="873"/>
        <v>0</v>
      </c>
    </row>
    <row r="3700" spans="1:33">
      <c r="A3700" s="20" t="s">
        <v>20478</v>
      </c>
      <c r="B3700" s="152"/>
      <c r="C3700" s="21" t="s">
        <v>20405</v>
      </c>
      <c r="D3700" s="109" t="s">
        <v>3137</v>
      </c>
      <c r="E3700" s="109"/>
      <c r="F3700" s="391" t="s">
        <v>17610</v>
      </c>
      <c r="G3700" s="23" t="s">
        <v>14533</v>
      </c>
      <c r="H3700" s="23" t="s">
        <v>14782</v>
      </c>
      <c r="I3700" s="23" t="s">
        <v>6133</v>
      </c>
      <c r="J3700" s="23" t="s">
        <v>26188</v>
      </c>
      <c r="K3700" s="23"/>
      <c r="L3700" s="375" t="s">
        <v>27883</v>
      </c>
      <c r="M3700" s="351" t="s">
        <v>45</v>
      </c>
      <c r="N3700" s="267">
        <f t="shared" si="867"/>
        <v>0</v>
      </c>
      <c r="O3700" s="268">
        <f t="shared" si="868"/>
        <v>2350</v>
      </c>
      <c r="P3700" s="241"/>
      <c r="Q3700" s="241">
        <f>700-100+4250-1000-750-750</f>
        <v>2350</v>
      </c>
      <c r="R3700" s="241"/>
      <c r="S3700" s="241"/>
      <c r="T3700" s="241"/>
      <c r="U3700" s="240"/>
      <c r="V3700" s="240"/>
      <c r="W3700" s="240"/>
      <c r="X3700" s="278"/>
      <c r="Y3700" s="241"/>
      <c r="Z3700" s="237"/>
      <c r="AA3700" s="420"/>
      <c r="AB3700" s="238" t="s">
        <v>27878</v>
      </c>
      <c r="AC3700" s="196">
        <f t="shared" si="869"/>
        <v>2350</v>
      </c>
      <c r="AD3700" s="196">
        <f t="shared" si="870"/>
        <v>2350</v>
      </c>
      <c r="AE3700" s="196">
        <f t="shared" si="871"/>
        <v>0</v>
      </c>
      <c r="AF3700" s="2">
        <f t="shared" si="872"/>
        <v>2350</v>
      </c>
      <c r="AG3700" s="2">
        <f t="shared" si="873"/>
        <v>0</v>
      </c>
    </row>
    <row r="3701" spans="1:33">
      <c r="A3701" s="20" t="s">
        <v>21482</v>
      </c>
      <c r="B3701" s="152"/>
      <c r="C3701" s="21" t="s">
        <v>20559</v>
      </c>
      <c r="D3701" s="109" t="s">
        <v>7761</v>
      </c>
      <c r="E3701" s="109"/>
      <c r="F3701" s="391" t="s">
        <v>19416</v>
      </c>
      <c r="G3701" s="23" t="s">
        <v>20560</v>
      </c>
      <c r="H3701" s="23"/>
      <c r="I3701" s="23"/>
      <c r="J3701" s="23"/>
      <c r="K3701" s="23"/>
      <c r="L3701" s="375" t="s">
        <v>7787</v>
      </c>
      <c r="M3701" s="351" t="s">
        <v>7787</v>
      </c>
      <c r="N3701" s="267">
        <f t="shared" si="867"/>
        <v>0</v>
      </c>
      <c r="O3701" s="268">
        <f t="shared" si="868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9"/>
        <v>0</v>
      </c>
      <c r="AD3701" s="196">
        <f t="shared" si="870"/>
        <v>0</v>
      </c>
      <c r="AE3701" s="196">
        <f t="shared" si="871"/>
        <v>0</v>
      </c>
      <c r="AF3701" s="2">
        <f t="shared" si="872"/>
        <v>0</v>
      </c>
      <c r="AG3701" s="2">
        <f t="shared" si="873"/>
        <v>0</v>
      </c>
    </row>
    <row r="3702" spans="1:33">
      <c r="A3702" s="20" t="s">
        <v>20479</v>
      </c>
      <c r="B3702" s="152"/>
      <c r="C3702" s="21" t="s">
        <v>20272</v>
      </c>
      <c r="D3702" s="109" t="s">
        <v>3137</v>
      </c>
      <c r="E3702" s="109"/>
      <c r="F3702" s="391" t="s">
        <v>20315</v>
      </c>
      <c r="G3702" s="23" t="s">
        <v>6133</v>
      </c>
      <c r="H3702" s="23"/>
      <c r="I3702" s="23"/>
      <c r="J3702" s="23"/>
      <c r="K3702" s="23"/>
      <c r="L3702" s="375" t="s">
        <v>7787</v>
      </c>
      <c r="M3702" s="351"/>
      <c r="N3702" s="267">
        <f t="shared" si="867"/>
        <v>0</v>
      </c>
      <c r="O3702" s="268">
        <f t="shared" si="868"/>
        <v>0</v>
      </c>
      <c r="P3702" s="241"/>
      <c r="Q3702" s="241"/>
      <c r="R3702" s="241"/>
      <c r="S3702" s="241"/>
      <c r="T3702" s="241"/>
      <c r="U3702" s="240"/>
      <c r="V3702" s="240"/>
      <c r="W3702" s="240"/>
      <c r="X3702" s="278"/>
      <c r="Y3702" s="237"/>
      <c r="Z3702" s="237"/>
      <c r="AA3702" s="420"/>
      <c r="AB3702" s="238"/>
      <c r="AC3702" s="196">
        <f t="shared" si="869"/>
        <v>0</v>
      </c>
      <c r="AD3702" s="196">
        <f t="shared" si="870"/>
        <v>0</v>
      </c>
      <c r="AE3702" s="196">
        <f t="shared" si="871"/>
        <v>0</v>
      </c>
      <c r="AF3702" s="2">
        <f t="shared" si="872"/>
        <v>0</v>
      </c>
      <c r="AG3702" s="2">
        <f t="shared" si="873"/>
        <v>0</v>
      </c>
    </row>
    <row r="3703" spans="1:33">
      <c r="A3703" s="20" t="s">
        <v>21483</v>
      </c>
      <c r="B3703" s="152"/>
      <c r="C3703" s="21" t="s">
        <v>20780</v>
      </c>
      <c r="D3703" s="109" t="s">
        <v>20781</v>
      </c>
      <c r="E3703" s="109" t="s">
        <v>19998</v>
      </c>
      <c r="F3703" s="391" t="s">
        <v>20797</v>
      </c>
      <c r="G3703" s="23" t="s">
        <v>13610</v>
      </c>
      <c r="H3703" s="23"/>
      <c r="I3703" s="23"/>
      <c r="J3703" s="23"/>
      <c r="K3703" s="23"/>
      <c r="L3703" s="375"/>
      <c r="M3703" s="351"/>
      <c r="N3703" s="267">
        <f t="shared" si="867"/>
        <v>0</v>
      </c>
      <c r="O3703" s="268">
        <f t="shared" si="868"/>
        <v>0</v>
      </c>
      <c r="P3703" s="241"/>
      <c r="Q3703" s="241"/>
      <c r="R3703" s="241"/>
      <c r="S3703" s="241"/>
      <c r="T3703" s="241"/>
      <c r="U3703" s="240"/>
      <c r="V3703" s="240"/>
      <c r="W3703" s="240"/>
      <c r="X3703" s="278"/>
      <c r="Y3703" s="237"/>
      <c r="Z3703" s="237"/>
      <c r="AA3703" s="420"/>
      <c r="AB3703" s="238"/>
      <c r="AC3703" s="196">
        <f t="shared" si="869"/>
        <v>0</v>
      </c>
      <c r="AD3703" s="196">
        <f t="shared" si="870"/>
        <v>0</v>
      </c>
      <c r="AE3703" s="196">
        <f t="shared" si="871"/>
        <v>0</v>
      </c>
      <c r="AF3703" s="2">
        <f t="shared" si="872"/>
        <v>0</v>
      </c>
      <c r="AG3703" s="2">
        <f t="shared" si="873"/>
        <v>0</v>
      </c>
    </row>
    <row r="3704" spans="1:33">
      <c r="A3704" s="20" t="s">
        <v>21926</v>
      </c>
      <c r="B3704" s="152"/>
      <c r="C3704" s="21" t="s">
        <v>22021</v>
      </c>
      <c r="D3704" s="109" t="s">
        <v>3958</v>
      </c>
      <c r="E3704" s="109" t="s">
        <v>19998</v>
      </c>
      <c r="F3704" s="391" t="s">
        <v>20797</v>
      </c>
      <c r="G3704" s="23" t="s">
        <v>13610</v>
      </c>
      <c r="H3704" s="23" t="s">
        <v>23014</v>
      </c>
      <c r="I3704" s="23"/>
      <c r="J3704" s="23"/>
      <c r="K3704" s="23"/>
      <c r="L3704" s="375"/>
      <c r="M3704" s="351" t="s">
        <v>7787</v>
      </c>
      <c r="N3704" s="267">
        <f t="shared" si="867"/>
        <v>0</v>
      </c>
      <c r="O3704" s="268">
        <f t="shared" si="868"/>
        <v>400</v>
      </c>
      <c r="P3704" s="241"/>
      <c r="Q3704" s="241"/>
      <c r="R3704" s="241"/>
      <c r="S3704" s="241"/>
      <c r="T3704" s="241"/>
      <c r="U3704" s="240">
        <f>1500-1100</f>
        <v>400</v>
      </c>
      <c r="V3704" s="240"/>
      <c r="W3704" s="240"/>
      <c r="X3704" s="278"/>
      <c r="Y3704" s="237"/>
      <c r="Z3704" s="237"/>
      <c r="AA3704" s="420"/>
      <c r="AB3704" s="238" t="s">
        <v>25670</v>
      </c>
      <c r="AC3704" s="196">
        <f t="shared" si="869"/>
        <v>400</v>
      </c>
      <c r="AD3704" s="196">
        <f t="shared" si="870"/>
        <v>400</v>
      </c>
      <c r="AE3704" s="196">
        <f t="shared" si="871"/>
        <v>0</v>
      </c>
      <c r="AF3704" s="2">
        <f t="shared" si="872"/>
        <v>400</v>
      </c>
      <c r="AG3704" s="2">
        <f t="shared" si="873"/>
        <v>0</v>
      </c>
    </row>
    <row r="3705" spans="1:33">
      <c r="A3705" s="20" t="s">
        <v>20480</v>
      </c>
      <c r="B3705" s="152"/>
      <c r="C3705" s="21" t="s">
        <v>20339</v>
      </c>
      <c r="D3705" s="109" t="s">
        <v>3137</v>
      </c>
      <c r="E3705" s="109"/>
      <c r="F3705" s="391" t="s">
        <v>20350</v>
      </c>
      <c r="G3705" s="23" t="s">
        <v>20340</v>
      </c>
      <c r="H3705" s="23" t="s">
        <v>6133</v>
      </c>
      <c r="I3705" s="23"/>
      <c r="J3705" s="23"/>
      <c r="K3705" s="23"/>
      <c r="L3705" s="375"/>
      <c r="M3705" s="351"/>
      <c r="N3705" s="267">
        <f t="shared" si="867"/>
        <v>0</v>
      </c>
      <c r="O3705" s="268">
        <f t="shared" si="868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9"/>
        <v>0</v>
      </c>
      <c r="AD3705" s="196">
        <f t="shared" si="870"/>
        <v>0</v>
      </c>
      <c r="AE3705" s="196">
        <f t="shared" si="871"/>
        <v>0</v>
      </c>
      <c r="AF3705" s="2">
        <f t="shared" si="872"/>
        <v>0</v>
      </c>
      <c r="AG3705" s="2">
        <f t="shared" si="873"/>
        <v>0</v>
      </c>
    </row>
    <row r="3706" spans="1:33">
      <c r="A3706" s="20" t="s">
        <v>20481</v>
      </c>
      <c r="B3706" s="152"/>
      <c r="C3706" s="21" t="s">
        <v>20389</v>
      </c>
      <c r="D3706" s="109" t="s">
        <v>3137</v>
      </c>
      <c r="E3706" s="109"/>
      <c r="F3706" s="391" t="s">
        <v>20274</v>
      </c>
      <c r="G3706" s="23"/>
      <c r="H3706" s="23"/>
      <c r="I3706" s="23"/>
      <c r="J3706" s="23"/>
      <c r="K3706" s="23"/>
      <c r="L3706" s="375"/>
      <c r="M3706" s="351" t="s">
        <v>7787</v>
      </c>
      <c r="N3706" s="267">
        <f t="shared" si="867"/>
        <v>0</v>
      </c>
      <c r="O3706" s="268">
        <f t="shared" si="868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9"/>
        <v>0</v>
      </c>
      <c r="AD3706" s="196">
        <f t="shared" si="870"/>
        <v>0</v>
      </c>
      <c r="AE3706" s="196">
        <f t="shared" si="871"/>
        <v>0</v>
      </c>
      <c r="AF3706" s="2">
        <f t="shared" si="872"/>
        <v>0</v>
      </c>
      <c r="AG3706" s="2">
        <f t="shared" si="873"/>
        <v>0</v>
      </c>
    </row>
    <row r="3707" spans="1:33">
      <c r="A3707" s="20" t="s">
        <v>20482</v>
      </c>
      <c r="B3707" s="152"/>
      <c r="C3707" s="21" t="s">
        <v>20402</v>
      </c>
      <c r="D3707" s="109" t="s">
        <v>3101</v>
      </c>
      <c r="E3707" s="109" t="s">
        <v>20403</v>
      </c>
      <c r="F3707" s="391" t="s">
        <v>20411</v>
      </c>
      <c r="G3707" s="23" t="s">
        <v>20404</v>
      </c>
      <c r="H3707" s="23"/>
      <c r="I3707" s="23"/>
      <c r="J3707" s="23"/>
      <c r="K3707" s="23"/>
      <c r="L3707" s="375" t="s">
        <v>7787</v>
      </c>
      <c r="M3707" s="351"/>
      <c r="N3707" s="267">
        <f t="shared" si="867"/>
        <v>0</v>
      </c>
      <c r="O3707" s="268">
        <f t="shared" si="868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9"/>
        <v>0</v>
      </c>
      <c r="AD3707" s="196">
        <f t="shared" si="870"/>
        <v>0</v>
      </c>
      <c r="AE3707" s="196">
        <f t="shared" si="871"/>
        <v>0</v>
      </c>
      <c r="AF3707" s="2">
        <f t="shared" si="872"/>
        <v>0</v>
      </c>
      <c r="AG3707" s="2">
        <f t="shared" si="873"/>
        <v>0</v>
      </c>
    </row>
    <row r="3708" spans="1:33">
      <c r="A3708" s="20" t="s">
        <v>21484</v>
      </c>
      <c r="B3708" s="152"/>
      <c r="C3708" s="21" t="s">
        <v>20402</v>
      </c>
      <c r="D3708" s="109" t="s">
        <v>20710</v>
      </c>
      <c r="E3708" s="109" t="s">
        <v>20711</v>
      </c>
      <c r="F3708" s="391" t="s">
        <v>20411</v>
      </c>
      <c r="G3708" s="23" t="s">
        <v>13581</v>
      </c>
      <c r="H3708" s="23"/>
      <c r="I3708" s="23"/>
      <c r="J3708" s="23"/>
      <c r="K3708" s="23"/>
      <c r="L3708" s="375" t="s">
        <v>7787</v>
      </c>
      <c r="M3708" s="351" t="s">
        <v>7787</v>
      </c>
      <c r="N3708" s="267">
        <f t="shared" si="867"/>
        <v>0</v>
      </c>
      <c r="O3708" s="268">
        <f t="shared" si="868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9"/>
        <v>0</v>
      </c>
      <c r="AD3708" s="196">
        <f t="shared" si="870"/>
        <v>0</v>
      </c>
      <c r="AE3708" s="196">
        <f t="shared" si="871"/>
        <v>0</v>
      </c>
      <c r="AF3708" s="2">
        <f t="shared" si="872"/>
        <v>0</v>
      </c>
      <c r="AG3708" s="2">
        <f t="shared" si="873"/>
        <v>0</v>
      </c>
    </row>
    <row r="3709" spans="1:33">
      <c r="A3709" s="20" t="s">
        <v>20483</v>
      </c>
      <c r="B3709" s="152"/>
      <c r="C3709" s="21" t="s">
        <v>20415</v>
      </c>
      <c r="D3709" s="109" t="s">
        <v>3137</v>
      </c>
      <c r="E3709" s="109" t="s">
        <v>20416</v>
      </c>
      <c r="F3709" s="391" t="s">
        <v>20434</v>
      </c>
      <c r="G3709" s="23" t="s">
        <v>17522</v>
      </c>
      <c r="H3709" s="23" t="s">
        <v>13888</v>
      </c>
      <c r="I3709" s="23"/>
      <c r="J3709" s="23"/>
      <c r="K3709" s="23"/>
      <c r="L3709" s="375" t="s">
        <v>7787</v>
      </c>
      <c r="M3709" s="351" t="s">
        <v>7787</v>
      </c>
      <c r="N3709" s="267">
        <f t="shared" si="867"/>
        <v>0</v>
      </c>
      <c r="O3709" s="268">
        <f t="shared" si="868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9"/>
        <v>0</v>
      </c>
      <c r="AD3709" s="196">
        <f t="shared" si="870"/>
        <v>0</v>
      </c>
      <c r="AE3709" s="196">
        <f t="shared" si="871"/>
        <v>0</v>
      </c>
      <c r="AF3709" s="2">
        <f t="shared" si="872"/>
        <v>0</v>
      </c>
      <c r="AG3709" s="2">
        <f t="shared" si="873"/>
        <v>0</v>
      </c>
    </row>
    <row r="3710" spans="1:33">
      <c r="A3710" s="20" t="s">
        <v>21485</v>
      </c>
      <c r="B3710" s="152"/>
      <c r="C3710" s="21" t="s">
        <v>20557</v>
      </c>
      <c r="D3710" s="109" t="s">
        <v>20558</v>
      </c>
      <c r="E3710" s="109"/>
      <c r="F3710" s="391" t="s">
        <v>20568</v>
      </c>
      <c r="G3710" s="23" t="s">
        <v>20012</v>
      </c>
      <c r="H3710" s="23"/>
      <c r="I3710" s="23"/>
      <c r="J3710" s="23"/>
      <c r="K3710" s="23"/>
      <c r="L3710" s="375" t="s">
        <v>7787</v>
      </c>
      <c r="M3710" s="351" t="s">
        <v>7787</v>
      </c>
      <c r="N3710" s="267">
        <f t="shared" si="867"/>
        <v>0</v>
      </c>
      <c r="O3710" s="268">
        <f t="shared" si="868"/>
        <v>0</v>
      </c>
      <c r="P3710" s="241"/>
      <c r="Q3710" s="241"/>
      <c r="R3710" s="241"/>
      <c r="S3710" s="241"/>
      <c r="T3710" s="241"/>
      <c r="U3710" s="240"/>
      <c r="V3710" s="240"/>
      <c r="W3710" s="240"/>
      <c r="X3710" s="278"/>
      <c r="Y3710" s="237"/>
      <c r="Z3710" s="237"/>
      <c r="AA3710" s="420"/>
      <c r="AB3710" s="238"/>
      <c r="AC3710" s="196">
        <f t="shared" si="869"/>
        <v>0</v>
      </c>
      <c r="AD3710" s="196">
        <f t="shared" si="870"/>
        <v>0</v>
      </c>
      <c r="AE3710" s="196">
        <f t="shared" si="871"/>
        <v>0</v>
      </c>
      <c r="AF3710" s="2">
        <f t="shared" si="872"/>
        <v>0</v>
      </c>
      <c r="AG3710" s="2">
        <f t="shared" si="873"/>
        <v>0</v>
      </c>
    </row>
    <row r="3711" spans="1:33">
      <c r="A3711" s="20" t="s">
        <v>20484</v>
      </c>
      <c r="B3711" s="152"/>
      <c r="C3711" s="21" t="s">
        <v>20390</v>
      </c>
      <c r="D3711" s="109" t="s">
        <v>3137</v>
      </c>
      <c r="E3711" s="109"/>
      <c r="F3711" s="391" t="s">
        <v>20409</v>
      </c>
      <c r="G3711" s="23" t="s">
        <v>22982</v>
      </c>
      <c r="H3711" s="23"/>
      <c r="I3711" s="23"/>
      <c r="J3711" s="23"/>
      <c r="K3711" s="23"/>
      <c r="L3711" s="375" t="s">
        <v>7787</v>
      </c>
      <c r="M3711" s="351"/>
      <c r="N3711" s="267">
        <f t="shared" si="867"/>
        <v>0</v>
      </c>
      <c r="O3711" s="268">
        <f t="shared" si="868"/>
        <v>0</v>
      </c>
      <c r="P3711" s="241"/>
      <c r="Q3711" s="241"/>
      <c r="R3711" s="241"/>
      <c r="S3711" s="241"/>
      <c r="T3711" s="241"/>
      <c r="U3711" s="240"/>
      <c r="V3711" s="240"/>
      <c r="W3711" s="240"/>
      <c r="X3711" s="278"/>
      <c r="Y3711" s="237"/>
      <c r="Z3711" s="237"/>
      <c r="AA3711" s="420"/>
      <c r="AB3711" s="238"/>
      <c r="AC3711" s="196">
        <f t="shared" si="869"/>
        <v>0</v>
      </c>
      <c r="AD3711" s="196">
        <f t="shared" si="870"/>
        <v>0</v>
      </c>
      <c r="AE3711" s="196">
        <f t="shared" si="871"/>
        <v>0</v>
      </c>
      <c r="AF3711" s="2">
        <f t="shared" si="872"/>
        <v>0</v>
      </c>
      <c r="AG3711" s="2">
        <f t="shared" si="873"/>
        <v>0</v>
      </c>
    </row>
    <row r="3712" spans="1:33">
      <c r="A3712" s="20" t="s">
        <v>21486</v>
      </c>
      <c r="B3712" s="152"/>
      <c r="C3712" s="21" t="s">
        <v>20794</v>
      </c>
      <c r="D3712" s="109" t="s">
        <v>20795</v>
      </c>
      <c r="E3712" s="109" t="s">
        <v>19998</v>
      </c>
      <c r="F3712" s="391" t="s">
        <v>20798</v>
      </c>
      <c r="G3712" s="23" t="s">
        <v>13610</v>
      </c>
      <c r="H3712" s="23"/>
      <c r="I3712" s="23"/>
      <c r="J3712" s="23"/>
      <c r="K3712" s="23"/>
      <c r="L3712" s="375"/>
      <c r="M3712" s="351"/>
      <c r="N3712" s="267">
        <f t="shared" si="867"/>
        <v>0</v>
      </c>
      <c r="O3712" s="268">
        <f t="shared" si="868"/>
        <v>6800</v>
      </c>
      <c r="P3712" s="241"/>
      <c r="Q3712" s="241"/>
      <c r="R3712" s="241"/>
      <c r="S3712" s="241"/>
      <c r="T3712" s="241"/>
      <c r="U3712" s="240">
        <f>5100+2700-3200+3000+2700+2700+2400+300-5400-1300-1800-100-200-100</f>
        <v>6800</v>
      </c>
      <c r="V3712" s="240"/>
      <c r="W3712" s="240"/>
      <c r="X3712" s="278"/>
      <c r="Y3712" s="240"/>
      <c r="Z3712" s="237"/>
      <c r="AA3712" s="420"/>
      <c r="AB3712" s="238" t="s">
        <v>25104</v>
      </c>
      <c r="AC3712" s="196">
        <f t="shared" si="869"/>
        <v>6800</v>
      </c>
      <c r="AD3712" s="196">
        <f t="shared" si="870"/>
        <v>6800</v>
      </c>
      <c r="AE3712" s="196">
        <f t="shared" si="871"/>
        <v>0</v>
      </c>
      <c r="AF3712" s="2">
        <f t="shared" si="872"/>
        <v>6800</v>
      </c>
      <c r="AG3712" s="2">
        <f t="shared" si="873"/>
        <v>0</v>
      </c>
    </row>
    <row r="3713" spans="1:33">
      <c r="A3713" s="20" t="s">
        <v>21487</v>
      </c>
      <c r="B3713" s="152"/>
      <c r="C3713" s="21" t="s">
        <v>20466</v>
      </c>
      <c r="D3713" s="109" t="s">
        <v>3101</v>
      </c>
      <c r="E3713" s="109"/>
      <c r="F3713" s="391" t="s">
        <v>20536</v>
      </c>
      <c r="G3713" s="23" t="s">
        <v>20467</v>
      </c>
      <c r="H3713" s="23"/>
      <c r="I3713" s="23"/>
      <c r="J3713" s="23"/>
      <c r="K3713" s="23"/>
      <c r="L3713" s="375"/>
      <c r="M3713" s="351" t="s">
        <v>7787</v>
      </c>
      <c r="N3713" s="267">
        <f t="shared" si="867"/>
        <v>0</v>
      </c>
      <c r="O3713" s="268">
        <f t="shared" si="868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9"/>
        <v>0</v>
      </c>
      <c r="AD3713" s="196">
        <f t="shared" si="870"/>
        <v>0</v>
      </c>
      <c r="AE3713" s="196">
        <f t="shared" si="871"/>
        <v>0</v>
      </c>
      <c r="AF3713" s="2">
        <f t="shared" si="872"/>
        <v>0</v>
      </c>
      <c r="AG3713" s="2">
        <f t="shared" si="873"/>
        <v>0</v>
      </c>
    </row>
    <row r="3714" spans="1:33">
      <c r="A3714" s="20" t="s">
        <v>21488</v>
      </c>
      <c r="B3714" s="152"/>
      <c r="C3714" s="21" t="s">
        <v>20466</v>
      </c>
      <c r="D3714" s="109" t="s">
        <v>20799</v>
      </c>
      <c r="E3714" s="109"/>
      <c r="F3714" s="391" t="s">
        <v>20536</v>
      </c>
      <c r="G3714" s="23" t="s">
        <v>13581</v>
      </c>
      <c r="H3714" s="23"/>
      <c r="I3714" s="23"/>
      <c r="J3714" s="23"/>
      <c r="K3714" s="23"/>
      <c r="L3714" s="375" t="s">
        <v>7787</v>
      </c>
      <c r="M3714" s="351"/>
      <c r="N3714" s="267">
        <f t="shared" si="867"/>
        <v>0</v>
      </c>
      <c r="O3714" s="268">
        <f t="shared" si="868"/>
        <v>0</v>
      </c>
      <c r="P3714" s="241"/>
      <c r="Q3714" s="241"/>
      <c r="R3714" s="241"/>
      <c r="S3714" s="241"/>
      <c r="T3714" s="241"/>
      <c r="U3714" s="240"/>
      <c r="V3714" s="240"/>
      <c r="W3714" s="240"/>
      <c r="X3714" s="278"/>
      <c r="Y3714" s="237"/>
      <c r="Z3714" s="237"/>
      <c r="AA3714" s="420"/>
      <c r="AB3714" s="238"/>
      <c r="AC3714" s="196">
        <f t="shared" si="869"/>
        <v>0</v>
      </c>
      <c r="AD3714" s="196">
        <f t="shared" si="870"/>
        <v>0</v>
      </c>
      <c r="AE3714" s="196">
        <f t="shared" si="871"/>
        <v>0</v>
      </c>
      <c r="AF3714" s="2">
        <f t="shared" si="872"/>
        <v>0</v>
      </c>
      <c r="AG3714" s="2">
        <f t="shared" si="873"/>
        <v>0</v>
      </c>
    </row>
    <row r="3715" spans="1:33">
      <c r="A3715" s="20" t="s">
        <v>21681</v>
      </c>
      <c r="B3715" s="152"/>
      <c r="C3715" s="21" t="s">
        <v>21731</v>
      </c>
      <c r="D3715" s="109" t="s">
        <v>3137</v>
      </c>
      <c r="E3715" s="109"/>
      <c r="F3715" s="391" t="s">
        <v>21766</v>
      </c>
      <c r="G3715" s="23" t="s">
        <v>21732</v>
      </c>
      <c r="H3715" s="23"/>
      <c r="I3715" s="23"/>
      <c r="J3715" s="23"/>
      <c r="K3715" s="23"/>
      <c r="L3715" s="375" t="s">
        <v>7787</v>
      </c>
      <c r="M3715" s="351" t="s">
        <v>7787</v>
      </c>
      <c r="N3715" s="267">
        <f t="shared" si="867"/>
        <v>0</v>
      </c>
      <c r="O3715" s="268">
        <f t="shared" si="868"/>
        <v>0</v>
      </c>
      <c r="P3715" s="241"/>
      <c r="Q3715" s="241"/>
      <c r="R3715" s="241"/>
      <c r="S3715" s="241"/>
      <c r="T3715" s="241"/>
      <c r="U3715" s="240"/>
      <c r="V3715" s="240"/>
      <c r="W3715" s="240"/>
      <c r="X3715" s="278"/>
      <c r="Y3715" s="237"/>
      <c r="Z3715" s="237"/>
      <c r="AA3715" s="420"/>
      <c r="AB3715" s="238"/>
      <c r="AC3715" s="196">
        <f t="shared" si="869"/>
        <v>0</v>
      </c>
      <c r="AD3715" s="196">
        <f t="shared" si="870"/>
        <v>0</v>
      </c>
      <c r="AE3715" s="196">
        <f t="shared" si="871"/>
        <v>0</v>
      </c>
      <c r="AF3715" s="2">
        <f t="shared" si="872"/>
        <v>0</v>
      </c>
      <c r="AG3715" s="2">
        <f t="shared" si="873"/>
        <v>0</v>
      </c>
    </row>
    <row r="3716" spans="1:33">
      <c r="A3716" s="20" t="s">
        <v>20485</v>
      </c>
      <c r="B3716" s="152"/>
      <c r="C3716" s="21" t="s">
        <v>20451</v>
      </c>
      <c r="D3716" s="109" t="s">
        <v>3137</v>
      </c>
      <c r="E3716" s="109"/>
      <c r="F3716" s="391" t="s">
        <v>20525</v>
      </c>
      <c r="G3716" s="23" t="s">
        <v>13942</v>
      </c>
      <c r="H3716" s="23"/>
      <c r="I3716" s="23"/>
      <c r="J3716" s="23"/>
      <c r="K3716" s="23"/>
      <c r="L3716" s="375"/>
      <c r="M3716" s="351" t="s">
        <v>7787</v>
      </c>
      <c r="N3716" s="267">
        <f t="shared" si="867"/>
        <v>0</v>
      </c>
      <c r="O3716" s="268">
        <f t="shared" si="868"/>
        <v>0</v>
      </c>
      <c r="P3716" s="241"/>
      <c r="Q3716" s="241"/>
      <c r="R3716" s="240"/>
      <c r="S3716" s="240"/>
      <c r="T3716" s="241"/>
      <c r="U3716" s="240"/>
      <c r="V3716" s="240"/>
      <c r="W3716" s="240"/>
      <c r="X3716" s="278"/>
      <c r="Y3716" s="240"/>
      <c r="Z3716" s="237"/>
      <c r="AA3716" s="420"/>
      <c r="AB3716" s="238"/>
      <c r="AC3716" s="196">
        <f t="shared" si="869"/>
        <v>0</v>
      </c>
      <c r="AD3716" s="196">
        <f t="shared" si="870"/>
        <v>0</v>
      </c>
      <c r="AE3716" s="196">
        <f t="shared" si="871"/>
        <v>0</v>
      </c>
      <c r="AF3716" s="2">
        <f t="shared" si="872"/>
        <v>0</v>
      </c>
      <c r="AG3716" s="2">
        <f t="shared" si="873"/>
        <v>0</v>
      </c>
    </row>
    <row r="3717" spans="1:33">
      <c r="A3717" s="20" t="s">
        <v>21929</v>
      </c>
      <c r="B3717" s="152"/>
      <c r="C3717" s="21" t="s">
        <v>20451</v>
      </c>
      <c r="D3717" s="109" t="s">
        <v>3137</v>
      </c>
      <c r="E3717" s="109" t="s">
        <v>24154</v>
      </c>
      <c r="F3717" s="391" t="s">
        <v>20525</v>
      </c>
      <c r="G3717" s="23" t="s">
        <v>13942</v>
      </c>
      <c r="H3717" s="23" t="s">
        <v>24155</v>
      </c>
      <c r="I3717" s="23"/>
      <c r="J3717" s="23"/>
      <c r="K3717" s="23"/>
      <c r="L3717" s="375" t="s">
        <v>7787</v>
      </c>
      <c r="M3717" s="351"/>
      <c r="N3717" s="267">
        <f t="shared" si="867"/>
        <v>0</v>
      </c>
      <c r="O3717" s="268">
        <f t="shared" si="868"/>
        <v>0</v>
      </c>
      <c r="P3717" s="240"/>
      <c r="Q3717" s="241"/>
      <c r="R3717" s="240"/>
      <c r="S3717" s="240"/>
      <c r="T3717" s="240"/>
      <c r="U3717" s="240"/>
      <c r="V3717" s="240"/>
      <c r="W3717" s="240"/>
      <c r="X3717" s="278"/>
      <c r="Y3717" s="240"/>
      <c r="Z3717" s="240"/>
      <c r="AA3717" s="420"/>
      <c r="AB3717" s="238"/>
      <c r="AC3717" s="196">
        <f t="shared" si="869"/>
        <v>0</v>
      </c>
      <c r="AD3717" s="196">
        <f t="shared" si="870"/>
        <v>0</v>
      </c>
      <c r="AE3717" s="196">
        <f t="shared" si="871"/>
        <v>0</v>
      </c>
      <c r="AF3717" s="2">
        <f t="shared" si="872"/>
        <v>0</v>
      </c>
      <c r="AG3717" s="2">
        <f t="shared" si="873"/>
        <v>0</v>
      </c>
    </row>
    <row r="3718" spans="1:33">
      <c r="A3718" s="20" t="s">
        <v>20486</v>
      </c>
      <c r="B3718" s="152"/>
      <c r="C3718" s="21" t="s">
        <v>20432</v>
      </c>
      <c r="D3718" s="109" t="s">
        <v>3137</v>
      </c>
      <c r="E3718" s="109"/>
      <c r="F3718" s="391" t="s">
        <v>20433</v>
      </c>
      <c r="G3718" s="23" t="s">
        <v>13942</v>
      </c>
      <c r="H3718" s="23"/>
      <c r="I3718" s="23"/>
      <c r="J3718" s="23"/>
      <c r="K3718" s="23"/>
      <c r="L3718" s="375" t="s">
        <v>7787</v>
      </c>
      <c r="M3718" s="351" t="s">
        <v>7787</v>
      </c>
      <c r="N3718" s="267">
        <f t="shared" si="867"/>
        <v>0</v>
      </c>
      <c r="O3718" s="268">
        <f t="shared" si="868"/>
        <v>0</v>
      </c>
      <c r="P3718" s="241"/>
      <c r="Q3718" s="241"/>
      <c r="R3718" s="241"/>
      <c r="S3718" s="241"/>
      <c r="T3718" s="241"/>
      <c r="U3718" s="240"/>
      <c r="V3718" s="240"/>
      <c r="W3718" s="240"/>
      <c r="X3718" s="278"/>
      <c r="Y3718" s="237"/>
      <c r="Z3718" s="237"/>
      <c r="AA3718" s="420"/>
      <c r="AB3718" s="238"/>
      <c r="AC3718" s="196">
        <f t="shared" si="869"/>
        <v>0</v>
      </c>
      <c r="AD3718" s="196">
        <f t="shared" si="870"/>
        <v>0</v>
      </c>
      <c r="AE3718" s="196">
        <f t="shared" si="871"/>
        <v>0</v>
      </c>
      <c r="AF3718" s="2">
        <f t="shared" si="872"/>
        <v>0</v>
      </c>
      <c r="AG3718" s="2">
        <f t="shared" si="873"/>
        <v>0</v>
      </c>
    </row>
    <row r="3719" spans="1:33">
      <c r="A3719" s="20" t="s">
        <v>21489</v>
      </c>
      <c r="B3719" s="152"/>
      <c r="C3719" s="21" t="s">
        <v>20757</v>
      </c>
      <c r="D3719" s="109" t="s">
        <v>3137</v>
      </c>
      <c r="E3719" s="109"/>
      <c r="F3719" s="391" t="s">
        <v>20760</v>
      </c>
      <c r="G3719" s="23" t="s">
        <v>13942</v>
      </c>
      <c r="H3719" s="23" t="s">
        <v>21350</v>
      </c>
      <c r="I3719" s="23" t="s">
        <v>23454</v>
      </c>
      <c r="J3719" s="23" t="s">
        <v>6133</v>
      </c>
      <c r="K3719" s="23"/>
      <c r="L3719" s="375" t="s">
        <v>7787</v>
      </c>
      <c r="M3719" s="351" t="s">
        <v>7787</v>
      </c>
      <c r="N3719" s="267">
        <f t="shared" si="867"/>
        <v>0</v>
      </c>
      <c r="O3719" s="268">
        <f t="shared" si="868"/>
        <v>0</v>
      </c>
      <c r="P3719" s="241"/>
      <c r="Q3719" s="240"/>
      <c r="R3719" s="241"/>
      <c r="S3719" s="241"/>
      <c r="T3719" s="241"/>
      <c r="U3719" s="240"/>
      <c r="V3719" s="240"/>
      <c r="W3719" s="240"/>
      <c r="X3719" s="278"/>
      <c r="Y3719" s="237"/>
      <c r="Z3719" s="237"/>
      <c r="AA3719" s="420"/>
      <c r="AB3719" s="238"/>
      <c r="AC3719" s="196">
        <f t="shared" si="869"/>
        <v>0</v>
      </c>
      <c r="AD3719" s="196">
        <f t="shared" si="870"/>
        <v>0</v>
      </c>
      <c r="AE3719" s="196">
        <f t="shared" si="871"/>
        <v>0</v>
      </c>
      <c r="AF3719" s="2">
        <f t="shared" si="872"/>
        <v>0</v>
      </c>
      <c r="AG3719" s="2">
        <f t="shared" si="873"/>
        <v>0</v>
      </c>
    </row>
    <row r="3720" spans="1:33">
      <c r="A3720" s="20" t="s">
        <v>21490</v>
      </c>
      <c r="B3720" s="152"/>
      <c r="C3720" s="21" t="s">
        <v>20586</v>
      </c>
      <c r="D3720" s="109" t="s">
        <v>5979</v>
      </c>
      <c r="E3720" s="109" t="s">
        <v>19998</v>
      </c>
      <c r="F3720" s="391" t="s">
        <v>20608</v>
      </c>
      <c r="G3720" s="23" t="s">
        <v>20590</v>
      </c>
      <c r="H3720" s="23" t="s">
        <v>23013</v>
      </c>
      <c r="I3720" s="23"/>
      <c r="J3720" s="23"/>
      <c r="K3720" s="23"/>
      <c r="L3720" s="375" t="s">
        <v>7787</v>
      </c>
      <c r="M3720" s="351" t="s">
        <v>7787</v>
      </c>
      <c r="N3720" s="267">
        <f t="shared" si="867"/>
        <v>0</v>
      </c>
      <c r="O3720" s="268">
        <f t="shared" si="868"/>
        <v>0</v>
      </c>
      <c r="P3720" s="241"/>
      <c r="Q3720" s="241"/>
      <c r="R3720" s="241"/>
      <c r="S3720" s="241"/>
      <c r="T3720" s="241"/>
      <c r="U3720" s="240"/>
      <c r="V3720" s="240"/>
      <c r="W3720" s="240"/>
      <c r="X3720" s="278"/>
      <c r="Y3720" s="240"/>
      <c r="Z3720" s="237"/>
      <c r="AA3720" s="420"/>
      <c r="AB3720" s="238"/>
      <c r="AC3720" s="196">
        <f t="shared" si="869"/>
        <v>0</v>
      </c>
      <c r="AD3720" s="196">
        <f t="shared" si="870"/>
        <v>0</v>
      </c>
      <c r="AE3720" s="196">
        <f t="shared" si="871"/>
        <v>0</v>
      </c>
      <c r="AF3720" s="2">
        <f t="shared" si="872"/>
        <v>0</v>
      </c>
      <c r="AG3720" s="2">
        <f t="shared" si="873"/>
        <v>0</v>
      </c>
    </row>
    <row r="3721" spans="1:33">
      <c r="A3721" s="20" t="s">
        <v>21491</v>
      </c>
      <c r="B3721" s="152"/>
      <c r="C3721" s="21" t="s">
        <v>20586</v>
      </c>
      <c r="D3721" s="109" t="s">
        <v>5979</v>
      </c>
      <c r="E3721" s="109" t="s">
        <v>20990</v>
      </c>
      <c r="F3721" s="391" t="s">
        <v>20608</v>
      </c>
      <c r="G3721" s="23" t="s">
        <v>15443</v>
      </c>
      <c r="H3721" s="23"/>
      <c r="I3721" s="23"/>
      <c r="J3721" s="23"/>
      <c r="K3721" s="23"/>
      <c r="L3721" s="375"/>
      <c r="M3721" s="351"/>
      <c r="N3721" s="267">
        <f t="shared" si="867"/>
        <v>0</v>
      </c>
      <c r="O3721" s="268">
        <f t="shared" si="868"/>
        <v>0</v>
      </c>
      <c r="P3721" s="241"/>
      <c r="Q3721" s="241"/>
      <c r="R3721" s="241"/>
      <c r="S3721" s="241"/>
      <c r="T3721" s="241"/>
      <c r="U3721" s="240"/>
      <c r="V3721" s="240"/>
      <c r="W3721" s="240"/>
      <c r="X3721" s="278"/>
      <c r="Y3721" s="237"/>
      <c r="Z3721" s="237"/>
      <c r="AA3721" s="420"/>
      <c r="AB3721" s="238"/>
      <c r="AC3721" s="196">
        <f t="shared" si="869"/>
        <v>0</v>
      </c>
      <c r="AD3721" s="196">
        <f t="shared" si="870"/>
        <v>0</v>
      </c>
      <c r="AE3721" s="196">
        <f t="shared" si="871"/>
        <v>0</v>
      </c>
      <c r="AF3721" s="2">
        <f t="shared" si="872"/>
        <v>0</v>
      </c>
      <c r="AG3721" s="2">
        <f t="shared" si="873"/>
        <v>0</v>
      </c>
    </row>
    <row r="3722" spans="1:33">
      <c r="A3722" s="20" t="s">
        <v>21492</v>
      </c>
      <c r="B3722" s="152"/>
      <c r="C3722" s="21" t="s">
        <v>20587</v>
      </c>
      <c r="D3722" s="109" t="s">
        <v>5979</v>
      </c>
      <c r="E3722" s="109" t="s">
        <v>19998</v>
      </c>
      <c r="F3722" s="391" t="s">
        <v>20609</v>
      </c>
      <c r="G3722" s="23" t="s">
        <v>20590</v>
      </c>
      <c r="H3722" s="23"/>
      <c r="I3722" s="23"/>
      <c r="J3722" s="23"/>
      <c r="K3722" s="23"/>
      <c r="L3722" s="375" t="s">
        <v>7787</v>
      </c>
      <c r="M3722" s="351" t="s">
        <v>7787</v>
      </c>
      <c r="N3722" s="267">
        <f t="shared" si="867"/>
        <v>0</v>
      </c>
      <c r="O3722" s="268">
        <f t="shared" si="868"/>
        <v>100</v>
      </c>
      <c r="P3722" s="241"/>
      <c r="Q3722" s="241"/>
      <c r="R3722" s="241"/>
      <c r="S3722" s="241"/>
      <c r="T3722" s="241"/>
      <c r="U3722" s="240"/>
      <c r="V3722" s="240">
        <f>500-300-100</f>
        <v>100</v>
      </c>
      <c r="W3722" s="240"/>
      <c r="X3722" s="278"/>
      <c r="Y3722" s="237"/>
      <c r="Z3722" s="237"/>
      <c r="AA3722" s="420"/>
      <c r="AB3722" s="238" t="s">
        <v>24321</v>
      </c>
      <c r="AC3722" s="196">
        <f t="shared" si="869"/>
        <v>100</v>
      </c>
      <c r="AD3722" s="196">
        <f t="shared" si="870"/>
        <v>100</v>
      </c>
      <c r="AE3722" s="196">
        <f t="shared" si="871"/>
        <v>0</v>
      </c>
      <c r="AF3722" s="2">
        <f t="shared" si="872"/>
        <v>100</v>
      </c>
      <c r="AG3722" s="2">
        <f t="shared" si="873"/>
        <v>0</v>
      </c>
    </row>
    <row r="3723" spans="1:33">
      <c r="A3723" s="20" t="s">
        <v>21493</v>
      </c>
      <c r="B3723" s="152"/>
      <c r="C3723" s="21" t="s">
        <v>21328</v>
      </c>
      <c r="D3723" s="109" t="s">
        <v>5979</v>
      </c>
      <c r="E3723" s="109" t="s">
        <v>19998</v>
      </c>
      <c r="F3723" s="391" t="s">
        <v>20610</v>
      </c>
      <c r="G3723" s="23" t="s">
        <v>20590</v>
      </c>
      <c r="H3723" s="23" t="s">
        <v>18203</v>
      </c>
      <c r="I3723" s="23" t="s">
        <v>6133</v>
      </c>
      <c r="J3723" s="23" t="s">
        <v>23191</v>
      </c>
      <c r="K3723" s="23"/>
      <c r="L3723" s="375" t="s">
        <v>7787</v>
      </c>
      <c r="M3723" s="351" t="s">
        <v>7787</v>
      </c>
      <c r="N3723" s="267">
        <f t="shared" si="867"/>
        <v>0</v>
      </c>
      <c r="O3723" s="268">
        <f t="shared" si="868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9"/>
        <v>0</v>
      </c>
      <c r="AD3723" s="196">
        <f t="shared" si="870"/>
        <v>0</v>
      </c>
      <c r="AE3723" s="196">
        <f t="shared" si="871"/>
        <v>0</v>
      </c>
      <c r="AF3723" s="2">
        <f t="shared" si="872"/>
        <v>0</v>
      </c>
      <c r="AG3723" s="2">
        <f t="shared" si="873"/>
        <v>0</v>
      </c>
    </row>
    <row r="3724" spans="1:33">
      <c r="A3724" s="20" t="s">
        <v>21494</v>
      </c>
      <c r="B3724" s="152"/>
      <c r="C3724" s="21" t="s">
        <v>21329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/>
      <c r="M3724" s="351"/>
      <c r="N3724" s="267">
        <f t="shared" si="867"/>
        <v>0</v>
      </c>
      <c r="O3724" s="268">
        <f t="shared" si="868"/>
        <v>0</v>
      </c>
      <c r="P3724" s="241"/>
      <c r="Q3724" s="241"/>
      <c r="R3724" s="241"/>
      <c r="S3724" s="241"/>
      <c r="T3724" s="241"/>
      <c r="U3724" s="240"/>
      <c r="V3724" s="240"/>
      <c r="W3724" s="240"/>
      <c r="X3724" s="278"/>
      <c r="Y3724" s="237"/>
      <c r="Z3724" s="237"/>
      <c r="AA3724" s="420"/>
      <c r="AB3724" s="238"/>
      <c r="AC3724" s="196">
        <f t="shared" si="869"/>
        <v>0</v>
      </c>
      <c r="AD3724" s="196">
        <f t="shared" si="870"/>
        <v>0</v>
      </c>
      <c r="AE3724" s="196">
        <f t="shared" si="871"/>
        <v>0</v>
      </c>
      <c r="AF3724" s="2">
        <f t="shared" si="872"/>
        <v>0</v>
      </c>
      <c r="AG3724" s="2">
        <f t="shared" si="873"/>
        <v>0</v>
      </c>
    </row>
    <row r="3725" spans="1:33">
      <c r="A3725" s="20" t="s">
        <v>23156</v>
      </c>
      <c r="B3725" s="152"/>
      <c r="C3725" s="21" t="s">
        <v>21329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/>
      <c r="I3725" s="23"/>
      <c r="J3725" s="23"/>
      <c r="K3725" s="23"/>
      <c r="L3725" s="375" t="s">
        <v>7787</v>
      </c>
      <c r="M3725" s="351"/>
      <c r="N3725" s="267">
        <f t="shared" si="867"/>
        <v>0</v>
      </c>
      <c r="O3725" s="268">
        <f t="shared" si="868"/>
        <v>0</v>
      </c>
      <c r="P3725" s="241"/>
      <c r="Q3725" s="241"/>
      <c r="R3725" s="241"/>
      <c r="S3725" s="241"/>
      <c r="T3725" s="241"/>
      <c r="U3725" s="240"/>
      <c r="V3725" s="240"/>
      <c r="W3725" s="240"/>
      <c r="X3725" s="278"/>
      <c r="Y3725" s="237"/>
      <c r="Z3725" s="237"/>
      <c r="AA3725" s="420"/>
      <c r="AB3725" s="238"/>
      <c r="AC3725" s="196">
        <f t="shared" si="869"/>
        <v>0</v>
      </c>
      <c r="AD3725" s="196">
        <f t="shared" si="870"/>
        <v>0</v>
      </c>
      <c r="AE3725" s="196">
        <f t="shared" si="871"/>
        <v>0</v>
      </c>
      <c r="AF3725" s="2">
        <f t="shared" si="872"/>
        <v>0</v>
      </c>
      <c r="AG3725" s="2">
        <f t="shared" si="873"/>
        <v>0</v>
      </c>
    </row>
    <row r="3726" spans="1:33">
      <c r="A3726" s="20" t="s">
        <v>22992</v>
      </c>
      <c r="B3726" s="152"/>
      <c r="C3726" s="21" t="s">
        <v>23019</v>
      </c>
      <c r="D3726" s="109" t="s">
        <v>5979</v>
      </c>
      <c r="E3726" s="109" t="s">
        <v>19998</v>
      </c>
      <c r="F3726" s="391" t="s">
        <v>20610</v>
      </c>
      <c r="G3726" s="23" t="s">
        <v>15443</v>
      </c>
      <c r="H3726" s="23"/>
      <c r="I3726" s="23"/>
      <c r="J3726" s="23"/>
      <c r="K3726" s="23"/>
      <c r="L3726" s="375" t="s">
        <v>27827</v>
      </c>
      <c r="M3726" s="351" t="s">
        <v>45</v>
      </c>
      <c r="N3726" s="267">
        <f t="shared" si="867"/>
        <v>0</v>
      </c>
      <c r="O3726" s="268">
        <f t="shared" si="868"/>
        <v>20400</v>
      </c>
      <c r="P3726" s="241"/>
      <c r="Q3726" s="241"/>
      <c r="R3726" s="241"/>
      <c r="S3726" s="241"/>
      <c r="T3726" s="241"/>
      <c r="U3726" s="240"/>
      <c r="V3726" s="240">
        <f>1800+1100-2100+5800+5000+2500+1900+2300+6900-3600+3600-3600+2400-3600</f>
        <v>20400</v>
      </c>
      <c r="W3726" s="240"/>
      <c r="X3726" s="278"/>
      <c r="Y3726" s="237"/>
      <c r="Z3726" s="237"/>
      <c r="AA3726" s="420"/>
      <c r="AB3726" s="238" t="s">
        <v>27825</v>
      </c>
      <c r="AC3726" s="196">
        <f t="shared" si="869"/>
        <v>20400</v>
      </c>
      <c r="AD3726" s="196">
        <f t="shared" si="870"/>
        <v>20400</v>
      </c>
      <c r="AE3726" s="196">
        <f t="shared" si="871"/>
        <v>0</v>
      </c>
      <c r="AF3726" s="2">
        <f t="shared" si="872"/>
        <v>20400</v>
      </c>
      <c r="AG3726" s="2">
        <f t="shared" si="873"/>
        <v>0</v>
      </c>
    </row>
    <row r="3727" spans="1:33">
      <c r="A3727" s="20" t="s">
        <v>22993</v>
      </c>
      <c r="B3727" s="152"/>
      <c r="C3727" s="21" t="s">
        <v>23023</v>
      </c>
      <c r="D3727" s="109" t="s">
        <v>5979</v>
      </c>
      <c r="E3727" s="109" t="s">
        <v>19998</v>
      </c>
      <c r="F3727" s="391" t="s">
        <v>20610</v>
      </c>
      <c r="G3727" s="23" t="s">
        <v>15443</v>
      </c>
      <c r="H3727" s="23" t="s">
        <v>6133</v>
      </c>
      <c r="I3727" s="23"/>
      <c r="J3727" s="23"/>
      <c r="K3727" s="23"/>
      <c r="L3727" s="375"/>
      <c r="M3727" s="351" t="s">
        <v>7787</v>
      </c>
      <c r="N3727" s="267">
        <f t="shared" si="867"/>
        <v>0</v>
      </c>
      <c r="O3727" s="268">
        <f t="shared" si="868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9"/>
        <v>0</v>
      </c>
      <c r="AD3727" s="196">
        <f t="shared" si="870"/>
        <v>0</v>
      </c>
      <c r="AE3727" s="196">
        <f t="shared" si="871"/>
        <v>0</v>
      </c>
      <c r="AF3727" s="2">
        <f t="shared" si="872"/>
        <v>0</v>
      </c>
      <c r="AG3727" s="2">
        <f t="shared" si="873"/>
        <v>0</v>
      </c>
    </row>
    <row r="3728" spans="1:33">
      <c r="A3728" s="20" t="s">
        <v>21495</v>
      </c>
      <c r="B3728" s="152"/>
      <c r="C3728" s="21" t="s">
        <v>20588</v>
      </c>
      <c r="D3728" s="109" t="s">
        <v>5979</v>
      </c>
      <c r="E3728" s="109" t="s">
        <v>20826</v>
      </c>
      <c r="F3728" s="391" t="s">
        <v>20610</v>
      </c>
      <c r="G3728" s="23" t="s">
        <v>15443</v>
      </c>
      <c r="H3728" s="23"/>
      <c r="I3728" s="23"/>
      <c r="J3728" s="23"/>
      <c r="K3728" s="23"/>
      <c r="L3728" s="375" t="s">
        <v>7787</v>
      </c>
      <c r="M3728" s="351" t="s">
        <v>7787</v>
      </c>
      <c r="N3728" s="267">
        <f t="shared" si="867"/>
        <v>0</v>
      </c>
      <c r="O3728" s="268">
        <f t="shared" si="868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9"/>
        <v>0</v>
      </c>
      <c r="AD3728" s="196">
        <f t="shared" si="870"/>
        <v>0</v>
      </c>
      <c r="AE3728" s="196">
        <f t="shared" si="871"/>
        <v>0</v>
      </c>
      <c r="AF3728" s="2">
        <f t="shared" si="872"/>
        <v>0</v>
      </c>
      <c r="AG3728" s="2">
        <f t="shared" si="873"/>
        <v>0</v>
      </c>
    </row>
    <row r="3729" spans="1:33">
      <c r="A3729" s="20" t="s">
        <v>21496</v>
      </c>
      <c r="B3729" s="152"/>
      <c r="C3729" s="21" t="s">
        <v>20589</v>
      </c>
      <c r="D3729" s="109" t="s">
        <v>5979</v>
      </c>
      <c r="E3729" s="109" t="s">
        <v>19998</v>
      </c>
      <c r="F3729" s="391" t="s">
        <v>20611</v>
      </c>
      <c r="G3729" s="23" t="s">
        <v>20590</v>
      </c>
      <c r="H3729" s="23"/>
      <c r="I3729" s="23"/>
      <c r="J3729" s="23"/>
      <c r="K3729" s="23"/>
      <c r="L3729" s="375" t="s">
        <v>7787</v>
      </c>
      <c r="M3729" s="351" t="s">
        <v>7787</v>
      </c>
      <c r="N3729" s="267">
        <f t="shared" si="867"/>
        <v>0</v>
      </c>
      <c r="O3729" s="268">
        <f t="shared" si="868"/>
        <v>0</v>
      </c>
      <c r="P3729" s="241"/>
      <c r="Q3729" s="241"/>
      <c r="R3729" s="241"/>
      <c r="S3729" s="241"/>
      <c r="T3729" s="241"/>
      <c r="U3729" s="240"/>
      <c r="V3729" s="240"/>
      <c r="W3729" s="240"/>
      <c r="X3729" s="278"/>
      <c r="Y3729" s="237"/>
      <c r="Z3729" s="237"/>
      <c r="AA3729" s="420"/>
      <c r="AB3729" s="238"/>
      <c r="AC3729" s="196">
        <f t="shared" si="869"/>
        <v>0</v>
      </c>
      <c r="AD3729" s="196">
        <f t="shared" si="870"/>
        <v>0</v>
      </c>
      <c r="AE3729" s="196">
        <f t="shared" si="871"/>
        <v>0</v>
      </c>
      <c r="AF3729" s="2">
        <f t="shared" si="872"/>
        <v>0</v>
      </c>
      <c r="AG3729" s="2">
        <f t="shared" si="873"/>
        <v>0</v>
      </c>
    </row>
    <row r="3730" spans="1:33">
      <c r="A3730" s="20" t="s">
        <v>21497</v>
      </c>
      <c r="B3730" s="152"/>
      <c r="C3730" s="21" t="s">
        <v>20539</v>
      </c>
      <c r="D3730" s="109" t="s">
        <v>7761</v>
      </c>
      <c r="E3730" s="109"/>
      <c r="F3730" s="391" t="s">
        <v>20552</v>
      </c>
      <c r="G3730" s="23" t="s">
        <v>20540</v>
      </c>
      <c r="H3730" s="23"/>
      <c r="I3730" s="23"/>
      <c r="J3730" s="23"/>
      <c r="K3730" s="23"/>
      <c r="L3730" s="375"/>
      <c r="M3730" s="351"/>
      <c r="N3730" s="267">
        <f t="shared" si="867"/>
        <v>0</v>
      </c>
      <c r="O3730" s="268">
        <f t="shared" si="868"/>
        <v>0</v>
      </c>
      <c r="P3730" s="241"/>
      <c r="Q3730" s="241"/>
      <c r="R3730" s="241"/>
      <c r="S3730" s="241"/>
      <c r="T3730" s="241"/>
      <c r="U3730" s="240"/>
      <c r="V3730" s="240"/>
      <c r="W3730" s="240"/>
      <c r="X3730" s="278"/>
      <c r="Y3730" s="237"/>
      <c r="Z3730" s="237"/>
      <c r="AA3730" s="420"/>
      <c r="AB3730" s="238"/>
      <c r="AC3730" s="196">
        <f t="shared" si="869"/>
        <v>0</v>
      </c>
      <c r="AD3730" s="196">
        <f t="shared" si="870"/>
        <v>0</v>
      </c>
      <c r="AE3730" s="196">
        <f t="shared" si="871"/>
        <v>0</v>
      </c>
      <c r="AF3730" s="2">
        <f t="shared" si="872"/>
        <v>0</v>
      </c>
      <c r="AG3730" s="2">
        <f t="shared" si="873"/>
        <v>0</v>
      </c>
    </row>
    <row r="3731" spans="1:33">
      <c r="A3731" s="20" t="s">
        <v>21498</v>
      </c>
      <c r="B3731" s="152"/>
      <c r="C3731" s="21" t="s">
        <v>21071</v>
      </c>
      <c r="D3731" s="109" t="s">
        <v>21072</v>
      </c>
      <c r="E3731" s="109" t="s">
        <v>19998</v>
      </c>
      <c r="F3731" s="391" t="s">
        <v>21086</v>
      </c>
      <c r="G3731" s="23" t="s">
        <v>16477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7"/>
        <v>0</v>
      </c>
      <c r="O3731" s="268">
        <f t="shared" si="868"/>
        <v>1900</v>
      </c>
      <c r="P3731" s="241"/>
      <c r="Q3731" s="241"/>
      <c r="R3731" s="241"/>
      <c r="S3731" s="241"/>
      <c r="T3731" s="241"/>
      <c r="U3731" s="241"/>
      <c r="V3731" s="240">
        <f>1400+2200+2600+2700-1200-100-2700-2700-300</f>
        <v>1900</v>
      </c>
      <c r="W3731" s="240"/>
      <c r="X3731" s="278"/>
      <c r="Y3731" s="237"/>
      <c r="Z3731" s="237"/>
      <c r="AA3731" s="420"/>
      <c r="AB3731" s="238" t="s">
        <v>25083</v>
      </c>
      <c r="AC3731" s="196">
        <f t="shared" si="869"/>
        <v>1900</v>
      </c>
      <c r="AD3731" s="196">
        <f t="shared" si="870"/>
        <v>1900</v>
      </c>
      <c r="AE3731" s="196">
        <f t="shared" si="871"/>
        <v>0</v>
      </c>
      <c r="AF3731" s="2">
        <f t="shared" si="872"/>
        <v>1900</v>
      </c>
      <c r="AG3731" s="2">
        <f t="shared" si="873"/>
        <v>0</v>
      </c>
    </row>
    <row r="3732" spans="1:33">
      <c r="A3732" s="20" t="s">
        <v>21499</v>
      </c>
      <c r="B3732" s="152"/>
      <c r="C3732" s="21" t="s">
        <v>20577</v>
      </c>
      <c r="D3732" s="109" t="s">
        <v>20578</v>
      </c>
      <c r="E3732" s="109" t="s">
        <v>20579</v>
      </c>
      <c r="F3732" s="391" t="s">
        <v>20691</v>
      </c>
      <c r="G3732" s="23" t="s">
        <v>13565</v>
      </c>
      <c r="H3732" s="23"/>
      <c r="I3732" s="23"/>
      <c r="J3732" s="23"/>
      <c r="K3732" s="23"/>
      <c r="L3732" s="375" t="s">
        <v>7787</v>
      </c>
      <c r="M3732" s="351" t="s">
        <v>7787</v>
      </c>
      <c r="N3732" s="267">
        <f t="shared" si="867"/>
        <v>0</v>
      </c>
      <c r="O3732" s="268">
        <f t="shared" si="868"/>
        <v>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37"/>
      <c r="Z3732" s="237"/>
      <c r="AA3732" s="420"/>
      <c r="AB3732" s="238"/>
      <c r="AC3732" s="196">
        <f t="shared" si="869"/>
        <v>0</v>
      </c>
      <c r="AD3732" s="196">
        <f t="shared" si="870"/>
        <v>0</v>
      </c>
      <c r="AE3732" s="196">
        <f t="shared" si="871"/>
        <v>0</v>
      </c>
      <c r="AF3732" s="2">
        <f t="shared" si="872"/>
        <v>0</v>
      </c>
      <c r="AG3732" s="2">
        <f t="shared" si="873"/>
        <v>0</v>
      </c>
    </row>
    <row r="3733" spans="1:33">
      <c r="A3733" s="20" t="s">
        <v>21500</v>
      </c>
      <c r="B3733" s="152"/>
      <c r="C3733" s="21" t="s">
        <v>20791</v>
      </c>
      <c r="D3733" s="109" t="s">
        <v>9855</v>
      </c>
      <c r="E3733" s="109" t="s">
        <v>19998</v>
      </c>
      <c r="F3733" s="391" t="s">
        <v>20777</v>
      </c>
      <c r="G3733" s="23" t="s">
        <v>17522</v>
      </c>
      <c r="H3733" s="23"/>
      <c r="I3733" s="23"/>
      <c r="J3733" s="23"/>
      <c r="K3733" s="23"/>
      <c r="L3733" s="375" t="s">
        <v>7787</v>
      </c>
      <c r="M3733" s="351" t="s">
        <v>7787</v>
      </c>
      <c r="N3733" s="267">
        <f t="shared" si="867"/>
        <v>0</v>
      </c>
      <c r="O3733" s="268">
        <f t="shared" si="868"/>
        <v>0</v>
      </c>
      <c r="P3733" s="241"/>
      <c r="Q3733" s="241"/>
      <c r="R3733" s="241"/>
      <c r="S3733" s="241"/>
      <c r="T3733" s="241"/>
      <c r="U3733" s="240"/>
      <c r="V3733" s="240"/>
      <c r="W3733" s="240"/>
      <c r="X3733" s="278"/>
      <c r="Y3733" s="241"/>
      <c r="Z3733" s="237"/>
      <c r="AA3733" s="420"/>
      <c r="AB3733" s="238"/>
      <c r="AC3733" s="196">
        <f t="shared" si="869"/>
        <v>0</v>
      </c>
      <c r="AD3733" s="196">
        <f t="shared" si="870"/>
        <v>0</v>
      </c>
      <c r="AE3733" s="196">
        <f t="shared" si="871"/>
        <v>0</v>
      </c>
      <c r="AF3733" s="2">
        <f t="shared" si="872"/>
        <v>0</v>
      </c>
      <c r="AG3733" s="2">
        <f t="shared" si="873"/>
        <v>0</v>
      </c>
    </row>
    <row r="3734" spans="1:33">
      <c r="A3734" s="20" t="s">
        <v>21501</v>
      </c>
      <c r="B3734" s="152"/>
      <c r="C3734" s="21" t="s">
        <v>21076</v>
      </c>
      <c r="D3734" s="109" t="s">
        <v>9855</v>
      </c>
      <c r="E3734" s="109" t="s">
        <v>21200</v>
      </c>
      <c r="F3734" s="391" t="s">
        <v>21085</v>
      </c>
      <c r="G3734" s="23" t="s">
        <v>13301</v>
      </c>
      <c r="H3734" s="23"/>
      <c r="I3734" s="23"/>
      <c r="J3734" s="23"/>
      <c r="K3734" s="23"/>
      <c r="L3734" s="375" t="s">
        <v>7787</v>
      </c>
      <c r="M3734" s="351"/>
      <c r="N3734" s="267">
        <f t="shared" si="867"/>
        <v>0</v>
      </c>
      <c r="O3734" s="268">
        <f t="shared" si="868"/>
        <v>400</v>
      </c>
      <c r="P3734" s="241"/>
      <c r="Q3734" s="241"/>
      <c r="R3734" s="241"/>
      <c r="S3734" s="241"/>
      <c r="T3734" s="241"/>
      <c r="U3734" s="240"/>
      <c r="V3734" s="240"/>
      <c r="W3734" s="240"/>
      <c r="X3734" s="278"/>
      <c r="Y3734" s="240">
        <f>500-100</f>
        <v>400</v>
      </c>
      <c r="Z3734" s="237"/>
      <c r="AA3734" s="420"/>
      <c r="AB3734" s="238" t="s">
        <v>21082</v>
      </c>
      <c r="AC3734" s="196">
        <f t="shared" si="869"/>
        <v>400</v>
      </c>
      <c r="AD3734" s="196">
        <f t="shared" si="870"/>
        <v>400</v>
      </c>
      <c r="AE3734" s="196">
        <f t="shared" si="871"/>
        <v>0</v>
      </c>
      <c r="AF3734" s="2">
        <f t="shared" si="872"/>
        <v>400</v>
      </c>
      <c r="AG3734" s="2">
        <f t="shared" si="873"/>
        <v>0</v>
      </c>
    </row>
    <row r="3735" spans="1:33">
      <c r="A3735" s="20" t="s">
        <v>21502</v>
      </c>
      <c r="B3735" s="152"/>
      <c r="C3735" s="21" t="s">
        <v>20769</v>
      </c>
      <c r="D3735" s="109" t="s">
        <v>20770</v>
      </c>
      <c r="E3735" s="109" t="s">
        <v>20771</v>
      </c>
      <c r="F3735" s="391" t="s">
        <v>20777</v>
      </c>
      <c r="G3735" s="23" t="s">
        <v>17522</v>
      </c>
      <c r="H3735" s="23" t="s">
        <v>13942</v>
      </c>
      <c r="I3735" s="23"/>
      <c r="J3735" s="23"/>
      <c r="K3735" s="23"/>
      <c r="L3735" s="375" t="s">
        <v>7787</v>
      </c>
      <c r="M3735" s="351"/>
      <c r="N3735" s="267">
        <f t="shared" si="867"/>
        <v>0</v>
      </c>
      <c r="O3735" s="268">
        <f t="shared" si="868"/>
        <v>0</v>
      </c>
      <c r="P3735" s="241"/>
      <c r="Q3735" s="240"/>
      <c r="R3735" s="241"/>
      <c r="S3735" s="241"/>
      <c r="T3735" s="241"/>
      <c r="U3735" s="240"/>
      <c r="V3735" s="240"/>
      <c r="W3735" s="240"/>
      <c r="X3735" s="278"/>
      <c r="Y3735" s="240"/>
      <c r="Z3735" s="237"/>
      <c r="AA3735" s="420"/>
      <c r="AB3735" s="238"/>
      <c r="AC3735" s="196">
        <f t="shared" si="869"/>
        <v>0</v>
      </c>
      <c r="AD3735" s="196">
        <f t="shared" si="870"/>
        <v>0</v>
      </c>
      <c r="AE3735" s="196">
        <f t="shared" si="871"/>
        <v>0</v>
      </c>
      <c r="AF3735" s="2">
        <f t="shared" si="872"/>
        <v>0</v>
      </c>
      <c r="AG3735" s="2">
        <f t="shared" si="873"/>
        <v>0</v>
      </c>
    </row>
    <row r="3736" spans="1:33">
      <c r="A3736" s="20" t="s">
        <v>21503</v>
      </c>
      <c r="B3736" s="152"/>
      <c r="C3736" s="21" t="s">
        <v>20725</v>
      </c>
      <c r="D3736" s="109" t="s">
        <v>5979</v>
      </c>
      <c r="E3736" s="109"/>
      <c r="F3736" s="391" t="s">
        <v>20801</v>
      </c>
      <c r="G3736" s="23" t="s">
        <v>13565</v>
      </c>
      <c r="H3736" s="23"/>
      <c r="I3736" s="23"/>
      <c r="J3736" s="23"/>
      <c r="K3736" s="23"/>
      <c r="L3736" s="375" t="s">
        <v>7787</v>
      </c>
      <c r="M3736" s="351"/>
      <c r="N3736" s="267">
        <f t="shared" si="867"/>
        <v>0</v>
      </c>
      <c r="O3736" s="268">
        <f t="shared" si="868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9"/>
        <v>0</v>
      </c>
      <c r="AD3736" s="196">
        <f t="shared" si="870"/>
        <v>0</v>
      </c>
      <c r="AE3736" s="196">
        <f t="shared" si="871"/>
        <v>0</v>
      </c>
      <c r="AF3736" s="2">
        <f t="shared" si="872"/>
        <v>0</v>
      </c>
      <c r="AG3736" s="2">
        <f t="shared" si="873"/>
        <v>0</v>
      </c>
    </row>
    <row r="3737" spans="1:33">
      <c r="A3737" s="20" t="s">
        <v>21504</v>
      </c>
      <c r="B3737" s="152"/>
      <c r="C3737" s="21" t="s">
        <v>20725</v>
      </c>
      <c r="D3737" s="109" t="s">
        <v>5979</v>
      </c>
      <c r="E3737" s="109"/>
      <c r="F3737" s="391" t="s">
        <v>21214</v>
      </c>
      <c r="G3737" s="23" t="s">
        <v>13942</v>
      </c>
      <c r="H3737" s="23"/>
      <c r="I3737" s="23"/>
      <c r="J3737" s="23"/>
      <c r="K3737" s="23"/>
      <c r="L3737" s="375"/>
      <c r="M3737" s="351"/>
      <c r="N3737" s="267">
        <f t="shared" si="867"/>
        <v>0</v>
      </c>
      <c r="O3737" s="268">
        <f t="shared" si="868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9"/>
        <v>0</v>
      </c>
      <c r="AD3737" s="196">
        <f t="shared" si="870"/>
        <v>0</v>
      </c>
      <c r="AE3737" s="196">
        <f t="shared" si="871"/>
        <v>0</v>
      </c>
      <c r="AF3737" s="2">
        <f t="shared" si="872"/>
        <v>0</v>
      </c>
      <c r="AG3737" s="2">
        <f t="shared" si="873"/>
        <v>0</v>
      </c>
    </row>
    <row r="3738" spans="1:33">
      <c r="A3738" s="20" t="s">
        <v>21505</v>
      </c>
      <c r="B3738" s="152"/>
      <c r="C3738" s="21" t="s">
        <v>21073</v>
      </c>
      <c r="D3738" s="109" t="s">
        <v>5979</v>
      </c>
      <c r="E3738" s="109" t="s">
        <v>9189</v>
      </c>
      <c r="F3738" s="391" t="s">
        <v>20801</v>
      </c>
      <c r="G3738" s="23" t="s">
        <v>13565</v>
      </c>
      <c r="H3738" s="23"/>
      <c r="I3738" s="23"/>
      <c r="J3738" s="23"/>
      <c r="K3738" s="23"/>
      <c r="L3738" s="375" t="s">
        <v>7787</v>
      </c>
      <c r="M3738" s="351"/>
      <c r="N3738" s="267">
        <f t="shared" si="867"/>
        <v>0</v>
      </c>
      <c r="O3738" s="268">
        <f t="shared" si="868"/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9"/>
        <v>0</v>
      </c>
      <c r="AD3738" s="196">
        <f t="shared" si="870"/>
        <v>0</v>
      </c>
      <c r="AE3738" s="196">
        <f t="shared" si="871"/>
        <v>0</v>
      </c>
      <c r="AF3738" s="2">
        <f t="shared" si="872"/>
        <v>0</v>
      </c>
      <c r="AG3738" s="2">
        <f t="shared" si="873"/>
        <v>0</v>
      </c>
    </row>
    <row r="3739" spans="1:33">
      <c r="A3739" s="20" t="s">
        <v>21506</v>
      </c>
      <c r="B3739" s="152"/>
      <c r="C3739" s="21" t="s">
        <v>20726</v>
      </c>
      <c r="D3739" s="109" t="s">
        <v>20727</v>
      </c>
      <c r="E3739" s="109"/>
      <c r="F3739" s="391" t="s">
        <v>20728</v>
      </c>
      <c r="G3739" s="23" t="s">
        <v>6133</v>
      </c>
      <c r="H3739" s="23" t="s">
        <v>21880</v>
      </c>
      <c r="I3739" s="23" t="s">
        <v>22178</v>
      </c>
      <c r="J3739" s="23" t="s">
        <v>13942</v>
      </c>
      <c r="K3739" s="23"/>
      <c r="L3739" s="375" t="s">
        <v>45</v>
      </c>
      <c r="M3739" s="351" t="s">
        <v>45</v>
      </c>
      <c r="N3739" s="267">
        <f t="shared" si="867"/>
        <v>0</v>
      </c>
      <c r="O3739" s="268">
        <f t="shared" si="868"/>
        <v>0</v>
      </c>
      <c r="P3739" s="241"/>
      <c r="Q3739" s="241"/>
      <c r="R3739" s="241"/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/>
      <c r="AC3739" s="196">
        <f t="shared" si="869"/>
        <v>0</v>
      </c>
      <c r="AD3739" s="196">
        <f t="shared" si="870"/>
        <v>0</v>
      </c>
      <c r="AE3739" s="196">
        <f t="shared" si="871"/>
        <v>0</v>
      </c>
      <c r="AF3739" s="2">
        <f t="shared" si="872"/>
        <v>0</v>
      </c>
      <c r="AG3739" s="2">
        <f t="shared" si="873"/>
        <v>0</v>
      </c>
    </row>
    <row r="3740" spans="1:33">
      <c r="A3740" s="20" t="s">
        <v>25431</v>
      </c>
      <c r="B3740" s="152"/>
      <c r="C3740" s="21" t="s">
        <v>25301</v>
      </c>
      <c r="D3740" s="109" t="s">
        <v>24785</v>
      </c>
      <c r="E3740" s="109"/>
      <c r="F3740" s="391" t="s">
        <v>25302</v>
      </c>
      <c r="G3740" s="23" t="s">
        <v>10645</v>
      </c>
      <c r="H3740" s="23" t="s">
        <v>25303</v>
      </c>
      <c r="I3740" s="23" t="s">
        <v>25304</v>
      </c>
      <c r="J3740" s="23" t="s">
        <v>25220</v>
      </c>
      <c r="K3740" s="23"/>
      <c r="L3740" s="375"/>
      <c r="M3740" s="351"/>
      <c r="N3740" s="267">
        <f t="shared" ref="N3740" si="876">SUM(L3740:M3740)</f>
        <v>0</v>
      </c>
      <c r="O3740" s="268">
        <f t="shared" ref="O3740" si="877">SUM(P3740:Z3740)</f>
        <v>0</v>
      </c>
      <c r="P3740" s="241"/>
      <c r="Q3740" s="241"/>
      <c r="R3740" s="241"/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/>
      <c r="AC3740" s="196">
        <f t="shared" si="869"/>
        <v>0</v>
      </c>
      <c r="AD3740" s="196">
        <f t="shared" si="870"/>
        <v>0</v>
      </c>
      <c r="AE3740" s="196">
        <f t="shared" si="871"/>
        <v>0</v>
      </c>
      <c r="AF3740" s="2">
        <f t="shared" si="872"/>
        <v>0</v>
      </c>
      <c r="AG3740" s="2">
        <f t="shared" si="873"/>
        <v>0</v>
      </c>
    </row>
    <row r="3741" spans="1:33">
      <c r="A3741" s="20" t="s">
        <v>27131</v>
      </c>
      <c r="B3741" s="152"/>
      <c r="C3741" s="21" t="s">
        <v>25301</v>
      </c>
      <c r="D3741" s="109" t="s">
        <v>24785</v>
      </c>
      <c r="E3741" s="109" t="s">
        <v>27227</v>
      </c>
      <c r="F3741" s="391" t="s">
        <v>25302</v>
      </c>
      <c r="G3741" s="23" t="s">
        <v>10645</v>
      </c>
      <c r="H3741" s="23" t="s">
        <v>25303</v>
      </c>
      <c r="I3741" s="23" t="s">
        <v>25304</v>
      </c>
      <c r="J3741" s="23" t="s">
        <v>25220</v>
      </c>
      <c r="K3741" s="23"/>
      <c r="L3741" s="375"/>
      <c r="M3741" s="351"/>
      <c r="N3741" s="267">
        <f t="shared" ref="N3741" si="878">SUM(L3741:M3741)</f>
        <v>0</v>
      </c>
      <c r="O3741" s="268">
        <f t="shared" ref="O3741" si="879">SUM(P3741:Z3741)</f>
        <v>21550</v>
      </c>
      <c r="P3741" s="241"/>
      <c r="Q3741" s="241"/>
      <c r="R3741" s="241">
        <f>3600+7200-600-1000-1000-500-750-450-1000-1000-1500+9200-500-1050-1500-1000-1500-500-500-3000-500+7200-550-2000+7200-750+8400-2000-1000-3000-3000-1000+7200-750-1500-1000+7200-1000-2000-1500-1500-1500+7200-500-2500+3600+3850-3000-3000-1000-2000-1000-1000-1000-1000-1000-1500-50+7200-1500-2000+7200-750</f>
        <v>21550</v>
      </c>
      <c r="S3741" s="241"/>
      <c r="T3741" s="241"/>
      <c r="U3741" s="240"/>
      <c r="V3741" s="240"/>
      <c r="W3741" s="240"/>
      <c r="X3741" s="278"/>
      <c r="Y3741" s="237"/>
      <c r="Z3741" s="237"/>
      <c r="AA3741" s="420"/>
      <c r="AB3741" s="238" t="s">
        <v>27539</v>
      </c>
      <c r="AC3741" s="196">
        <f t="shared" ref="AC3741" si="880">SUM(P3741:AA3741)</f>
        <v>21550</v>
      </c>
      <c r="AD3741" s="196">
        <f t="shared" ref="AD3741" si="881">SUM(P3741:AB3741)</f>
        <v>21550</v>
      </c>
      <c r="AE3741" s="196">
        <f t="shared" ref="AE3741" si="882">SUM(AC3741-AD3741)</f>
        <v>0</v>
      </c>
      <c r="AF3741" s="2">
        <f t="shared" ref="AF3741" si="883">+AC3741</f>
        <v>21550</v>
      </c>
      <c r="AG3741" s="2">
        <f t="shared" ref="AG3741" si="884">+AC3741-AF3741</f>
        <v>0</v>
      </c>
    </row>
    <row r="3742" spans="1:33">
      <c r="A3742" s="20" t="s">
        <v>21507</v>
      </c>
      <c r="B3742" s="152"/>
      <c r="C3742" s="21" t="s">
        <v>20804</v>
      </c>
      <c r="D3742" s="109" t="s">
        <v>3099</v>
      </c>
      <c r="E3742" s="109"/>
      <c r="F3742" s="391" t="s">
        <v>20806</v>
      </c>
      <c r="G3742" s="23" t="s">
        <v>20805</v>
      </c>
      <c r="H3742" s="23"/>
      <c r="I3742" s="23"/>
      <c r="J3742" s="23"/>
      <c r="K3742" s="23"/>
      <c r="L3742" s="375" t="s">
        <v>7787</v>
      </c>
      <c r="M3742" s="351"/>
      <c r="N3742" s="267">
        <f t="shared" si="867"/>
        <v>0</v>
      </c>
      <c r="O3742" s="268">
        <f t="shared" si="868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37"/>
      <c r="Z3742" s="237"/>
      <c r="AA3742" s="420"/>
      <c r="AB3742" s="238"/>
      <c r="AC3742" s="196">
        <f t="shared" si="869"/>
        <v>0</v>
      </c>
      <c r="AD3742" s="196">
        <f t="shared" si="870"/>
        <v>0</v>
      </c>
      <c r="AE3742" s="196">
        <f t="shared" si="871"/>
        <v>0</v>
      </c>
      <c r="AF3742" s="2">
        <f t="shared" si="872"/>
        <v>0</v>
      </c>
      <c r="AG3742" s="2">
        <f t="shared" si="873"/>
        <v>0</v>
      </c>
    </row>
    <row r="3743" spans="1:33">
      <c r="A3743" s="20" t="s">
        <v>21508</v>
      </c>
      <c r="B3743" s="152"/>
      <c r="C3743" s="21" t="s">
        <v>20811</v>
      </c>
      <c r="D3743" s="109" t="s">
        <v>9855</v>
      </c>
      <c r="E3743" s="109" t="s">
        <v>21655</v>
      </c>
      <c r="F3743" s="391" t="s">
        <v>20814</v>
      </c>
      <c r="G3743" s="23" t="s">
        <v>6133</v>
      </c>
      <c r="H3743" s="23" t="s">
        <v>17522</v>
      </c>
      <c r="I3743" s="23"/>
      <c r="J3743" s="23"/>
      <c r="K3743" s="23"/>
      <c r="L3743" s="375" t="s">
        <v>45</v>
      </c>
      <c r="M3743" s="351" t="s">
        <v>7787</v>
      </c>
      <c r="N3743" s="267">
        <f t="shared" si="867"/>
        <v>0</v>
      </c>
      <c r="O3743" s="268">
        <f t="shared" si="868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9"/>
        <v>0</v>
      </c>
      <c r="AD3743" s="196">
        <f t="shared" si="870"/>
        <v>0</v>
      </c>
      <c r="AE3743" s="196">
        <f t="shared" si="871"/>
        <v>0</v>
      </c>
      <c r="AF3743" s="2">
        <f t="shared" si="872"/>
        <v>0</v>
      </c>
      <c r="AG3743" s="2">
        <f t="shared" si="873"/>
        <v>0</v>
      </c>
    </row>
    <row r="3744" spans="1:33">
      <c r="A3744" s="20" t="s">
        <v>21671</v>
      </c>
      <c r="B3744" s="152"/>
      <c r="C3744" s="21" t="s">
        <v>20811</v>
      </c>
      <c r="D3744" s="109" t="s">
        <v>9855</v>
      </c>
      <c r="E3744" s="109" t="s">
        <v>21899</v>
      </c>
      <c r="F3744" s="391" t="s">
        <v>20814</v>
      </c>
      <c r="G3744" s="23" t="s">
        <v>6133</v>
      </c>
      <c r="H3744" s="23" t="s">
        <v>21789</v>
      </c>
      <c r="I3744" s="23" t="s">
        <v>17522</v>
      </c>
      <c r="J3744" s="23"/>
      <c r="K3744" s="23"/>
      <c r="L3744" s="375" t="s">
        <v>7787</v>
      </c>
      <c r="M3744" s="351" t="s">
        <v>7787</v>
      </c>
      <c r="N3744" s="267">
        <f t="shared" si="867"/>
        <v>0</v>
      </c>
      <c r="O3744" s="268">
        <f t="shared" si="868"/>
        <v>0</v>
      </c>
      <c r="P3744" s="241"/>
      <c r="Q3744" s="241"/>
      <c r="R3744" s="241"/>
      <c r="S3744" s="241"/>
      <c r="T3744" s="241"/>
      <c r="U3744" s="240"/>
      <c r="V3744" s="240"/>
      <c r="W3744" s="240"/>
      <c r="X3744" s="278"/>
      <c r="Y3744" s="241"/>
      <c r="Z3744" s="237"/>
      <c r="AA3744" s="420"/>
      <c r="AB3744" s="238"/>
      <c r="AC3744" s="196">
        <f t="shared" si="869"/>
        <v>0</v>
      </c>
      <c r="AD3744" s="196">
        <f t="shared" si="870"/>
        <v>0</v>
      </c>
      <c r="AE3744" s="196">
        <f t="shared" si="871"/>
        <v>0</v>
      </c>
      <c r="AF3744" s="2">
        <f t="shared" si="872"/>
        <v>0</v>
      </c>
      <c r="AG3744" s="2">
        <f t="shared" si="873"/>
        <v>0</v>
      </c>
    </row>
    <row r="3745" spans="1:33">
      <c r="A3745" s="20" t="s">
        <v>21851</v>
      </c>
      <c r="B3745" s="152"/>
      <c r="C3745" s="21" t="s">
        <v>20811</v>
      </c>
      <c r="D3745" s="109" t="s">
        <v>9855</v>
      </c>
      <c r="E3745" s="109" t="s">
        <v>21898</v>
      </c>
      <c r="F3745" s="391" t="s">
        <v>20814</v>
      </c>
      <c r="G3745" s="23" t="s">
        <v>21910</v>
      </c>
      <c r="H3745" s="23"/>
      <c r="I3745" s="23"/>
      <c r="J3745" s="23"/>
      <c r="K3745" s="23"/>
      <c r="L3745" s="375" t="s">
        <v>7787</v>
      </c>
      <c r="M3745" s="351"/>
      <c r="N3745" s="267">
        <f t="shared" si="867"/>
        <v>0</v>
      </c>
      <c r="O3745" s="268">
        <f t="shared" si="868"/>
        <v>0</v>
      </c>
      <c r="P3745" s="241"/>
      <c r="Q3745" s="241"/>
      <c r="R3745" s="241"/>
      <c r="S3745" s="241"/>
      <c r="T3745" s="241"/>
      <c r="U3745" s="240"/>
      <c r="V3745" s="240"/>
      <c r="W3745" s="240"/>
      <c r="X3745" s="278"/>
      <c r="Y3745" s="241"/>
      <c r="Z3745" s="237"/>
      <c r="AA3745" s="420"/>
      <c r="AB3745" s="238"/>
      <c r="AC3745" s="196">
        <f t="shared" si="869"/>
        <v>0</v>
      </c>
      <c r="AD3745" s="196">
        <f t="shared" si="870"/>
        <v>0</v>
      </c>
      <c r="AE3745" s="196">
        <f t="shared" si="871"/>
        <v>0</v>
      </c>
      <c r="AF3745" s="2">
        <f t="shared" si="872"/>
        <v>0</v>
      </c>
      <c r="AG3745" s="2">
        <f t="shared" si="873"/>
        <v>0</v>
      </c>
    </row>
    <row r="3746" spans="1:33">
      <c r="A3746" s="20" t="s">
        <v>21509</v>
      </c>
      <c r="B3746" s="152"/>
      <c r="C3746" s="21" t="s">
        <v>20812</v>
      </c>
      <c r="D3746" s="109" t="s">
        <v>9855</v>
      </c>
      <c r="E3746" s="109" t="s">
        <v>20813</v>
      </c>
      <c r="F3746" s="391" t="s">
        <v>20815</v>
      </c>
      <c r="G3746" s="23" t="s">
        <v>6133</v>
      </c>
      <c r="H3746" s="23" t="s">
        <v>22732</v>
      </c>
      <c r="I3746" s="23"/>
      <c r="J3746" s="23"/>
      <c r="K3746" s="23"/>
      <c r="L3746" s="375" t="s">
        <v>45</v>
      </c>
      <c r="M3746" s="351" t="s">
        <v>45</v>
      </c>
      <c r="N3746" s="267">
        <f t="shared" si="867"/>
        <v>0</v>
      </c>
      <c r="O3746" s="268">
        <f t="shared" si="868"/>
        <v>3400</v>
      </c>
      <c r="P3746" s="241"/>
      <c r="Q3746" s="241"/>
      <c r="R3746" s="241">
        <f>550-500+1050+800+1500</f>
        <v>3400</v>
      </c>
      <c r="S3746" s="241"/>
      <c r="T3746" s="241"/>
      <c r="U3746" s="240"/>
      <c r="V3746" s="240"/>
      <c r="W3746" s="240"/>
      <c r="X3746" s="278"/>
      <c r="Y3746" s="237"/>
      <c r="Z3746" s="237"/>
      <c r="AA3746" s="420"/>
      <c r="AB3746" s="238" t="s">
        <v>25793</v>
      </c>
      <c r="AC3746" s="196">
        <f t="shared" si="869"/>
        <v>3400</v>
      </c>
      <c r="AD3746" s="196">
        <f t="shared" si="870"/>
        <v>3400</v>
      </c>
      <c r="AE3746" s="196">
        <f t="shared" si="871"/>
        <v>0</v>
      </c>
      <c r="AF3746" s="2">
        <f t="shared" si="872"/>
        <v>3400</v>
      </c>
      <c r="AG3746" s="2">
        <f t="shared" si="873"/>
        <v>0</v>
      </c>
    </row>
    <row r="3747" spans="1:33">
      <c r="A3747" s="20" t="s">
        <v>27087</v>
      </c>
      <c r="B3747" s="152"/>
      <c r="C3747" s="21" t="s">
        <v>26990</v>
      </c>
      <c r="D3747" s="109" t="s">
        <v>24785</v>
      </c>
      <c r="E3747" s="109"/>
      <c r="F3747" s="391" t="s">
        <v>26991</v>
      </c>
      <c r="G3747" s="23" t="s">
        <v>13888</v>
      </c>
      <c r="H3747" s="23"/>
      <c r="I3747" s="23"/>
      <c r="J3747" s="23"/>
      <c r="K3747" s="23"/>
      <c r="L3747" s="375" t="s">
        <v>7787</v>
      </c>
      <c r="M3747" s="351" t="s">
        <v>7787</v>
      </c>
      <c r="N3747" s="267">
        <f t="shared" ref="N3747" si="885">SUM(L3747:M3747)</f>
        <v>0</v>
      </c>
      <c r="O3747" s="268">
        <f t="shared" ref="O3747" si="886">SUM(P3747:Z3747)</f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3"/>
      <c r="Z3747" s="237"/>
      <c r="AA3747" s="420"/>
      <c r="AB3747" s="238"/>
      <c r="AC3747" s="196">
        <f t="shared" ref="AC3747" si="887">SUM(P3747:AA3747)</f>
        <v>0</v>
      </c>
      <c r="AD3747" s="196">
        <f t="shared" ref="AD3747" si="888">SUM(P3747:AB3747)</f>
        <v>0</v>
      </c>
      <c r="AE3747" s="196">
        <f t="shared" ref="AE3747" si="889">SUM(AC3747-AD3747)</f>
        <v>0</v>
      </c>
      <c r="AF3747" s="2">
        <f t="shared" ref="AF3747" si="890">+AC3747</f>
        <v>0</v>
      </c>
      <c r="AG3747" s="2">
        <f t="shared" ref="AG3747" si="891">+AC3747-AF3747</f>
        <v>0</v>
      </c>
    </row>
    <row r="3748" spans="1:33">
      <c r="A3748" s="20" t="s">
        <v>21510</v>
      </c>
      <c r="B3748" s="152"/>
      <c r="C3748" s="21" t="s">
        <v>20878</v>
      </c>
      <c r="D3748" s="109" t="s">
        <v>9855</v>
      </c>
      <c r="E3748" s="109"/>
      <c r="F3748" s="391" t="s">
        <v>20883</v>
      </c>
      <c r="G3748" s="23" t="s">
        <v>14782</v>
      </c>
      <c r="H3748" s="23" t="s">
        <v>20942</v>
      </c>
      <c r="I3748" s="23" t="s">
        <v>13214</v>
      </c>
      <c r="J3748" s="23"/>
      <c r="K3748" s="23"/>
      <c r="L3748" s="375"/>
      <c r="M3748" s="351" t="s">
        <v>7787</v>
      </c>
      <c r="N3748" s="267">
        <f t="shared" ref="N3748:N3818" si="892">SUM(L3748:M3748)</f>
        <v>0</v>
      </c>
      <c r="O3748" s="268">
        <f t="shared" ref="O3748:O3818" si="893">SUM(P3748:Z3748)</f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41"/>
      <c r="Z3748" s="237"/>
      <c r="AA3748" s="420"/>
      <c r="AB3748" s="238"/>
      <c r="AC3748" s="196">
        <f t="shared" si="869"/>
        <v>0</v>
      </c>
      <c r="AD3748" s="196">
        <f t="shared" si="870"/>
        <v>0</v>
      </c>
      <c r="AE3748" s="196">
        <f t="shared" si="871"/>
        <v>0</v>
      </c>
      <c r="AF3748" s="2">
        <f t="shared" si="872"/>
        <v>0</v>
      </c>
      <c r="AG3748" s="2">
        <f t="shared" si="873"/>
        <v>0</v>
      </c>
    </row>
    <row r="3749" spans="1:33">
      <c r="A3749" s="20" t="s">
        <v>22100</v>
      </c>
      <c r="B3749" s="152"/>
      <c r="C3749" s="21" t="s">
        <v>22153</v>
      </c>
      <c r="D3749" s="109" t="s">
        <v>5979</v>
      </c>
      <c r="E3749" s="109"/>
      <c r="F3749" s="391" t="s">
        <v>22156</v>
      </c>
      <c r="G3749" s="23" t="s">
        <v>22154</v>
      </c>
      <c r="H3749" s="23"/>
      <c r="I3749" s="23"/>
      <c r="J3749" s="23"/>
      <c r="K3749" s="23"/>
      <c r="L3749" s="375" t="s">
        <v>7787</v>
      </c>
      <c r="M3749" s="351"/>
      <c r="N3749" s="267">
        <f t="shared" si="892"/>
        <v>0</v>
      </c>
      <c r="O3749" s="268">
        <f t="shared" si="893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41"/>
      <c r="Z3749" s="237"/>
      <c r="AA3749" s="420"/>
      <c r="AB3749" s="238"/>
      <c r="AC3749" s="196">
        <f t="shared" si="869"/>
        <v>0</v>
      </c>
      <c r="AD3749" s="196">
        <f t="shared" si="870"/>
        <v>0</v>
      </c>
      <c r="AE3749" s="196">
        <f t="shared" si="871"/>
        <v>0</v>
      </c>
      <c r="AF3749" s="2">
        <f t="shared" si="872"/>
        <v>0</v>
      </c>
      <c r="AG3749" s="2">
        <f t="shared" si="873"/>
        <v>0</v>
      </c>
    </row>
    <row r="3750" spans="1:33">
      <c r="A3750" s="20" t="s">
        <v>21511</v>
      </c>
      <c r="B3750" s="152"/>
      <c r="C3750" s="21" t="s">
        <v>20931</v>
      </c>
      <c r="D3750" s="109" t="s">
        <v>20932</v>
      </c>
      <c r="E3750" s="109"/>
      <c r="F3750" s="391" t="s">
        <v>20968</v>
      </c>
      <c r="G3750" s="23" t="s">
        <v>20012</v>
      </c>
      <c r="H3750" s="23"/>
      <c r="I3750" s="23"/>
      <c r="J3750" s="23"/>
      <c r="K3750" s="23"/>
      <c r="L3750" s="375"/>
      <c r="M3750" s="351" t="s">
        <v>7787</v>
      </c>
      <c r="N3750" s="267">
        <f t="shared" si="892"/>
        <v>0</v>
      </c>
      <c r="O3750" s="268">
        <f t="shared" si="893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9"/>
        <v>0</v>
      </c>
      <c r="AD3750" s="196">
        <f t="shared" si="870"/>
        <v>0</v>
      </c>
      <c r="AE3750" s="196">
        <f t="shared" si="871"/>
        <v>0</v>
      </c>
      <c r="AF3750" s="2">
        <f t="shared" si="872"/>
        <v>0</v>
      </c>
      <c r="AG3750" s="2">
        <f t="shared" si="873"/>
        <v>0</v>
      </c>
    </row>
    <row r="3751" spans="1:33">
      <c r="A3751" s="20" t="s">
        <v>21511</v>
      </c>
      <c r="B3751" s="152"/>
      <c r="C3751" s="21" t="s">
        <v>21637</v>
      </c>
      <c r="D3751" s="109" t="s">
        <v>6433</v>
      </c>
      <c r="E3751" s="109"/>
      <c r="F3751" s="391" t="s">
        <v>20968</v>
      </c>
      <c r="G3751" s="23" t="s">
        <v>20012</v>
      </c>
      <c r="H3751" s="23"/>
      <c r="I3751" s="23"/>
      <c r="J3751" s="23"/>
      <c r="K3751" s="23"/>
      <c r="L3751" s="375"/>
      <c r="M3751" s="351" t="s">
        <v>7787</v>
      </c>
      <c r="N3751" s="267">
        <f t="shared" si="892"/>
        <v>0</v>
      </c>
      <c r="O3751" s="268">
        <f t="shared" si="893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9"/>
        <v>0</v>
      </c>
      <c r="AD3751" s="196">
        <f t="shared" si="870"/>
        <v>0</v>
      </c>
      <c r="AE3751" s="196">
        <f t="shared" si="871"/>
        <v>0</v>
      </c>
      <c r="AF3751" s="2">
        <f t="shared" si="872"/>
        <v>0</v>
      </c>
      <c r="AG3751" s="2">
        <f t="shared" si="873"/>
        <v>0</v>
      </c>
    </row>
    <row r="3752" spans="1:33">
      <c r="A3752" s="20" t="s">
        <v>21512</v>
      </c>
      <c r="B3752" s="152"/>
      <c r="C3752" s="21" t="s">
        <v>20837</v>
      </c>
      <c r="D3752" s="109" t="s">
        <v>9855</v>
      </c>
      <c r="E3752" s="109"/>
      <c r="F3752" s="391" t="s">
        <v>20839</v>
      </c>
      <c r="G3752" s="23" t="s">
        <v>17522</v>
      </c>
      <c r="H3752" s="23"/>
      <c r="I3752" s="23"/>
      <c r="J3752" s="23"/>
      <c r="K3752" s="23"/>
      <c r="L3752" s="375" t="s">
        <v>7787</v>
      </c>
      <c r="M3752" s="351"/>
      <c r="N3752" s="267">
        <f t="shared" si="892"/>
        <v>0</v>
      </c>
      <c r="O3752" s="268">
        <f t="shared" si="893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37"/>
      <c r="Z3752" s="237"/>
      <c r="AA3752" s="420"/>
      <c r="AB3752" s="238"/>
      <c r="AC3752" s="196">
        <f t="shared" si="869"/>
        <v>0</v>
      </c>
      <c r="AD3752" s="196">
        <f t="shared" si="870"/>
        <v>0</v>
      </c>
      <c r="AE3752" s="196">
        <f t="shared" si="871"/>
        <v>0</v>
      </c>
      <c r="AF3752" s="2">
        <f t="shared" si="872"/>
        <v>0</v>
      </c>
      <c r="AG3752" s="2">
        <f t="shared" si="873"/>
        <v>0</v>
      </c>
    </row>
    <row r="3753" spans="1:33">
      <c r="A3753" s="20" t="s">
        <v>21513</v>
      </c>
      <c r="B3753" s="152"/>
      <c r="C3753" s="21" t="s">
        <v>20972</v>
      </c>
      <c r="D3753" s="109" t="s">
        <v>9855</v>
      </c>
      <c r="E3753" s="109"/>
      <c r="F3753" s="391" t="s">
        <v>20973</v>
      </c>
      <c r="G3753" s="23" t="s">
        <v>6133</v>
      </c>
      <c r="H3753" s="23" t="s">
        <v>13370</v>
      </c>
      <c r="I3753" s="23"/>
      <c r="J3753" s="23"/>
      <c r="K3753" s="23"/>
      <c r="L3753" s="375" t="s">
        <v>7787</v>
      </c>
      <c r="M3753" s="351" t="s">
        <v>7787</v>
      </c>
      <c r="N3753" s="267">
        <f t="shared" si="892"/>
        <v>0</v>
      </c>
      <c r="O3753" s="268">
        <f t="shared" si="893"/>
        <v>0</v>
      </c>
      <c r="P3753" s="241"/>
      <c r="Q3753" s="241"/>
      <c r="R3753" s="241"/>
      <c r="S3753" s="241"/>
      <c r="T3753" s="241"/>
      <c r="U3753" s="240"/>
      <c r="V3753" s="240"/>
      <c r="W3753" s="240"/>
      <c r="X3753" s="278"/>
      <c r="Y3753" s="237"/>
      <c r="Z3753" s="237"/>
      <c r="AA3753" s="420"/>
      <c r="AB3753" s="238"/>
      <c r="AC3753" s="196">
        <f t="shared" si="869"/>
        <v>0</v>
      </c>
      <c r="AD3753" s="196">
        <f t="shared" si="870"/>
        <v>0</v>
      </c>
      <c r="AE3753" s="196">
        <f t="shared" si="871"/>
        <v>0</v>
      </c>
      <c r="AF3753" s="2">
        <f t="shared" si="872"/>
        <v>0</v>
      </c>
      <c r="AG3753" s="2">
        <f t="shared" si="873"/>
        <v>0</v>
      </c>
    </row>
    <row r="3754" spans="1:33">
      <c r="A3754" s="20" t="s">
        <v>21514</v>
      </c>
      <c r="B3754" s="152"/>
      <c r="C3754" s="21" t="s">
        <v>20959</v>
      </c>
      <c r="D3754" s="109" t="s">
        <v>20960</v>
      </c>
      <c r="E3754" s="109"/>
      <c r="F3754" s="391" t="s">
        <v>20967</v>
      </c>
      <c r="G3754" s="23" t="s">
        <v>13240</v>
      </c>
      <c r="H3754" s="23" t="s">
        <v>21038</v>
      </c>
      <c r="I3754" s="23" t="s">
        <v>24611</v>
      </c>
      <c r="J3754" s="23"/>
      <c r="K3754" s="23"/>
      <c r="L3754" s="375" t="s">
        <v>27757</v>
      </c>
      <c r="M3754" s="351" t="s">
        <v>45</v>
      </c>
      <c r="N3754" s="267">
        <f t="shared" si="892"/>
        <v>0</v>
      </c>
      <c r="O3754" s="268">
        <f t="shared" si="893"/>
        <v>0</v>
      </c>
      <c r="P3754" s="241"/>
      <c r="Q3754" s="241"/>
      <c r="R3754" s="241"/>
      <c r="S3754" s="241"/>
      <c r="T3754" s="241"/>
      <c r="U3754" s="240"/>
      <c r="V3754" s="240"/>
      <c r="W3754" s="240"/>
      <c r="X3754" s="278"/>
      <c r="Y3754" s="240"/>
      <c r="Z3754" s="237"/>
      <c r="AA3754" s="420"/>
      <c r="AB3754" s="238"/>
      <c r="AC3754" s="196">
        <f t="shared" si="869"/>
        <v>0</v>
      </c>
      <c r="AD3754" s="196">
        <f t="shared" si="870"/>
        <v>0</v>
      </c>
      <c r="AE3754" s="196">
        <f t="shared" si="871"/>
        <v>0</v>
      </c>
      <c r="AF3754" s="2">
        <f t="shared" si="872"/>
        <v>0</v>
      </c>
      <c r="AG3754" s="2">
        <f t="shared" si="873"/>
        <v>0</v>
      </c>
    </row>
    <row r="3755" spans="1:33">
      <c r="A3755" s="20" t="s">
        <v>22104</v>
      </c>
      <c r="B3755" s="152"/>
      <c r="C3755" s="21" t="s">
        <v>20959</v>
      </c>
      <c r="D3755" s="109" t="s">
        <v>20960</v>
      </c>
      <c r="E3755" s="109" t="s">
        <v>22182</v>
      </c>
      <c r="F3755" s="391" t="s">
        <v>20967</v>
      </c>
      <c r="G3755" s="23" t="s">
        <v>13240</v>
      </c>
      <c r="H3755" s="23" t="s">
        <v>15071</v>
      </c>
      <c r="I3755" s="23" t="s">
        <v>24611</v>
      </c>
      <c r="J3755" s="23"/>
      <c r="K3755" s="23"/>
      <c r="L3755" s="375" t="s">
        <v>45</v>
      </c>
      <c r="M3755" s="351" t="s">
        <v>7787</v>
      </c>
      <c r="N3755" s="267">
        <f t="shared" si="892"/>
        <v>0</v>
      </c>
      <c r="O3755" s="268">
        <f t="shared" si="893"/>
        <v>8600</v>
      </c>
      <c r="P3755" s="241"/>
      <c r="Q3755" s="241"/>
      <c r="R3755" s="241"/>
      <c r="S3755" s="241"/>
      <c r="T3755" s="241"/>
      <c r="U3755" s="240">
        <f>2600+2600-800-2700+2800-2700+3200+2500+2000-7500-600+3000+3000+2200+3100+3600+3000+3000+3200+2600+3200+3000+2300-100-4800-5400-5400-4800-2700-4800</f>
        <v>8600</v>
      </c>
      <c r="V3755" s="240"/>
      <c r="W3755" s="240"/>
      <c r="X3755" s="278"/>
      <c r="Y3755" s="240"/>
      <c r="Z3755" s="237"/>
      <c r="AA3755" s="420"/>
      <c r="AB3755" s="238" t="s">
        <v>27859</v>
      </c>
      <c r="AC3755" s="196">
        <f t="shared" si="869"/>
        <v>8600</v>
      </c>
      <c r="AD3755" s="196">
        <f t="shared" si="870"/>
        <v>8600</v>
      </c>
      <c r="AE3755" s="196">
        <f t="shared" si="871"/>
        <v>0</v>
      </c>
      <c r="AF3755" s="2">
        <f t="shared" si="872"/>
        <v>8600</v>
      </c>
      <c r="AG3755" s="2">
        <f t="shared" si="873"/>
        <v>0</v>
      </c>
    </row>
    <row r="3756" spans="1:33">
      <c r="A3756" s="20" t="s">
        <v>21515</v>
      </c>
      <c r="B3756" s="152"/>
      <c r="C3756" s="21" t="s">
        <v>22374</v>
      </c>
      <c r="D3756" s="109" t="s">
        <v>20819</v>
      </c>
      <c r="E3756" s="109" t="s">
        <v>20835</v>
      </c>
      <c r="F3756" s="391" t="s">
        <v>20691</v>
      </c>
      <c r="G3756" s="23" t="s">
        <v>20820</v>
      </c>
      <c r="H3756" s="23" t="s">
        <v>6133</v>
      </c>
      <c r="I3756" s="23"/>
      <c r="J3756" s="23"/>
      <c r="K3756" s="23"/>
      <c r="L3756" s="375"/>
      <c r="M3756" s="351" t="s">
        <v>7787</v>
      </c>
      <c r="N3756" s="267">
        <f t="shared" si="892"/>
        <v>0</v>
      </c>
      <c r="O3756" s="268">
        <f t="shared" si="893"/>
        <v>0</v>
      </c>
      <c r="P3756" s="241"/>
      <c r="Q3756" s="241"/>
      <c r="R3756" s="241"/>
      <c r="S3756" s="241"/>
      <c r="T3756" s="241"/>
      <c r="U3756" s="240"/>
      <c r="V3756" s="240"/>
      <c r="W3756" s="240"/>
      <c r="X3756" s="278"/>
      <c r="Y3756" s="237"/>
      <c r="Z3756" s="237"/>
      <c r="AA3756" s="420"/>
      <c r="AB3756" s="238"/>
      <c r="AC3756" s="196">
        <f t="shared" si="869"/>
        <v>0</v>
      </c>
      <c r="AD3756" s="196">
        <f t="shared" si="870"/>
        <v>0</v>
      </c>
      <c r="AE3756" s="196">
        <f t="shared" si="871"/>
        <v>0</v>
      </c>
      <c r="AF3756" s="2">
        <f t="shared" si="872"/>
        <v>0</v>
      </c>
      <c r="AG3756" s="2">
        <f t="shared" si="873"/>
        <v>0</v>
      </c>
    </row>
    <row r="3757" spans="1:33">
      <c r="A3757" s="20" t="s">
        <v>22568</v>
      </c>
      <c r="B3757" s="152"/>
      <c r="C3757" s="21" t="s">
        <v>22622</v>
      </c>
      <c r="D3757" s="109" t="s">
        <v>5979</v>
      </c>
      <c r="E3757" s="109" t="s">
        <v>19998</v>
      </c>
      <c r="F3757" s="391" t="s">
        <v>20691</v>
      </c>
      <c r="G3757" s="23" t="s">
        <v>15443</v>
      </c>
      <c r="H3757" s="23" t="s">
        <v>6133</v>
      </c>
      <c r="I3757" s="23"/>
      <c r="J3757" s="23"/>
      <c r="K3757" s="23"/>
      <c r="L3757" s="375" t="s">
        <v>7787</v>
      </c>
      <c r="M3757" s="351" t="s">
        <v>7787</v>
      </c>
      <c r="N3757" s="267">
        <f t="shared" si="892"/>
        <v>0</v>
      </c>
      <c r="O3757" s="268">
        <f t="shared" si="893"/>
        <v>0</v>
      </c>
      <c r="P3757" s="241"/>
      <c r="Q3757" s="241"/>
      <c r="R3757" s="241"/>
      <c r="S3757" s="241"/>
      <c r="T3757" s="241"/>
      <c r="U3757" s="240"/>
      <c r="V3757" s="240"/>
      <c r="W3757" s="240"/>
      <c r="X3757" s="278"/>
      <c r="Y3757" s="237"/>
      <c r="Z3757" s="237"/>
      <c r="AA3757" s="420"/>
      <c r="AB3757" s="238"/>
      <c r="AC3757" s="196">
        <f t="shared" si="869"/>
        <v>0</v>
      </c>
      <c r="AD3757" s="196">
        <f t="shared" si="870"/>
        <v>0</v>
      </c>
      <c r="AE3757" s="196">
        <f t="shared" si="871"/>
        <v>0</v>
      </c>
      <c r="AF3757" s="2">
        <f t="shared" si="872"/>
        <v>0</v>
      </c>
      <c r="AG3757" s="2">
        <f t="shared" si="873"/>
        <v>0</v>
      </c>
    </row>
    <row r="3758" spans="1:33">
      <c r="A3758" s="20" t="s">
        <v>21569</v>
      </c>
      <c r="B3758" s="152"/>
      <c r="C3758" s="21" t="s">
        <v>21623</v>
      </c>
      <c r="D3758" s="109" t="s">
        <v>5979</v>
      </c>
      <c r="E3758" s="109"/>
      <c r="F3758" s="391" t="s">
        <v>21638</v>
      </c>
      <c r="G3758" s="23" t="s">
        <v>21624</v>
      </c>
      <c r="H3758" s="23"/>
      <c r="I3758" s="23"/>
      <c r="J3758" s="23"/>
      <c r="K3758" s="23"/>
      <c r="L3758" s="375">
        <v>3430</v>
      </c>
      <c r="M3758" s="351" t="s">
        <v>27480</v>
      </c>
      <c r="N3758" s="267">
        <f t="shared" si="892"/>
        <v>3430</v>
      </c>
      <c r="O3758" s="268">
        <f t="shared" si="893"/>
        <v>9100</v>
      </c>
      <c r="P3758" s="241"/>
      <c r="Q3758" s="241"/>
      <c r="R3758" s="241"/>
      <c r="S3758" s="241"/>
      <c r="T3758" s="241"/>
      <c r="U3758" s="240"/>
      <c r="V3758" s="240">
        <f>4000-3600+4000+2700+800+2400-3600-3600+1400-4100+3500-3600+600+1600+2100-3600+4200+2800+5900+2100-3600-3600-3600-3600+4300-3600+6800</f>
        <v>9100</v>
      </c>
      <c r="W3758" s="240"/>
      <c r="X3758" s="278"/>
      <c r="Y3758" s="237"/>
      <c r="Z3758" s="237"/>
      <c r="AA3758" s="420"/>
      <c r="AB3758" s="238" t="s">
        <v>28029</v>
      </c>
      <c r="AC3758" s="196">
        <f t="shared" si="869"/>
        <v>9100</v>
      </c>
      <c r="AD3758" s="196">
        <f t="shared" si="870"/>
        <v>9100</v>
      </c>
      <c r="AE3758" s="196">
        <f t="shared" si="871"/>
        <v>0</v>
      </c>
      <c r="AF3758" s="2">
        <f t="shared" si="872"/>
        <v>9100</v>
      </c>
      <c r="AG3758" s="2">
        <f t="shared" si="873"/>
        <v>0</v>
      </c>
    </row>
    <row r="3759" spans="1:33">
      <c r="A3759" s="20" t="s">
        <v>21516</v>
      </c>
      <c r="B3759" s="152"/>
      <c r="C3759" s="21" t="s">
        <v>20933</v>
      </c>
      <c r="D3759" s="109" t="s">
        <v>20932</v>
      </c>
      <c r="E3759" s="109" t="s">
        <v>26645</v>
      </c>
      <c r="F3759" s="391" t="s">
        <v>20943</v>
      </c>
      <c r="G3759" s="23" t="s">
        <v>20012</v>
      </c>
      <c r="H3759" s="23" t="s">
        <v>23666</v>
      </c>
      <c r="I3759" s="23"/>
      <c r="J3759" s="23"/>
      <c r="K3759" s="23"/>
      <c r="L3759" s="375" t="s">
        <v>7787</v>
      </c>
      <c r="M3759" s="351" t="s">
        <v>7787</v>
      </c>
      <c r="N3759" s="267">
        <f t="shared" si="892"/>
        <v>0</v>
      </c>
      <c r="O3759" s="268">
        <f t="shared" si="893"/>
        <v>2500</v>
      </c>
      <c r="P3759" s="241"/>
      <c r="Q3759" s="241"/>
      <c r="R3759" s="241"/>
      <c r="S3759" s="241"/>
      <c r="T3759" s="241">
        <f>2700+8100+6100+5400-200-1000-2000-5000-100-6500-7000+2700+5800-6500</f>
        <v>2500</v>
      </c>
      <c r="U3759" s="240"/>
      <c r="V3759" s="240"/>
      <c r="W3759" s="240"/>
      <c r="X3759" s="278"/>
      <c r="Y3759" s="237"/>
      <c r="Z3759" s="237"/>
      <c r="AA3759" s="420"/>
      <c r="AB3759" s="238" t="s">
        <v>27610</v>
      </c>
      <c r="AC3759" s="196">
        <f t="shared" si="869"/>
        <v>2500</v>
      </c>
      <c r="AD3759" s="196">
        <f t="shared" si="870"/>
        <v>2500</v>
      </c>
      <c r="AE3759" s="196">
        <f t="shared" si="871"/>
        <v>0</v>
      </c>
      <c r="AF3759" s="2">
        <f t="shared" si="872"/>
        <v>2500</v>
      </c>
      <c r="AG3759" s="2">
        <f t="shared" si="873"/>
        <v>0</v>
      </c>
    </row>
    <row r="3760" spans="1:33">
      <c r="A3760" s="20" t="s">
        <v>21517</v>
      </c>
      <c r="B3760" s="152"/>
      <c r="C3760" s="21" t="s">
        <v>20976</v>
      </c>
      <c r="D3760" s="109" t="s">
        <v>9855</v>
      </c>
      <c r="E3760" s="109"/>
      <c r="F3760" s="391" t="s">
        <v>20982</v>
      </c>
      <c r="G3760" s="23" t="s">
        <v>14782</v>
      </c>
      <c r="H3760" s="23" t="s">
        <v>14533</v>
      </c>
      <c r="I3760" s="23" t="s">
        <v>25977</v>
      </c>
      <c r="J3760" s="23" t="s">
        <v>13888</v>
      </c>
      <c r="K3760" s="23" t="s">
        <v>23334</v>
      </c>
      <c r="L3760" s="375" t="s">
        <v>27757</v>
      </c>
      <c r="M3760" s="351" t="s">
        <v>45</v>
      </c>
      <c r="N3760" s="267">
        <f t="shared" si="892"/>
        <v>0</v>
      </c>
      <c r="O3760" s="268">
        <f t="shared" si="893"/>
        <v>3450</v>
      </c>
      <c r="P3760" s="239"/>
      <c r="Q3760" s="240">
        <f>3300+3450-600-50-500-300-450-150-100+1200-600-300-50+350+1100+1450+650+400-50-250-100-50-250-250-6850</f>
        <v>1000</v>
      </c>
      <c r="R3760" s="239"/>
      <c r="S3760" s="239"/>
      <c r="T3760" s="239"/>
      <c r="U3760" s="241">
        <f>2150-1000+1300</f>
        <v>2450</v>
      </c>
      <c r="V3760" s="240"/>
      <c r="X3760" s="278"/>
      <c r="Y3760" s="239"/>
      <c r="Z3760" s="237"/>
      <c r="AA3760" s="240"/>
      <c r="AB3760" s="238" t="s">
        <v>27750</v>
      </c>
      <c r="AC3760" s="196">
        <f t="shared" si="869"/>
        <v>3450</v>
      </c>
      <c r="AD3760" s="196">
        <f t="shared" si="870"/>
        <v>3450</v>
      </c>
      <c r="AE3760" s="196">
        <f t="shared" si="871"/>
        <v>0</v>
      </c>
      <c r="AF3760" s="2">
        <f t="shared" si="872"/>
        <v>3450</v>
      </c>
      <c r="AG3760" s="2">
        <f t="shared" si="873"/>
        <v>0</v>
      </c>
    </row>
    <row r="3761" spans="1:33">
      <c r="A3761" s="20" t="s">
        <v>27088</v>
      </c>
      <c r="B3761" s="152"/>
      <c r="C3761" s="21" t="s">
        <v>26038</v>
      </c>
      <c r="D3761" s="109" t="s">
        <v>24785</v>
      </c>
      <c r="E3761" s="109"/>
      <c r="F3761" s="391" t="s">
        <v>26039</v>
      </c>
      <c r="G3761" s="23" t="s">
        <v>26040</v>
      </c>
      <c r="H3761" s="23"/>
      <c r="I3761" s="23"/>
      <c r="J3761" s="23"/>
      <c r="K3761" s="23"/>
      <c r="L3761" s="375" t="s">
        <v>45</v>
      </c>
      <c r="M3761" s="351" t="s">
        <v>45</v>
      </c>
      <c r="N3761" s="267">
        <f t="shared" ref="N3761" si="894">SUM(L3761:M3761)</f>
        <v>0</v>
      </c>
      <c r="O3761" s="268">
        <f t="shared" ref="O3761" si="895">SUM(P3761:Z3761)</f>
        <v>0</v>
      </c>
      <c r="P3761" s="239"/>
      <c r="Q3761" s="244"/>
      <c r="R3761" s="239"/>
      <c r="S3761" s="239"/>
      <c r="T3761" s="239"/>
      <c r="U3761" s="241"/>
      <c r="V3761" s="240"/>
      <c r="W3761" s="447"/>
      <c r="X3761" s="278"/>
      <c r="Y3761" s="239"/>
      <c r="Z3761" s="237"/>
      <c r="AA3761" s="240"/>
      <c r="AB3761" s="238"/>
      <c r="AC3761" s="196">
        <f t="shared" ref="AC3761:AC3824" si="896">SUM(P3761:AA3761)</f>
        <v>0</v>
      </c>
      <c r="AD3761" s="196">
        <f t="shared" ref="AD3761:AD3824" si="897">SUM(P3761:AB3761)</f>
        <v>0</v>
      </c>
      <c r="AE3761" s="196">
        <f t="shared" ref="AE3761:AE3824" si="898">SUM(AC3761-AD3761)</f>
        <v>0</v>
      </c>
      <c r="AF3761" s="2">
        <f t="shared" ref="AF3761:AF3824" si="899">+AC3761</f>
        <v>0</v>
      </c>
      <c r="AG3761" s="2">
        <f t="shared" ref="AG3761:AG3824" si="900">+AC3761-AF3761</f>
        <v>0</v>
      </c>
    </row>
    <row r="3762" spans="1:33">
      <c r="A3762" s="20" t="s">
        <v>22084</v>
      </c>
      <c r="B3762" s="152"/>
      <c r="C3762" s="21" t="s">
        <v>20976</v>
      </c>
      <c r="D3762" s="109" t="s">
        <v>9855</v>
      </c>
      <c r="E3762" s="109" t="s">
        <v>24494</v>
      </c>
      <c r="F3762" s="391" t="s">
        <v>20982</v>
      </c>
      <c r="G3762" s="23" t="s">
        <v>14782</v>
      </c>
      <c r="H3762" s="23" t="s">
        <v>14533</v>
      </c>
      <c r="I3762" s="23" t="s">
        <v>15190</v>
      </c>
      <c r="J3762" s="23" t="s">
        <v>13888</v>
      </c>
      <c r="K3762" s="23" t="s">
        <v>23334</v>
      </c>
      <c r="L3762" s="375"/>
      <c r="M3762" s="351" t="s">
        <v>7787</v>
      </c>
      <c r="N3762" s="267">
        <f t="shared" si="892"/>
        <v>0</v>
      </c>
      <c r="O3762" s="268">
        <f t="shared" si="893"/>
        <v>0</v>
      </c>
      <c r="P3762" s="241"/>
      <c r="Q3762" s="241"/>
      <c r="R3762" s="239"/>
      <c r="S3762" s="239"/>
      <c r="T3762" s="239"/>
      <c r="U3762" s="239"/>
      <c r="V3762" s="240"/>
      <c r="W3762" s="240"/>
      <c r="X3762" s="278"/>
      <c r="Y3762" s="240"/>
      <c r="Z3762" s="237"/>
      <c r="AA3762" s="240"/>
      <c r="AB3762" s="238"/>
      <c r="AC3762" s="196">
        <f t="shared" si="896"/>
        <v>0</v>
      </c>
      <c r="AD3762" s="196">
        <f t="shared" si="897"/>
        <v>0</v>
      </c>
      <c r="AE3762" s="196">
        <f t="shared" si="898"/>
        <v>0</v>
      </c>
      <c r="AF3762" s="2">
        <f t="shared" si="899"/>
        <v>0</v>
      </c>
      <c r="AG3762" s="2">
        <f t="shared" si="900"/>
        <v>0</v>
      </c>
    </row>
    <row r="3763" spans="1:33">
      <c r="A3763" s="20" t="s">
        <v>21518</v>
      </c>
      <c r="B3763" s="152"/>
      <c r="C3763" s="21" t="s">
        <v>20944</v>
      </c>
      <c r="D3763" s="109" t="s">
        <v>9855</v>
      </c>
      <c r="E3763" s="109"/>
      <c r="F3763" s="391" t="s">
        <v>20945</v>
      </c>
      <c r="G3763" s="23" t="s">
        <v>6133</v>
      </c>
      <c r="H3763" s="23" t="s">
        <v>25804</v>
      </c>
      <c r="I3763" s="23"/>
      <c r="J3763" s="23"/>
      <c r="K3763" s="23"/>
      <c r="L3763" s="375" t="s">
        <v>27729</v>
      </c>
      <c r="M3763" s="351" t="s">
        <v>27736</v>
      </c>
      <c r="N3763" s="267">
        <f t="shared" si="892"/>
        <v>0</v>
      </c>
      <c r="O3763" s="268">
        <f t="shared" si="893"/>
        <v>800</v>
      </c>
      <c r="P3763" s="241"/>
      <c r="Q3763" s="241">
        <f>750-550+1100-500</f>
        <v>800</v>
      </c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 t="s">
        <v>27716</v>
      </c>
      <c r="AC3763" s="196">
        <f t="shared" si="896"/>
        <v>800</v>
      </c>
      <c r="AD3763" s="196">
        <f t="shared" si="897"/>
        <v>800</v>
      </c>
      <c r="AE3763" s="196">
        <f t="shared" si="898"/>
        <v>0</v>
      </c>
      <c r="AF3763" s="2">
        <f t="shared" si="899"/>
        <v>800</v>
      </c>
      <c r="AG3763" s="2">
        <f t="shared" si="900"/>
        <v>0</v>
      </c>
    </row>
    <row r="3764" spans="1:33">
      <c r="A3764" s="20" t="s">
        <v>21519</v>
      </c>
      <c r="B3764" s="152"/>
      <c r="C3764" s="21" t="s">
        <v>20991</v>
      </c>
      <c r="D3764" s="109" t="s">
        <v>9855</v>
      </c>
      <c r="E3764" s="109"/>
      <c r="F3764" s="391" t="s">
        <v>20992</v>
      </c>
      <c r="G3764" s="23" t="s">
        <v>13942</v>
      </c>
      <c r="H3764" s="23"/>
      <c r="I3764" s="23"/>
      <c r="J3764" s="23"/>
      <c r="K3764" s="23"/>
      <c r="L3764" s="375" t="s">
        <v>7787</v>
      </c>
      <c r="M3764" s="351" t="s">
        <v>45</v>
      </c>
      <c r="N3764" s="267">
        <f t="shared" si="892"/>
        <v>0</v>
      </c>
      <c r="O3764" s="268">
        <f t="shared" si="893"/>
        <v>0</v>
      </c>
      <c r="P3764" s="241"/>
      <c r="Q3764" s="241"/>
      <c r="R3764" s="241"/>
      <c r="S3764" s="241"/>
      <c r="T3764" s="241"/>
      <c r="U3764" s="240"/>
      <c r="V3764" s="240"/>
      <c r="W3764" s="240"/>
      <c r="X3764" s="278"/>
      <c r="Y3764" s="237"/>
      <c r="Z3764" s="237"/>
      <c r="AA3764" s="420"/>
      <c r="AB3764" s="238"/>
      <c r="AC3764" s="196">
        <f t="shared" si="896"/>
        <v>0</v>
      </c>
      <c r="AD3764" s="196">
        <f t="shared" si="897"/>
        <v>0</v>
      </c>
      <c r="AE3764" s="196">
        <f t="shared" si="898"/>
        <v>0</v>
      </c>
      <c r="AF3764" s="2">
        <f t="shared" si="899"/>
        <v>0</v>
      </c>
      <c r="AG3764" s="2">
        <f t="shared" si="900"/>
        <v>0</v>
      </c>
    </row>
    <row r="3765" spans="1:33">
      <c r="A3765" s="20" t="s">
        <v>21520</v>
      </c>
      <c r="B3765" s="152"/>
      <c r="C3765" s="21" t="s">
        <v>21009</v>
      </c>
      <c r="D3765" s="109" t="s">
        <v>9855</v>
      </c>
      <c r="E3765" s="109"/>
      <c r="F3765" s="391" t="s">
        <v>21033</v>
      </c>
      <c r="G3765" s="23" t="s">
        <v>13942</v>
      </c>
      <c r="H3765" s="23"/>
      <c r="I3765" s="23"/>
      <c r="J3765" s="23"/>
      <c r="K3765" s="23"/>
      <c r="L3765" s="375" t="s">
        <v>7787</v>
      </c>
      <c r="M3765" s="351"/>
      <c r="N3765" s="267">
        <f t="shared" si="892"/>
        <v>0</v>
      </c>
      <c r="O3765" s="268">
        <f t="shared" si="893"/>
        <v>0</v>
      </c>
      <c r="P3765" s="241"/>
      <c r="Q3765" s="241"/>
      <c r="R3765" s="241"/>
      <c r="S3765" s="241"/>
      <c r="T3765" s="241"/>
      <c r="U3765" s="240"/>
      <c r="V3765" s="240"/>
      <c r="W3765" s="240"/>
      <c r="X3765" s="278"/>
      <c r="Y3765" s="237"/>
      <c r="Z3765" s="237"/>
      <c r="AA3765" s="420"/>
      <c r="AB3765" s="238"/>
      <c r="AC3765" s="196">
        <f t="shared" si="896"/>
        <v>0</v>
      </c>
      <c r="AD3765" s="196">
        <f t="shared" si="897"/>
        <v>0</v>
      </c>
      <c r="AE3765" s="196">
        <f t="shared" si="898"/>
        <v>0</v>
      </c>
      <c r="AF3765" s="2">
        <f t="shared" si="899"/>
        <v>0</v>
      </c>
      <c r="AG3765" s="2">
        <f t="shared" si="900"/>
        <v>0</v>
      </c>
    </row>
    <row r="3766" spans="1:33">
      <c r="A3766" s="20" t="s">
        <v>21521</v>
      </c>
      <c r="B3766" s="152"/>
      <c r="C3766" s="21" t="s">
        <v>21108</v>
      </c>
      <c r="D3766" s="109" t="s">
        <v>21109</v>
      </c>
      <c r="E3766" s="109"/>
      <c r="F3766" s="391" t="s">
        <v>21173</v>
      </c>
      <c r="G3766" s="23" t="s">
        <v>21110</v>
      </c>
      <c r="H3766" s="23" t="s">
        <v>24076</v>
      </c>
      <c r="I3766" s="23"/>
      <c r="J3766" s="23"/>
      <c r="K3766" s="23"/>
      <c r="L3766" s="375" t="s">
        <v>45</v>
      </c>
      <c r="M3766" s="351" t="s">
        <v>7787</v>
      </c>
      <c r="N3766" s="267">
        <f t="shared" si="892"/>
        <v>0</v>
      </c>
      <c r="O3766" s="268">
        <f t="shared" si="893"/>
        <v>19300</v>
      </c>
      <c r="P3766" s="241"/>
      <c r="Q3766" s="241"/>
      <c r="R3766" s="241"/>
      <c r="S3766" s="241"/>
      <c r="T3766" s="241"/>
      <c r="U3766" s="240">
        <f>3000-1800+3600+3000+3000+2600-2700+2800+2900-2700-2700+2800+2800+2500+2800+2800+2700+1800+2800+2800+2600-2700-5400-2900-2500-2700-5400-2700-5400+2600+2400+3600+3000</f>
        <v>19300</v>
      </c>
      <c r="V3766" s="240"/>
      <c r="W3766" s="240"/>
      <c r="X3766" s="278"/>
      <c r="Y3766" s="237"/>
      <c r="Z3766" s="237"/>
      <c r="AA3766" s="240"/>
      <c r="AB3766" s="238" t="s">
        <v>28045</v>
      </c>
      <c r="AC3766" s="196">
        <f t="shared" si="896"/>
        <v>19300</v>
      </c>
      <c r="AD3766" s="196">
        <f t="shared" si="897"/>
        <v>19300</v>
      </c>
      <c r="AE3766" s="196">
        <f t="shared" si="898"/>
        <v>0</v>
      </c>
      <c r="AF3766" s="2">
        <f t="shared" si="899"/>
        <v>19300</v>
      </c>
      <c r="AG3766" s="2">
        <f t="shared" si="900"/>
        <v>0</v>
      </c>
    </row>
    <row r="3767" spans="1:33">
      <c r="A3767" s="20" t="s">
        <v>21522</v>
      </c>
      <c r="B3767" s="152"/>
      <c r="C3767" s="21" t="s">
        <v>21162</v>
      </c>
      <c r="D3767" s="109" t="s">
        <v>3927</v>
      </c>
      <c r="E3767" s="109"/>
      <c r="F3767" s="391" t="s">
        <v>21165</v>
      </c>
      <c r="G3767" s="23" t="s">
        <v>16333</v>
      </c>
      <c r="H3767" s="23"/>
      <c r="I3767" s="23"/>
      <c r="J3767" s="23"/>
      <c r="K3767" s="23"/>
      <c r="L3767" s="375" t="s">
        <v>45</v>
      </c>
      <c r="M3767" s="351" t="s">
        <v>7787</v>
      </c>
      <c r="N3767" s="267">
        <f t="shared" si="892"/>
        <v>0</v>
      </c>
      <c r="O3767" s="268">
        <f t="shared" si="893"/>
        <v>100</v>
      </c>
      <c r="P3767" s="241"/>
      <c r="Q3767" s="241"/>
      <c r="R3767" s="241"/>
      <c r="S3767" s="240"/>
      <c r="T3767" s="241"/>
      <c r="U3767" s="240">
        <f>400-300</f>
        <v>100</v>
      </c>
      <c r="V3767" s="240"/>
      <c r="W3767" s="240"/>
      <c r="X3767" s="278"/>
      <c r="Y3767" s="237"/>
      <c r="Z3767" s="237"/>
      <c r="AA3767" s="240"/>
      <c r="AB3767" s="238" t="s">
        <v>26659</v>
      </c>
      <c r="AC3767" s="196">
        <f t="shared" si="896"/>
        <v>100</v>
      </c>
      <c r="AD3767" s="196">
        <f t="shared" si="897"/>
        <v>100</v>
      </c>
      <c r="AE3767" s="196">
        <f t="shared" si="898"/>
        <v>0</v>
      </c>
      <c r="AF3767" s="2">
        <f t="shared" si="899"/>
        <v>100</v>
      </c>
      <c r="AG3767" s="2">
        <f t="shared" si="900"/>
        <v>0</v>
      </c>
    </row>
    <row r="3768" spans="1:33">
      <c r="A3768" s="20" t="s">
        <v>22356</v>
      </c>
      <c r="B3768" s="152"/>
      <c r="C3768" s="21" t="s">
        <v>21162</v>
      </c>
      <c r="D3768" s="109" t="s">
        <v>3927</v>
      </c>
      <c r="E3768" s="109" t="s">
        <v>22413</v>
      </c>
      <c r="F3768" s="391" t="s">
        <v>21165</v>
      </c>
      <c r="G3768" s="23" t="s">
        <v>16333</v>
      </c>
      <c r="H3768" s="23"/>
      <c r="I3768" s="23"/>
      <c r="J3768" s="23"/>
      <c r="K3768" s="23"/>
      <c r="L3768" s="375" t="s">
        <v>7787</v>
      </c>
      <c r="M3768" s="351"/>
      <c r="N3768" s="267">
        <f t="shared" si="892"/>
        <v>0</v>
      </c>
      <c r="O3768" s="268">
        <f t="shared" si="893"/>
        <v>0</v>
      </c>
      <c r="P3768" s="241"/>
      <c r="Q3768" s="241"/>
      <c r="R3768" s="241"/>
      <c r="S3768" s="241"/>
      <c r="T3768" s="241"/>
      <c r="U3768" s="240"/>
      <c r="V3768" s="240"/>
      <c r="W3768" s="240"/>
      <c r="X3768" s="278"/>
      <c r="Y3768" s="237"/>
      <c r="Z3768" s="237"/>
      <c r="AA3768" s="420"/>
      <c r="AB3768" s="238"/>
      <c r="AC3768" s="196">
        <f t="shared" si="896"/>
        <v>0</v>
      </c>
      <c r="AD3768" s="196">
        <f t="shared" si="897"/>
        <v>0</v>
      </c>
      <c r="AE3768" s="196">
        <f t="shared" si="898"/>
        <v>0</v>
      </c>
      <c r="AF3768" s="2">
        <f t="shared" si="899"/>
        <v>0</v>
      </c>
      <c r="AG3768" s="2">
        <f t="shared" si="900"/>
        <v>0</v>
      </c>
    </row>
    <row r="3769" spans="1:33">
      <c r="A3769" s="20" t="s">
        <v>21523</v>
      </c>
      <c r="B3769" s="152"/>
      <c r="C3769" s="21" t="s">
        <v>21210</v>
      </c>
      <c r="D3769" s="109" t="s">
        <v>9855</v>
      </c>
      <c r="E3769" s="109"/>
      <c r="F3769" s="391" t="s">
        <v>21211</v>
      </c>
      <c r="G3769" s="23" t="s">
        <v>13942</v>
      </c>
      <c r="H3769" s="23"/>
      <c r="I3769" s="23"/>
      <c r="J3769" s="23"/>
      <c r="K3769" s="23"/>
      <c r="L3769" s="375" t="s">
        <v>7787</v>
      </c>
      <c r="M3769" s="351" t="s">
        <v>7787</v>
      </c>
      <c r="N3769" s="267">
        <f t="shared" si="892"/>
        <v>0</v>
      </c>
      <c r="O3769" s="268">
        <f t="shared" si="893"/>
        <v>0</v>
      </c>
      <c r="P3769" s="241"/>
      <c r="Q3769" s="241"/>
      <c r="R3769" s="241"/>
      <c r="S3769" s="241"/>
      <c r="T3769" s="241"/>
      <c r="U3769" s="240"/>
      <c r="V3769" s="240"/>
      <c r="W3769" s="240"/>
      <c r="X3769" s="278"/>
      <c r="Y3769" s="237"/>
      <c r="Z3769" s="237"/>
      <c r="AA3769" s="420"/>
      <c r="AB3769" s="238"/>
      <c r="AC3769" s="196">
        <f t="shared" si="896"/>
        <v>0</v>
      </c>
      <c r="AD3769" s="196">
        <f t="shared" si="897"/>
        <v>0</v>
      </c>
      <c r="AE3769" s="196">
        <f t="shared" si="898"/>
        <v>0</v>
      </c>
      <c r="AF3769" s="2">
        <f t="shared" si="899"/>
        <v>0</v>
      </c>
      <c r="AG3769" s="2">
        <f t="shared" si="900"/>
        <v>0</v>
      </c>
    </row>
    <row r="3770" spans="1:33">
      <c r="A3770" s="20" t="s">
        <v>21524</v>
      </c>
      <c r="B3770" s="152"/>
      <c r="C3770" s="21" t="s">
        <v>21115</v>
      </c>
      <c r="D3770" s="109" t="s">
        <v>5979</v>
      </c>
      <c r="E3770" s="109"/>
      <c r="F3770" s="391" t="s">
        <v>21172</v>
      </c>
      <c r="G3770" s="23" t="s">
        <v>24786</v>
      </c>
      <c r="H3770" s="23"/>
      <c r="I3770" s="23"/>
      <c r="J3770" s="23"/>
      <c r="K3770" s="23"/>
      <c r="L3770" s="375" t="s">
        <v>27989</v>
      </c>
      <c r="M3770" s="351"/>
      <c r="N3770" s="267">
        <f t="shared" si="892"/>
        <v>0</v>
      </c>
      <c r="O3770" s="268">
        <f t="shared" si="893"/>
        <v>100</v>
      </c>
      <c r="P3770" s="241"/>
      <c r="Q3770" s="241"/>
      <c r="R3770" s="240"/>
      <c r="S3770" s="241"/>
      <c r="T3770" s="241"/>
      <c r="U3770" s="240"/>
      <c r="V3770" s="240">
        <f>600-500</f>
        <v>100</v>
      </c>
      <c r="W3770" s="240"/>
      <c r="X3770" s="278"/>
      <c r="Y3770" s="240"/>
      <c r="Z3770" s="237"/>
      <c r="AA3770" s="420"/>
      <c r="AB3770" s="238"/>
      <c r="AC3770" s="196">
        <f t="shared" si="896"/>
        <v>100</v>
      </c>
      <c r="AD3770" s="196">
        <f t="shared" si="897"/>
        <v>100</v>
      </c>
      <c r="AE3770" s="196">
        <f t="shared" si="898"/>
        <v>0</v>
      </c>
      <c r="AF3770" s="2">
        <f t="shared" si="899"/>
        <v>100</v>
      </c>
      <c r="AG3770" s="2">
        <f t="shared" si="900"/>
        <v>0</v>
      </c>
    </row>
    <row r="3771" spans="1:33">
      <c r="A3771" s="20" t="s">
        <v>23686</v>
      </c>
      <c r="B3771" s="152"/>
      <c r="C3771" s="21" t="s">
        <v>23723</v>
      </c>
      <c r="D3771" s="109" t="s">
        <v>20994</v>
      </c>
      <c r="E3771" s="109"/>
      <c r="F3771" s="391" t="s">
        <v>23724</v>
      </c>
      <c r="G3771" s="23" t="s">
        <v>5334</v>
      </c>
      <c r="H3771" s="23" t="s">
        <v>16623</v>
      </c>
      <c r="I3771" s="23"/>
      <c r="J3771" s="23"/>
      <c r="K3771" s="23"/>
      <c r="L3771" s="375">
        <f>110</f>
        <v>110</v>
      </c>
      <c r="M3771" s="351" t="s">
        <v>45</v>
      </c>
      <c r="N3771" s="267">
        <f t="shared" si="892"/>
        <v>110</v>
      </c>
      <c r="O3771" s="268">
        <f t="shared" si="893"/>
        <v>3550</v>
      </c>
      <c r="P3771" s="241"/>
      <c r="Q3771" s="241"/>
      <c r="R3771" s="244"/>
      <c r="S3771" s="241"/>
      <c r="T3771" s="241"/>
      <c r="U3771" s="240">
        <f>2850+700</f>
        <v>3550</v>
      </c>
      <c r="V3771" s="240"/>
      <c r="W3771" s="240"/>
      <c r="X3771" s="278"/>
      <c r="Y3771" s="240"/>
      <c r="Z3771" s="237"/>
      <c r="AA3771" s="420"/>
      <c r="AB3771" s="238" t="s">
        <v>27998</v>
      </c>
      <c r="AC3771" s="196">
        <f t="shared" si="896"/>
        <v>3550</v>
      </c>
      <c r="AD3771" s="196">
        <f t="shared" si="897"/>
        <v>3550</v>
      </c>
      <c r="AE3771" s="196">
        <f t="shared" si="898"/>
        <v>0</v>
      </c>
      <c r="AF3771" s="2">
        <f t="shared" si="899"/>
        <v>3550</v>
      </c>
      <c r="AG3771" s="2">
        <f t="shared" si="900"/>
        <v>0</v>
      </c>
    </row>
    <row r="3772" spans="1:33">
      <c r="A3772" s="20" t="s">
        <v>21525</v>
      </c>
      <c r="B3772" s="152"/>
      <c r="C3772" s="21" t="s">
        <v>21004</v>
      </c>
      <c r="D3772" s="109" t="s">
        <v>5979</v>
      </c>
      <c r="E3772" s="109" t="s">
        <v>19998</v>
      </c>
      <c r="F3772" s="391" t="s">
        <v>21034</v>
      </c>
      <c r="G3772" s="23" t="s">
        <v>21007</v>
      </c>
      <c r="H3772" s="23" t="s">
        <v>13571</v>
      </c>
      <c r="I3772" s="23"/>
      <c r="J3772" s="23"/>
      <c r="K3772" s="23"/>
      <c r="L3772" s="375" t="s">
        <v>7787</v>
      </c>
      <c r="M3772" s="351"/>
      <c r="N3772" s="267">
        <f t="shared" si="892"/>
        <v>0</v>
      </c>
      <c r="O3772" s="268">
        <f t="shared" si="893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6"/>
        <v>0</v>
      </c>
      <c r="AD3772" s="196">
        <f t="shared" si="897"/>
        <v>0</v>
      </c>
      <c r="AE3772" s="196">
        <f t="shared" si="898"/>
        <v>0</v>
      </c>
      <c r="AF3772" s="2">
        <f t="shared" si="899"/>
        <v>0</v>
      </c>
      <c r="AG3772" s="2">
        <f t="shared" si="900"/>
        <v>0</v>
      </c>
    </row>
    <row r="3773" spans="1:33">
      <c r="A3773" s="20" t="s">
        <v>21565</v>
      </c>
      <c r="B3773" s="152"/>
      <c r="C3773" s="21" t="s">
        <v>21004</v>
      </c>
      <c r="D3773" s="109" t="s">
        <v>5979</v>
      </c>
      <c r="E3773" s="109" t="s">
        <v>21598</v>
      </c>
      <c r="F3773" s="391" t="s">
        <v>21034</v>
      </c>
      <c r="G3773" s="23" t="s">
        <v>15443</v>
      </c>
      <c r="H3773" s="23"/>
      <c r="I3773" s="23"/>
      <c r="J3773" s="23"/>
      <c r="K3773" s="23"/>
      <c r="L3773" s="375" t="s">
        <v>7787</v>
      </c>
      <c r="M3773" s="351"/>
      <c r="N3773" s="267">
        <f t="shared" si="892"/>
        <v>0</v>
      </c>
      <c r="O3773" s="268">
        <f t="shared" si="893"/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6"/>
        <v>0</v>
      </c>
      <c r="AD3773" s="196">
        <f t="shared" si="897"/>
        <v>0</v>
      </c>
      <c r="AE3773" s="196">
        <f t="shared" si="898"/>
        <v>0</v>
      </c>
      <c r="AF3773" s="2">
        <f t="shared" si="899"/>
        <v>0</v>
      </c>
      <c r="AG3773" s="2">
        <f t="shared" si="900"/>
        <v>0</v>
      </c>
    </row>
    <row r="3774" spans="1:33">
      <c r="A3774" s="20" t="s">
        <v>21526</v>
      </c>
      <c r="B3774" s="152"/>
      <c r="C3774" s="21" t="s">
        <v>21005</v>
      </c>
      <c r="D3774" s="109" t="s">
        <v>5979</v>
      </c>
      <c r="E3774" s="109" t="s">
        <v>19998</v>
      </c>
      <c r="F3774" s="391" t="s">
        <v>21035</v>
      </c>
      <c r="G3774" s="23" t="s">
        <v>21007</v>
      </c>
      <c r="H3774" s="23"/>
      <c r="I3774" s="23"/>
      <c r="J3774" s="23"/>
      <c r="K3774" s="23"/>
      <c r="L3774" s="375" t="s">
        <v>7787</v>
      </c>
      <c r="M3774" s="351"/>
      <c r="N3774" s="267">
        <f t="shared" si="892"/>
        <v>0</v>
      </c>
      <c r="O3774" s="268">
        <f t="shared" si="893"/>
        <v>0</v>
      </c>
      <c r="P3774" s="241"/>
      <c r="Q3774" s="241"/>
      <c r="R3774" s="241"/>
      <c r="S3774" s="241"/>
      <c r="T3774" s="241"/>
      <c r="U3774" s="240"/>
      <c r="V3774" s="240"/>
      <c r="W3774" s="240"/>
      <c r="X3774" s="278"/>
      <c r="Y3774" s="237"/>
      <c r="Z3774" s="237"/>
      <c r="AA3774" s="420"/>
      <c r="AB3774" s="238"/>
      <c r="AC3774" s="196">
        <f t="shared" si="896"/>
        <v>0</v>
      </c>
      <c r="AD3774" s="196">
        <f t="shared" si="897"/>
        <v>0</v>
      </c>
      <c r="AE3774" s="196">
        <f t="shared" si="898"/>
        <v>0</v>
      </c>
      <c r="AF3774" s="2">
        <f t="shared" si="899"/>
        <v>0</v>
      </c>
      <c r="AG3774" s="2">
        <f t="shared" si="900"/>
        <v>0</v>
      </c>
    </row>
    <row r="3775" spans="1:33">
      <c r="A3775" s="20" t="s">
        <v>26124</v>
      </c>
      <c r="B3775" s="152"/>
      <c r="C3775" s="21" t="s">
        <v>21201</v>
      </c>
      <c r="D3775" s="109" t="s">
        <v>24785</v>
      </c>
      <c r="E3775" s="109" t="s">
        <v>26249</v>
      </c>
      <c r="F3775" s="391" t="s">
        <v>24806</v>
      </c>
      <c r="G3775" s="23" t="s">
        <v>24786</v>
      </c>
      <c r="H3775" s="23"/>
      <c r="I3775" s="23"/>
      <c r="J3775" s="23"/>
      <c r="K3775" s="23"/>
      <c r="L3775" s="375" t="s">
        <v>7787</v>
      </c>
      <c r="M3775" s="351" t="s">
        <v>45</v>
      </c>
      <c r="N3775" s="267">
        <f t="shared" ref="N3775" si="901">SUM(L3775:M3775)</f>
        <v>0</v>
      </c>
      <c r="O3775" s="268">
        <f t="shared" ref="O3775" si="902">SUM(P3775:Z3775)</f>
        <v>0</v>
      </c>
      <c r="P3775" s="241"/>
      <c r="Q3775" s="241"/>
      <c r="R3775" s="241"/>
      <c r="S3775" s="241"/>
      <c r="T3775" s="241"/>
      <c r="U3775" s="240"/>
      <c r="V3775" s="240"/>
      <c r="W3775" s="240"/>
      <c r="X3775" s="278"/>
      <c r="Y3775" s="237"/>
      <c r="Z3775" s="237"/>
      <c r="AA3775" s="420"/>
      <c r="AB3775" s="238"/>
      <c r="AC3775" s="196">
        <f t="shared" si="896"/>
        <v>0</v>
      </c>
      <c r="AD3775" s="196">
        <f t="shared" si="897"/>
        <v>0</v>
      </c>
      <c r="AE3775" s="196">
        <f t="shared" si="898"/>
        <v>0</v>
      </c>
      <c r="AF3775" s="2">
        <f t="shared" si="899"/>
        <v>0</v>
      </c>
      <c r="AG3775" s="2">
        <f t="shared" si="900"/>
        <v>0</v>
      </c>
    </row>
    <row r="3776" spans="1:33">
      <c r="A3776" s="20" t="s">
        <v>21527</v>
      </c>
      <c r="B3776" s="152"/>
      <c r="C3776" s="21" t="s">
        <v>21201</v>
      </c>
      <c r="D3776" s="109" t="s">
        <v>9855</v>
      </c>
      <c r="E3776" s="109"/>
      <c r="F3776" s="391" t="s">
        <v>21226</v>
      </c>
      <c r="G3776" s="23" t="s">
        <v>13942</v>
      </c>
      <c r="H3776" s="23" t="s">
        <v>18067</v>
      </c>
      <c r="I3776" s="23"/>
      <c r="J3776" s="23"/>
      <c r="K3776" s="23"/>
      <c r="L3776" s="375" t="s">
        <v>27930</v>
      </c>
      <c r="M3776" s="351" t="s">
        <v>45</v>
      </c>
      <c r="N3776" s="267">
        <f t="shared" si="892"/>
        <v>0</v>
      </c>
      <c r="O3776" s="268">
        <f t="shared" si="893"/>
        <v>10050</v>
      </c>
      <c r="P3776" s="241"/>
      <c r="Q3776" s="241"/>
      <c r="R3776" s="237"/>
      <c r="S3776" s="240"/>
      <c r="T3776" s="241"/>
      <c r="U3776" s="237"/>
      <c r="V3776" s="237">
        <f>9800-5700+3850+2100</f>
        <v>10050</v>
      </c>
      <c r="W3776" s="240"/>
      <c r="X3776" s="278"/>
      <c r="Y3776" s="237"/>
      <c r="Z3776" s="237"/>
      <c r="AA3776" s="420"/>
      <c r="AB3776" s="238" t="s">
        <v>27928</v>
      </c>
      <c r="AC3776" s="196">
        <f t="shared" si="896"/>
        <v>10050</v>
      </c>
      <c r="AD3776" s="196">
        <f t="shared" si="897"/>
        <v>10050</v>
      </c>
      <c r="AE3776" s="196">
        <f t="shared" si="898"/>
        <v>0</v>
      </c>
      <c r="AF3776" s="2">
        <f t="shared" si="899"/>
        <v>10050</v>
      </c>
      <c r="AG3776" s="2">
        <f t="shared" si="900"/>
        <v>0</v>
      </c>
    </row>
    <row r="3777" spans="1:33">
      <c r="A3777" s="20" t="s">
        <v>21528</v>
      </c>
      <c r="B3777" s="152"/>
      <c r="C3777" s="21" t="s">
        <v>21087</v>
      </c>
      <c r="D3777" s="109" t="s">
        <v>9855</v>
      </c>
      <c r="E3777" s="109"/>
      <c r="F3777" s="391" t="s">
        <v>21091</v>
      </c>
      <c r="G3777" s="23" t="s">
        <v>6133</v>
      </c>
      <c r="H3777" s="23"/>
      <c r="I3777" s="23"/>
      <c r="J3777" s="23"/>
      <c r="K3777" s="23"/>
      <c r="L3777" s="375"/>
      <c r="M3777" s="351"/>
      <c r="N3777" s="267">
        <f t="shared" si="892"/>
        <v>0</v>
      </c>
      <c r="O3777" s="268">
        <f t="shared" si="893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41"/>
      <c r="Z3777" s="237"/>
      <c r="AA3777" s="420"/>
      <c r="AB3777" s="238"/>
      <c r="AC3777" s="196">
        <f t="shared" si="896"/>
        <v>0</v>
      </c>
      <c r="AD3777" s="196">
        <f t="shared" si="897"/>
        <v>0</v>
      </c>
      <c r="AE3777" s="196">
        <f t="shared" si="898"/>
        <v>0</v>
      </c>
      <c r="AF3777" s="2">
        <f t="shared" si="899"/>
        <v>0</v>
      </c>
      <c r="AG3777" s="2">
        <f t="shared" si="900"/>
        <v>0</v>
      </c>
    </row>
    <row r="3778" spans="1:33">
      <c r="A3778" s="20" t="s">
        <v>21839</v>
      </c>
      <c r="B3778" s="152"/>
      <c r="C3778" s="21" t="s">
        <v>21861</v>
      </c>
      <c r="D3778" s="109" t="s">
        <v>9855</v>
      </c>
      <c r="E3778" s="202" t="s">
        <v>21862</v>
      </c>
      <c r="F3778" s="391" t="s">
        <v>21865</v>
      </c>
      <c r="G3778" s="23" t="s">
        <v>21863</v>
      </c>
      <c r="H3778" s="23"/>
      <c r="I3778" s="23"/>
      <c r="J3778" s="23"/>
      <c r="K3778" s="23"/>
      <c r="L3778" s="375" t="s">
        <v>7787</v>
      </c>
      <c r="M3778" s="351"/>
      <c r="N3778" s="267">
        <f t="shared" si="892"/>
        <v>0</v>
      </c>
      <c r="O3778" s="268">
        <f t="shared" si="893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41"/>
      <c r="Z3778" s="237"/>
      <c r="AA3778" s="420"/>
      <c r="AB3778" s="238"/>
      <c r="AC3778" s="196">
        <f t="shared" si="896"/>
        <v>0</v>
      </c>
      <c r="AD3778" s="196">
        <f t="shared" si="897"/>
        <v>0</v>
      </c>
      <c r="AE3778" s="196">
        <f t="shared" si="898"/>
        <v>0</v>
      </c>
      <c r="AF3778" s="2">
        <f t="shared" si="899"/>
        <v>0</v>
      </c>
      <c r="AG3778" s="2">
        <f t="shared" si="900"/>
        <v>0</v>
      </c>
    </row>
    <row r="3779" spans="1:33">
      <c r="A3779" s="20" t="s">
        <v>21529</v>
      </c>
      <c r="B3779" s="152"/>
      <c r="C3779" s="21" t="s">
        <v>21006</v>
      </c>
      <c r="D3779" s="109" t="s">
        <v>5979</v>
      </c>
      <c r="E3779" s="109" t="s">
        <v>19998</v>
      </c>
      <c r="F3779" s="391" t="s">
        <v>21036</v>
      </c>
      <c r="G3779" s="23" t="s">
        <v>21007</v>
      </c>
      <c r="H3779" s="23"/>
      <c r="I3779" s="23"/>
      <c r="J3779" s="23"/>
      <c r="K3779" s="23"/>
      <c r="L3779" s="375" t="s">
        <v>7787</v>
      </c>
      <c r="M3779" s="351"/>
      <c r="N3779" s="267">
        <f t="shared" si="892"/>
        <v>0</v>
      </c>
      <c r="O3779" s="268">
        <f t="shared" si="893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6"/>
        <v>0</v>
      </c>
      <c r="AD3779" s="196">
        <f t="shared" si="897"/>
        <v>0</v>
      </c>
      <c r="AE3779" s="196">
        <f t="shared" si="898"/>
        <v>0</v>
      </c>
      <c r="AF3779" s="2">
        <f t="shared" si="899"/>
        <v>0</v>
      </c>
      <c r="AG3779" s="2">
        <f t="shared" si="900"/>
        <v>0</v>
      </c>
    </row>
    <row r="3780" spans="1:33">
      <c r="A3780" s="20" t="s">
        <v>21781</v>
      </c>
      <c r="B3780" s="152"/>
      <c r="C3780" s="21" t="s">
        <v>21826</v>
      </c>
      <c r="D3780" s="109" t="s">
        <v>5979</v>
      </c>
      <c r="E3780" s="109" t="s">
        <v>19998</v>
      </c>
      <c r="F3780" s="391" t="s">
        <v>21830</v>
      </c>
      <c r="G3780" s="23" t="s">
        <v>15443</v>
      </c>
      <c r="H3780" s="23"/>
      <c r="I3780" s="23"/>
      <c r="J3780" s="23"/>
      <c r="K3780" s="23"/>
      <c r="L3780" s="375"/>
      <c r="M3780" s="351"/>
      <c r="N3780" s="267">
        <f t="shared" si="892"/>
        <v>0</v>
      </c>
      <c r="O3780" s="268">
        <f t="shared" si="893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6"/>
        <v>0</v>
      </c>
      <c r="AD3780" s="196">
        <f t="shared" si="897"/>
        <v>0</v>
      </c>
      <c r="AE3780" s="196">
        <f t="shared" si="898"/>
        <v>0</v>
      </c>
      <c r="AF3780" s="2">
        <f t="shared" si="899"/>
        <v>0</v>
      </c>
      <c r="AG3780" s="2">
        <f t="shared" si="900"/>
        <v>0</v>
      </c>
    </row>
    <row r="3781" spans="1:33">
      <c r="A3781" s="20" t="s">
        <v>21782</v>
      </c>
      <c r="B3781" s="152"/>
      <c r="C3781" s="21" t="s">
        <v>21827</v>
      </c>
      <c r="D3781" s="109" t="s">
        <v>5979</v>
      </c>
      <c r="E3781" s="109" t="s">
        <v>19998</v>
      </c>
      <c r="F3781" s="391" t="s">
        <v>21831</v>
      </c>
      <c r="G3781" s="23" t="s">
        <v>15443</v>
      </c>
      <c r="H3781" s="23"/>
      <c r="I3781" s="23"/>
      <c r="J3781" s="23"/>
      <c r="K3781" s="23"/>
      <c r="L3781" s="375"/>
      <c r="M3781" s="351"/>
      <c r="N3781" s="267">
        <f t="shared" si="892"/>
        <v>0</v>
      </c>
      <c r="O3781" s="268">
        <f t="shared" si="893"/>
        <v>0</v>
      </c>
      <c r="P3781" s="241"/>
      <c r="Q3781" s="241"/>
      <c r="R3781" s="241"/>
      <c r="S3781" s="241"/>
      <c r="T3781" s="241"/>
      <c r="U3781" s="240"/>
      <c r="V3781" s="240"/>
      <c r="W3781" s="240"/>
      <c r="X3781" s="278"/>
      <c r="Y3781" s="237"/>
      <c r="Z3781" s="237"/>
      <c r="AA3781" s="420"/>
      <c r="AB3781" s="238"/>
      <c r="AC3781" s="196">
        <f t="shared" si="896"/>
        <v>0</v>
      </c>
      <c r="AD3781" s="196">
        <f t="shared" si="897"/>
        <v>0</v>
      </c>
      <c r="AE3781" s="196">
        <f t="shared" si="898"/>
        <v>0</v>
      </c>
      <c r="AF3781" s="2">
        <f t="shared" si="899"/>
        <v>0</v>
      </c>
      <c r="AG3781" s="2">
        <f t="shared" si="900"/>
        <v>0</v>
      </c>
    </row>
    <row r="3782" spans="1:33">
      <c r="A3782" s="20" t="s">
        <v>21530</v>
      </c>
      <c r="B3782" s="152"/>
      <c r="C3782" s="21" t="s">
        <v>21012</v>
      </c>
      <c r="D3782" s="109" t="s">
        <v>5979</v>
      </c>
      <c r="E3782" s="109" t="s">
        <v>19998</v>
      </c>
      <c r="F3782" s="391" t="s">
        <v>21037</v>
      </c>
      <c r="G3782" s="23" t="s">
        <v>15443</v>
      </c>
      <c r="H3782" s="23"/>
      <c r="I3782" s="23"/>
      <c r="J3782" s="23"/>
      <c r="K3782" s="23"/>
      <c r="L3782" s="375" t="s">
        <v>7787</v>
      </c>
      <c r="M3782" s="351"/>
      <c r="N3782" s="267">
        <f t="shared" si="892"/>
        <v>0</v>
      </c>
      <c r="O3782" s="268">
        <f t="shared" si="893"/>
        <v>0</v>
      </c>
      <c r="P3782" s="241"/>
      <c r="Q3782" s="241"/>
      <c r="R3782" s="241"/>
      <c r="S3782" s="241"/>
      <c r="T3782" s="241"/>
      <c r="U3782" s="240"/>
      <c r="V3782" s="240"/>
      <c r="W3782" s="240"/>
      <c r="X3782" s="278"/>
      <c r="Y3782" s="237"/>
      <c r="Z3782" s="237"/>
      <c r="AA3782" s="420"/>
      <c r="AB3782" s="238"/>
      <c r="AC3782" s="196">
        <f t="shared" si="896"/>
        <v>0</v>
      </c>
      <c r="AD3782" s="196">
        <f t="shared" si="897"/>
        <v>0</v>
      </c>
      <c r="AE3782" s="196">
        <f t="shared" si="898"/>
        <v>0</v>
      </c>
      <c r="AF3782" s="2">
        <f t="shared" si="899"/>
        <v>0</v>
      </c>
      <c r="AG3782" s="2">
        <f t="shared" si="900"/>
        <v>0</v>
      </c>
    </row>
    <row r="3783" spans="1:33">
      <c r="A3783" s="20" t="s">
        <v>21531</v>
      </c>
      <c r="B3783" s="152"/>
      <c r="C3783" s="21" t="s">
        <v>21361</v>
      </c>
      <c r="D3783" s="109" t="s">
        <v>9855</v>
      </c>
      <c r="E3783" s="109"/>
      <c r="F3783" s="391" t="s">
        <v>21580</v>
      </c>
      <c r="G3783" s="23" t="s">
        <v>13950</v>
      </c>
      <c r="H3783" s="23" t="s">
        <v>13888</v>
      </c>
      <c r="I3783" s="23"/>
      <c r="J3783" s="23"/>
      <c r="K3783" s="23"/>
      <c r="L3783" s="375" t="s">
        <v>27989</v>
      </c>
      <c r="M3783" s="351" t="s">
        <v>27809</v>
      </c>
      <c r="N3783" s="267">
        <f t="shared" si="892"/>
        <v>0</v>
      </c>
      <c r="O3783" s="268">
        <f t="shared" si="893"/>
        <v>5250</v>
      </c>
      <c r="P3783" s="241"/>
      <c r="Q3783" s="240"/>
      <c r="R3783" s="240"/>
      <c r="S3783" s="241"/>
      <c r="T3783" s="241"/>
      <c r="U3783" s="240">
        <f>1000-300+950+2450+700-2400+750-2850+1700+2600+3500-2850</f>
        <v>5250</v>
      </c>
      <c r="V3783" s="240"/>
      <c r="W3783" s="240"/>
      <c r="X3783" s="278"/>
      <c r="Y3783" s="237"/>
      <c r="Z3783" s="237"/>
      <c r="AA3783" s="420"/>
      <c r="AB3783" s="238" t="s">
        <v>27997</v>
      </c>
      <c r="AC3783" s="196">
        <f t="shared" si="896"/>
        <v>5250</v>
      </c>
      <c r="AD3783" s="196">
        <f t="shared" si="897"/>
        <v>5250</v>
      </c>
      <c r="AE3783" s="196">
        <f t="shared" si="898"/>
        <v>0</v>
      </c>
      <c r="AF3783" s="2">
        <f t="shared" si="899"/>
        <v>5250</v>
      </c>
      <c r="AG3783" s="2">
        <f t="shared" si="900"/>
        <v>0</v>
      </c>
    </row>
    <row r="3784" spans="1:33">
      <c r="A3784" s="20" t="s">
        <v>26380</v>
      </c>
      <c r="B3784" s="152"/>
      <c r="C3784" s="21" t="s">
        <v>26495</v>
      </c>
      <c r="D3784" s="109" t="s">
        <v>9855</v>
      </c>
      <c r="E3784" s="109"/>
      <c r="F3784" s="391" t="s">
        <v>26502</v>
      </c>
      <c r="G3784" s="23" t="s">
        <v>26503</v>
      </c>
      <c r="H3784" s="23"/>
      <c r="I3784" s="23"/>
      <c r="J3784" s="23"/>
      <c r="K3784" s="23"/>
      <c r="L3784" s="375" t="s">
        <v>45</v>
      </c>
      <c r="M3784" s="351"/>
      <c r="N3784" s="267">
        <f t="shared" ref="N3784" si="903">SUM(L3784:M3784)</f>
        <v>0</v>
      </c>
      <c r="O3784" s="268">
        <f t="shared" ref="O3784" si="904">SUM(P3784:Z3784)</f>
        <v>350</v>
      </c>
      <c r="P3784" s="241"/>
      <c r="Q3784" s="244">
        <f>400+800-500-350</f>
        <v>350</v>
      </c>
      <c r="R3784" s="244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 t="s">
        <v>26500</v>
      </c>
      <c r="AC3784" s="196">
        <f t="shared" si="896"/>
        <v>350</v>
      </c>
      <c r="AD3784" s="196">
        <f t="shared" si="897"/>
        <v>350</v>
      </c>
      <c r="AE3784" s="196">
        <f t="shared" si="898"/>
        <v>0</v>
      </c>
      <c r="AF3784" s="2">
        <f t="shared" si="899"/>
        <v>350</v>
      </c>
      <c r="AG3784" s="2">
        <f t="shared" si="900"/>
        <v>0</v>
      </c>
    </row>
    <row r="3785" spans="1:33">
      <c r="A3785" s="20" t="s">
        <v>23897</v>
      </c>
      <c r="B3785" s="152"/>
      <c r="C3785" s="21" t="s">
        <v>21188</v>
      </c>
      <c r="D3785" s="109" t="s">
        <v>9855</v>
      </c>
      <c r="E3785" s="109" t="s">
        <v>23718</v>
      </c>
      <c r="F3785" s="391" t="s">
        <v>21202</v>
      </c>
      <c r="G3785" s="23" t="s">
        <v>13218</v>
      </c>
      <c r="H3785" s="23" t="s">
        <v>14533</v>
      </c>
      <c r="I3785" s="23"/>
      <c r="J3785" s="23"/>
      <c r="K3785" s="23"/>
      <c r="L3785" s="375"/>
      <c r="M3785" s="351"/>
      <c r="N3785" s="267">
        <f t="shared" si="892"/>
        <v>0</v>
      </c>
      <c r="O3785" s="268">
        <f t="shared" si="893"/>
        <v>0</v>
      </c>
      <c r="P3785" s="241"/>
      <c r="Q3785" s="244"/>
      <c r="R3785" s="244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/>
      <c r="AC3785" s="196">
        <f t="shared" si="896"/>
        <v>0</v>
      </c>
      <c r="AD3785" s="196">
        <f t="shared" si="897"/>
        <v>0</v>
      </c>
      <c r="AE3785" s="196">
        <f t="shared" si="898"/>
        <v>0</v>
      </c>
      <c r="AF3785" s="2">
        <f t="shared" si="899"/>
        <v>0</v>
      </c>
      <c r="AG3785" s="2">
        <f t="shared" si="900"/>
        <v>0</v>
      </c>
    </row>
    <row r="3786" spans="1:33">
      <c r="A3786" s="20" t="s">
        <v>21532</v>
      </c>
      <c r="B3786" s="152"/>
      <c r="C3786" s="21" t="s">
        <v>21188</v>
      </c>
      <c r="D3786" s="109" t="s">
        <v>9855</v>
      </c>
      <c r="E3786" s="109" t="s">
        <v>23716</v>
      </c>
      <c r="F3786" s="391" t="s">
        <v>21202</v>
      </c>
      <c r="G3786" s="23" t="s">
        <v>13934</v>
      </c>
      <c r="H3786" s="23" t="s">
        <v>13349</v>
      </c>
      <c r="I3786" s="23" t="s">
        <v>14533</v>
      </c>
      <c r="J3786" s="23" t="s">
        <v>6133</v>
      </c>
      <c r="K3786" s="23"/>
      <c r="L3786" s="375"/>
      <c r="M3786" s="351" t="s">
        <v>7787</v>
      </c>
      <c r="N3786" s="267">
        <f t="shared" si="892"/>
        <v>0</v>
      </c>
      <c r="O3786" s="268">
        <f t="shared" si="893"/>
        <v>100</v>
      </c>
      <c r="P3786" s="241"/>
      <c r="Q3786" s="241">
        <f>1000-500-400</f>
        <v>100</v>
      </c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 t="s">
        <v>25038</v>
      </c>
      <c r="AC3786" s="196">
        <f t="shared" si="896"/>
        <v>100</v>
      </c>
      <c r="AD3786" s="196">
        <f t="shared" si="897"/>
        <v>100</v>
      </c>
      <c r="AE3786" s="196">
        <f t="shared" si="898"/>
        <v>0</v>
      </c>
      <c r="AF3786" s="2">
        <f t="shared" si="899"/>
        <v>100</v>
      </c>
      <c r="AG3786" s="2">
        <f t="shared" si="900"/>
        <v>0</v>
      </c>
    </row>
    <row r="3787" spans="1:33">
      <c r="A3787" s="20" t="s">
        <v>23898</v>
      </c>
      <c r="B3787" s="152"/>
      <c r="C3787" s="21" t="s">
        <v>21188</v>
      </c>
      <c r="D3787" s="109" t="s">
        <v>9855</v>
      </c>
      <c r="E3787" s="109" t="s">
        <v>23717</v>
      </c>
      <c r="F3787" s="391" t="s">
        <v>21202</v>
      </c>
      <c r="G3787" s="23" t="s">
        <v>13218</v>
      </c>
      <c r="H3787" s="23" t="s">
        <v>14533</v>
      </c>
      <c r="I3787" s="23"/>
      <c r="J3787" s="23"/>
      <c r="K3787" s="23"/>
      <c r="L3787" s="375" t="s">
        <v>7787</v>
      </c>
      <c r="M3787" s="351"/>
      <c r="N3787" s="267">
        <f t="shared" si="892"/>
        <v>0</v>
      </c>
      <c r="O3787" s="268">
        <f t="shared" si="893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6"/>
        <v>0</v>
      </c>
      <c r="AD3787" s="196">
        <f t="shared" si="897"/>
        <v>0</v>
      </c>
      <c r="AE3787" s="196">
        <f t="shared" si="898"/>
        <v>0</v>
      </c>
      <c r="AF3787" s="2">
        <f t="shared" si="899"/>
        <v>0</v>
      </c>
      <c r="AG3787" s="2">
        <f t="shared" si="900"/>
        <v>0</v>
      </c>
    </row>
    <row r="3788" spans="1:33">
      <c r="A3788" s="20" t="s">
        <v>21533</v>
      </c>
      <c r="B3788" s="152"/>
      <c r="C3788" s="21" t="s">
        <v>21088</v>
      </c>
      <c r="D3788" s="109" t="s">
        <v>21089</v>
      </c>
      <c r="E3788" s="109"/>
      <c r="F3788" s="391" t="s">
        <v>21093</v>
      </c>
      <c r="G3788" s="23" t="s">
        <v>21090</v>
      </c>
      <c r="H3788" s="23"/>
      <c r="I3788" s="23"/>
      <c r="J3788" s="23"/>
      <c r="K3788" s="23"/>
      <c r="L3788" s="375" t="s">
        <v>7787</v>
      </c>
      <c r="M3788" s="351"/>
      <c r="N3788" s="267">
        <f t="shared" si="892"/>
        <v>0</v>
      </c>
      <c r="O3788" s="268">
        <f t="shared" si="893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6"/>
        <v>0</v>
      </c>
      <c r="AD3788" s="196">
        <f t="shared" si="897"/>
        <v>0</v>
      </c>
      <c r="AE3788" s="196">
        <f t="shared" si="898"/>
        <v>0</v>
      </c>
      <c r="AF3788" s="2">
        <f t="shared" si="899"/>
        <v>0</v>
      </c>
      <c r="AG3788" s="2">
        <f t="shared" si="900"/>
        <v>0</v>
      </c>
    </row>
    <row r="3789" spans="1:33">
      <c r="A3789" s="20" t="s">
        <v>21534</v>
      </c>
      <c r="B3789" s="152"/>
      <c r="C3789" s="21" t="s">
        <v>21094</v>
      </c>
      <c r="D3789" s="109" t="s">
        <v>21095</v>
      </c>
      <c r="E3789" s="109" t="s">
        <v>21096</v>
      </c>
      <c r="F3789" s="391" t="s">
        <v>21171</v>
      </c>
      <c r="G3789" s="23" t="s">
        <v>21097</v>
      </c>
      <c r="H3789" s="23" t="s">
        <v>13888</v>
      </c>
      <c r="I3789" s="23" t="s">
        <v>16613</v>
      </c>
      <c r="J3789" s="23"/>
      <c r="K3789" s="23"/>
      <c r="L3789" s="375" t="s">
        <v>7787</v>
      </c>
      <c r="M3789" s="351" t="s">
        <v>7787</v>
      </c>
      <c r="N3789" s="267">
        <f t="shared" si="892"/>
        <v>0</v>
      </c>
      <c r="O3789" s="268">
        <f t="shared" si="893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6"/>
        <v>0</v>
      </c>
      <c r="AD3789" s="196">
        <f t="shared" si="897"/>
        <v>0</v>
      </c>
      <c r="AE3789" s="196">
        <f t="shared" si="898"/>
        <v>0</v>
      </c>
      <c r="AF3789" s="2">
        <f t="shared" si="899"/>
        <v>0</v>
      </c>
      <c r="AG3789" s="2">
        <f t="shared" si="900"/>
        <v>0</v>
      </c>
    </row>
    <row r="3790" spans="1:33">
      <c r="A3790" s="20" t="s">
        <v>21535</v>
      </c>
      <c r="B3790" s="152"/>
      <c r="C3790" s="21" t="s">
        <v>21094</v>
      </c>
      <c r="D3790" s="109" t="s">
        <v>5979</v>
      </c>
      <c r="E3790" s="109" t="s">
        <v>21308</v>
      </c>
      <c r="F3790" s="391" t="s">
        <v>21171</v>
      </c>
      <c r="G3790" s="23" t="s">
        <v>15443</v>
      </c>
      <c r="H3790" s="23"/>
      <c r="I3790" s="23"/>
      <c r="J3790" s="23"/>
      <c r="K3790" s="23"/>
      <c r="L3790" s="375" t="s">
        <v>7787</v>
      </c>
      <c r="M3790" s="351"/>
      <c r="N3790" s="267">
        <f t="shared" si="892"/>
        <v>0</v>
      </c>
      <c r="O3790" s="268">
        <f t="shared" si="893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37"/>
      <c r="Z3790" s="237"/>
      <c r="AA3790" s="420"/>
      <c r="AB3790" s="238"/>
      <c r="AC3790" s="196">
        <f t="shared" si="896"/>
        <v>0</v>
      </c>
      <c r="AD3790" s="196">
        <f t="shared" si="897"/>
        <v>0</v>
      </c>
      <c r="AE3790" s="196">
        <f t="shared" si="898"/>
        <v>0</v>
      </c>
      <c r="AF3790" s="2">
        <f t="shared" si="899"/>
        <v>0</v>
      </c>
      <c r="AG3790" s="2">
        <f t="shared" si="900"/>
        <v>0</v>
      </c>
    </row>
    <row r="3791" spans="1:33">
      <c r="A3791" s="20" t="s">
        <v>21536</v>
      </c>
      <c r="B3791" s="152"/>
      <c r="C3791" s="21" t="s">
        <v>21251</v>
      </c>
      <c r="D3791" s="109" t="s">
        <v>5979</v>
      </c>
      <c r="E3791" s="109" t="s">
        <v>19998</v>
      </c>
      <c r="F3791" s="391" t="s">
        <v>21372</v>
      </c>
      <c r="G3791" s="23" t="s">
        <v>21252</v>
      </c>
      <c r="H3791" s="23"/>
      <c r="I3791" s="23"/>
      <c r="J3791" s="23"/>
      <c r="K3791" s="23"/>
      <c r="L3791" s="375" t="s">
        <v>7787</v>
      </c>
      <c r="M3791" s="351"/>
      <c r="N3791" s="267">
        <f t="shared" si="892"/>
        <v>0</v>
      </c>
      <c r="O3791" s="268">
        <f t="shared" si="893"/>
        <v>0</v>
      </c>
      <c r="P3791" s="241"/>
      <c r="Q3791" s="241"/>
      <c r="R3791" s="241"/>
      <c r="S3791" s="241"/>
      <c r="T3791" s="241"/>
      <c r="U3791" s="240"/>
      <c r="V3791" s="240"/>
      <c r="W3791" s="240"/>
      <c r="X3791" s="278"/>
      <c r="Y3791" s="237"/>
      <c r="Z3791" s="237"/>
      <c r="AA3791" s="420"/>
      <c r="AB3791" s="238"/>
      <c r="AC3791" s="196">
        <f t="shared" si="896"/>
        <v>0</v>
      </c>
      <c r="AD3791" s="196">
        <f t="shared" si="897"/>
        <v>0</v>
      </c>
      <c r="AE3791" s="196">
        <f t="shared" si="898"/>
        <v>0</v>
      </c>
      <c r="AF3791" s="2">
        <f t="shared" si="899"/>
        <v>0</v>
      </c>
      <c r="AG3791" s="2">
        <f t="shared" si="900"/>
        <v>0</v>
      </c>
    </row>
    <row r="3792" spans="1:33">
      <c r="A3792" s="20" t="s">
        <v>21537</v>
      </c>
      <c r="B3792" s="152"/>
      <c r="C3792" s="21" t="s">
        <v>23762</v>
      </c>
      <c r="D3792" s="109" t="s">
        <v>11207</v>
      </c>
      <c r="E3792" s="109"/>
      <c r="F3792" s="391" t="s">
        <v>21170</v>
      </c>
      <c r="G3792" s="23" t="s">
        <v>21134</v>
      </c>
      <c r="H3792" s="23"/>
      <c r="I3792" s="23"/>
      <c r="J3792" s="23"/>
      <c r="K3792" s="23"/>
      <c r="L3792" s="375" t="s">
        <v>45</v>
      </c>
      <c r="M3792" s="351" t="s">
        <v>45</v>
      </c>
      <c r="N3792" s="267">
        <f t="shared" si="892"/>
        <v>0</v>
      </c>
      <c r="O3792" s="268">
        <f t="shared" si="893"/>
        <v>0</v>
      </c>
      <c r="P3792" s="241"/>
      <c r="Q3792" s="241"/>
      <c r="R3792" s="241"/>
      <c r="S3792" s="241"/>
      <c r="T3792" s="241"/>
      <c r="U3792" s="240"/>
      <c r="V3792" s="240"/>
      <c r="W3792" s="240"/>
      <c r="X3792" s="278"/>
      <c r="Y3792" s="240"/>
      <c r="Z3792" s="237"/>
      <c r="AA3792" s="420"/>
      <c r="AB3792" s="238"/>
      <c r="AC3792" s="196">
        <f t="shared" si="896"/>
        <v>0</v>
      </c>
      <c r="AD3792" s="196">
        <f t="shared" si="897"/>
        <v>0</v>
      </c>
      <c r="AE3792" s="196">
        <f t="shared" si="898"/>
        <v>0</v>
      </c>
      <c r="AF3792" s="2">
        <f t="shared" si="899"/>
        <v>0</v>
      </c>
      <c r="AG3792" s="2">
        <f t="shared" si="900"/>
        <v>0</v>
      </c>
    </row>
    <row r="3793" spans="1:33">
      <c r="A3793" s="20" t="s">
        <v>23478</v>
      </c>
      <c r="B3793" s="152"/>
      <c r="C3793" s="21" t="s">
        <v>23762</v>
      </c>
      <c r="D3793" s="109" t="s">
        <v>23497</v>
      </c>
      <c r="E3793" s="109"/>
      <c r="F3793" s="391" t="s">
        <v>23498</v>
      </c>
      <c r="G3793" s="23" t="s">
        <v>23499</v>
      </c>
      <c r="H3793" s="23" t="s">
        <v>13888</v>
      </c>
      <c r="I3793" s="23" t="s">
        <v>6133</v>
      </c>
      <c r="J3793" s="23"/>
      <c r="K3793" s="23"/>
      <c r="L3793" s="375" t="s">
        <v>27989</v>
      </c>
      <c r="M3793" s="351" t="s">
        <v>45</v>
      </c>
      <c r="N3793" s="267">
        <f t="shared" si="892"/>
        <v>0</v>
      </c>
      <c r="O3793" s="268">
        <f t="shared" si="893"/>
        <v>50</v>
      </c>
      <c r="P3793" s="241"/>
      <c r="Q3793" s="240"/>
      <c r="R3793" s="240"/>
      <c r="S3793" s="241"/>
      <c r="T3793" s="241"/>
      <c r="U3793" s="240">
        <f>3550+5000+2950-11000+2950+8350+3250-15000</f>
        <v>50</v>
      </c>
      <c r="V3793" s="240"/>
      <c r="W3793" s="240"/>
      <c r="X3793" s="278"/>
      <c r="Y3793" s="237"/>
      <c r="Z3793" s="237"/>
      <c r="AA3793" s="420"/>
      <c r="AB3793" s="238" t="s">
        <v>27985</v>
      </c>
      <c r="AC3793" s="196">
        <f t="shared" si="896"/>
        <v>50</v>
      </c>
      <c r="AD3793" s="196">
        <f t="shared" si="897"/>
        <v>50</v>
      </c>
      <c r="AE3793" s="196">
        <f t="shared" si="898"/>
        <v>0</v>
      </c>
      <c r="AF3793" s="2">
        <f t="shared" si="899"/>
        <v>50</v>
      </c>
      <c r="AG3793" s="2">
        <f t="shared" si="900"/>
        <v>0</v>
      </c>
    </row>
    <row r="3794" spans="1:33">
      <c r="A3794" s="20" t="s">
        <v>21775</v>
      </c>
      <c r="B3794" s="152"/>
      <c r="C3794" s="21" t="s">
        <v>23762</v>
      </c>
      <c r="D3794" s="109" t="s">
        <v>23497</v>
      </c>
      <c r="E3794" s="109" t="s">
        <v>9189</v>
      </c>
      <c r="F3794" s="391" t="s">
        <v>21170</v>
      </c>
      <c r="G3794" s="23" t="s">
        <v>15443</v>
      </c>
      <c r="H3794" s="23"/>
      <c r="I3794" s="23"/>
      <c r="J3794" s="23"/>
      <c r="K3794" s="23"/>
      <c r="L3794" s="375" t="s">
        <v>7787</v>
      </c>
      <c r="M3794" s="351" t="s">
        <v>7787</v>
      </c>
      <c r="N3794" s="267">
        <f t="shared" si="892"/>
        <v>0</v>
      </c>
      <c r="O3794" s="268">
        <f t="shared" si="893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37"/>
      <c r="Z3794" s="237"/>
      <c r="AA3794" s="420"/>
      <c r="AB3794" s="238"/>
      <c r="AC3794" s="196">
        <f t="shared" si="896"/>
        <v>0</v>
      </c>
      <c r="AD3794" s="196">
        <f t="shared" si="897"/>
        <v>0</v>
      </c>
      <c r="AE3794" s="196">
        <f t="shared" si="898"/>
        <v>0</v>
      </c>
      <c r="AF3794" s="2">
        <f t="shared" si="899"/>
        <v>0</v>
      </c>
      <c r="AG3794" s="2">
        <f t="shared" si="900"/>
        <v>0</v>
      </c>
    </row>
    <row r="3795" spans="1:33">
      <c r="A3795" s="20" t="s">
        <v>23743</v>
      </c>
      <c r="B3795" s="152"/>
      <c r="C3795" s="21" t="s">
        <v>23763</v>
      </c>
      <c r="D3795" s="109" t="s">
        <v>23497</v>
      </c>
      <c r="E3795" s="109"/>
      <c r="F3795" s="391" t="s">
        <v>21170</v>
      </c>
      <c r="G3795" s="23" t="s">
        <v>15443</v>
      </c>
      <c r="H3795" s="23"/>
      <c r="I3795" s="23"/>
      <c r="J3795" s="23"/>
      <c r="K3795" s="23"/>
      <c r="L3795" s="375"/>
      <c r="M3795" s="351" t="s">
        <v>7787</v>
      </c>
      <c r="N3795" s="267">
        <f t="shared" si="892"/>
        <v>0</v>
      </c>
      <c r="O3795" s="268">
        <f t="shared" si="893"/>
        <v>0</v>
      </c>
      <c r="P3795" s="241"/>
      <c r="Q3795" s="241"/>
      <c r="R3795" s="241"/>
      <c r="S3795" s="241"/>
      <c r="T3795" s="241"/>
      <c r="U3795" s="240"/>
      <c r="V3795" s="240"/>
      <c r="W3795" s="240"/>
      <c r="X3795" s="278"/>
      <c r="Y3795" s="240"/>
      <c r="Z3795" s="237"/>
      <c r="AA3795" s="420"/>
      <c r="AB3795" s="238"/>
      <c r="AC3795" s="196">
        <f t="shared" si="896"/>
        <v>0</v>
      </c>
      <c r="AD3795" s="196">
        <f t="shared" si="897"/>
        <v>0</v>
      </c>
      <c r="AE3795" s="196">
        <f t="shared" si="898"/>
        <v>0</v>
      </c>
      <c r="AF3795" s="2">
        <f t="shared" si="899"/>
        <v>0</v>
      </c>
      <c r="AG3795" s="2">
        <f t="shared" si="900"/>
        <v>0</v>
      </c>
    </row>
    <row r="3796" spans="1:33">
      <c r="A3796" s="20" t="s">
        <v>23744</v>
      </c>
      <c r="B3796" s="152"/>
      <c r="C3796" s="21" t="s">
        <v>23769</v>
      </c>
      <c r="D3796" s="109" t="s">
        <v>23497</v>
      </c>
      <c r="E3796" s="109"/>
      <c r="F3796" s="391" t="s">
        <v>23770</v>
      </c>
      <c r="G3796" s="23" t="s">
        <v>13301</v>
      </c>
      <c r="H3796" s="23" t="s">
        <v>13888</v>
      </c>
      <c r="I3796" s="23" t="s">
        <v>6133</v>
      </c>
      <c r="J3796" s="23"/>
      <c r="K3796" s="23"/>
      <c r="L3796" s="375" t="s">
        <v>7787</v>
      </c>
      <c r="M3796" s="351"/>
      <c r="N3796" s="267">
        <f t="shared" si="892"/>
        <v>0</v>
      </c>
      <c r="O3796" s="268">
        <f t="shared" si="893"/>
        <v>0</v>
      </c>
      <c r="P3796" s="241"/>
      <c r="Q3796" s="241"/>
      <c r="R3796" s="241"/>
      <c r="S3796" s="241"/>
      <c r="T3796" s="241"/>
      <c r="U3796" s="240"/>
      <c r="V3796" s="240"/>
      <c r="W3796" s="240"/>
      <c r="X3796" s="278"/>
      <c r="Y3796" s="237"/>
      <c r="Z3796" s="237"/>
      <c r="AA3796" s="420"/>
      <c r="AB3796" s="238"/>
      <c r="AC3796" s="196">
        <f t="shared" si="896"/>
        <v>0</v>
      </c>
      <c r="AD3796" s="196">
        <f t="shared" si="897"/>
        <v>0</v>
      </c>
      <c r="AE3796" s="196">
        <f t="shared" si="898"/>
        <v>0</v>
      </c>
      <c r="AF3796" s="2">
        <f t="shared" si="899"/>
        <v>0</v>
      </c>
      <c r="AG3796" s="2">
        <f t="shared" si="900"/>
        <v>0</v>
      </c>
    </row>
    <row r="3797" spans="1:33">
      <c r="A3797" s="20" t="s">
        <v>21538</v>
      </c>
      <c r="B3797" s="152"/>
      <c r="C3797" s="21" t="s">
        <v>21381</v>
      </c>
      <c r="D3797" s="109" t="s">
        <v>9855</v>
      </c>
      <c r="E3797" s="109" t="s">
        <v>21382</v>
      </c>
      <c r="F3797" s="391" t="s">
        <v>21384</v>
      </c>
      <c r="G3797" s="23" t="s">
        <v>19108</v>
      </c>
      <c r="H3797" s="23"/>
      <c r="I3797" s="23"/>
      <c r="J3797" s="23"/>
      <c r="K3797" s="23"/>
      <c r="L3797" s="375"/>
      <c r="M3797" s="351"/>
      <c r="N3797" s="267">
        <f t="shared" si="892"/>
        <v>0</v>
      </c>
      <c r="O3797" s="268">
        <f t="shared" si="893"/>
        <v>350</v>
      </c>
      <c r="P3797" s="241"/>
      <c r="Q3797" s="241"/>
      <c r="R3797" s="241">
        <v>350</v>
      </c>
      <c r="S3797" s="241"/>
      <c r="T3797" s="241"/>
      <c r="U3797" s="241"/>
      <c r="V3797" s="240"/>
      <c r="W3797" s="240"/>
      <c r="X3797" s="278"/>
      <c r="Y3797" s="237"/>
      <c r="Z3797" s="237"/>
      <c r="AA3797" s="420"/>
      <c r="AB3797" s="238" t="s">
        <v>27972</v>
      </c>
      <c r="AC3797" s="196">
        <f t="shared" si="896"/>
        <v>350</v>
      </c>
      <c r="AD3797" s="196">
        <f t="shared" si="897"/>
        <v>350</v>
      </c>
      <c r="AE3797" s="196">
        <f t="shared" si="898"/>
        <v>0</v>
      </c>
      <c r="AF3797" s="2">
        <f t="shared" si="899"/>
        <v>350</v>
      </c>
      <c r="AG3797" s="2">
        <f t="shared" si="900"/>
        <v>0</v>
      </c>
    </row>
    <row r="3798" spans="1:33">
      <c r="A3798" s="20" t="s">
        <v>27089</v>
      </c>
      <c r="B3798" s="152"/>
      <c r="C3798" s="21" t="s">
        <v>21381</v>
      </c>
      <c r="D3798" s="109" t="s">
        <v>9855</v>
      </c>
      <c r="E3798" s="109"/>
      <c r="F3798" s="391" t="s">
        <v>21384</v>
      </c>
      <c r="G3798" s="23" t="s">
        <v>13339</v>
      </c>
      <c r="H3798" s="23"/>
      <c r="I3798" s="23"/>
      <c r="J3798" s="23"/>
      <c r="K3798" s="23"/>
      <c r="L3798" s="375" t="s">
        <v>7787</v>
      </c>
      <c r="M3798" s="351" t="s">
        <v>7787</v>
      </c>
      <c r="N3798" s="267">
        <f t="shared" ref="N3798" si="905">SUM(L3798:M3798)</f>
        <v>0</v>
      </c>
      <c r="O3798" s="268">
        <f t="shared" ref="O3798" si="906">SUM(P3798:Z3798)</f>
        <v>0</v>
      </c>
      <c r="P3798" s="241"/>
      <c r="Q3798" s="241"/>
      <c r="R3798" s="241"/>
      <c r="S3798" s="241"/>
      <c r="T3798" s="241"/>
      <c r="U3798" s="241"/>
      <c r="V3798" s="240"/>
      <c r="W3798" s="240"/>
      <c r="X3798" s="278"/>
      <c r="Y3798" s="243"/>
      <c r="Z3798" s="237"/>
      <c r="AA3798" s="420"/>
      <c r="AB3798" s="238"/>
      <c r="AC3798" s="196">
        <f t="shared" si="896"/>
        <v>0</v>
      </c>
      <c r="AD3798" s="196">
        <f t="shared" si="897"/>
        <v>0</v>
      </c>
      <c r="AE3798" s="196">
        <f t="shared" si="898"/>
        <v>0</v>
      </c>
      <c r="AF3798" s="2">
        <f t="shared" si="899"/>
        <v>0</v>
      </c>
      <c r="AG3798" s="2">
        <f t="shared" si="900"/>
        <v>0</v>
      </c>
    </row>
    <row r="3799" spans="1:33">
      <c r="A3799" s="20" t="s">
        <v>21539</v>
      </c>
      <c r="B3799" s="152"/>
      <c r="C3799" s="21" t="s">
        <v>21261</v>
      </c>
      <c r="D3799" s="109" t="s">
        <v>9855</v>
      </c>
      <c r="E3799" s="109"/>
      <c r="F3799" s="391" t="s">
        <v>21270</v>
      </c>
      <c r="G3799" s="23" t="s">
        <v>14533</v>
      </c>
      <c r="H3799" s="23" t="s">
        <v>15190</v>
      </c>
      <c r="I3799" s="23" t="s">
        <v>13238</v>
      </c>
      <c r="J3799" s="23"/>
      <c r="K3799" s="23"/>
      <c r="L3799" s="375"/>
      <c r="M3799" s="351" t="s">
        <v>45</v>
      </c>
      <c r="N3799" s="267">
        <f t="shared" si="892"/>
        <v>0</v>
      </c>
      <c r="O3799" s="268">
        <f t="shared" si="893"/>
        <v>0</v>
      </c>
      <c r="P3799" s="241"/>
      <c r="Q3799" s="241"/>
      <c r="R3799" s="241"/>
      <c r="S3799" s="241"/>
      <c r="T3799" s="241"/>
      <c r="U3799" s="240"/>
      <c r="V3799" s="240"/>
      <c r="W3799" s="240"/>
      <c r="X3799" s="278"/>
      <c r="Y3799" s="241"/>
      <c r="Z3799" s="237"/>
      <c r="AA3799" s="420"/>
      <c r="AB3799" s="238"/>
      <c r="AC3799" s="196">
        <f t="shared" si="896"/>
        <v>0</v>
      </c>
      <c r="AD3799" s="196">
        <f t="shared" si="897"/>
        <v>0</v>
      </c>
      <c r="AE3799" s="196">
        <f t="shared" si="898"/>
        <v>0</v>
      </c>
      <c r="AF3799" s="2">
        <f t="shared" si="899"/>
        <v>0</v>
      </c>
      <c r="AG3799" s="2">
        <f t="shared" si="900"/>
        <v>0</v>
      </c>
    </row>
    <row r="3800" spans="1:33">
      <c r="A3800" s="20" t="s">
        <v>27090</v>
      </c>
      <c r="B3800" s="152"/>
      <c r="C3800" s="21" t="s">
        <v>25884</v>
      </c>
      <c r="D3800" s="109" t="s">
        <v>24785</v>
      </c>
      <c r="E3800" s="109" t="s">
        <v>25887</v>
      </c>
      <c r="F3800" s="391" t="s">
        <v>25885</v>
      </c>
      <c r="G3800" s="23" t="s">
        <v>25402</v>
      </c>
      <c r="H3800" s="23" t="s">
        <v>24860</v>
      </c>
      <c r="I3800" s="23" t="s">
        <v>25886</v>
      </c>
      <c r="J3800" s="23"/>
      <c r="K3800" s="23"/>
      <c r="L3800" s="375"/>
      <c r="M3800" s="351" t="s">
        <v>7787</v>
      </c>
      <c r="N3800" s="267">
        <f t="shared" ref="N3800" si="907">SUM(L3800:M3800)</f>
        <v>0</v>
      </c>
      <c r="O3800" s="268">
        <f t="shared" ref="O3800" si="908">SUM(P3800:Z3800)</f>
        <v>50</v>
      </c>
      <c r="P3800" s="241"/>
      <c r="Q3800" s="241"/>
      <c r="R3800" s="241"/>
      <c r="S3800" s="241"/>
      <c r="T3800" s="241">
        <f>1000-650-300</f>
        <v>50</v>
      </c>
      <c r="U3800" s="240"/>
      <c r="V3800" s="240"/>
      <c r="W3800" s="240"/>
      <c r="X3800" s="278"/>
      <c r="Y3800" s="241"/>
      <c r="Z3800" s="237"/>
      <c r="AA3800" s="420"/>
      <c r="AB3800" s="238" t="s">
        <v>25888</v>
      </c>
      <c r="AC3800" s="196">
        <f t="shared" si="896"/>
        <v>50</v>
      </c>
      <c r="AD3800" s="196">
        <f t="shared" si="897"/>
        <v>50</v>
      </c>
      <c r="AE3800" s="196">
        <f t="shared" si="898"/>
        <v>0</v>
      </c>
      <c r="AF3800" s="2">
        <f t="shared" si="899"/>
        <v>50</v>
      </c>
      <c r="AG3800" s="2">
        <f t="shared" si="900"/>
        <v>0</v>
      </c>
    </row>
    <row r="3801" spans="1:33">
      <c r="A3801" s="20" t="s">
        <v>22085</v>
      </c>
      <c r="B3801" s="152"/>
      <c r="C3801" s="21" t="s">
        <v>22065</v>
      </c>
      <c r="D3801" s="109" t="s">
        <v>5979</v>
      </c>
      <c r="E3801" s="109" t="s">
        <v>19998</v>
      </c>
      <c r="F3801" s="391" t="s">
        <v>22108</v>
      </c>
      <c r="G3801" s="23" t="s">
        <v>22066</v>
      </c>
      <c r="H3801" s="23"/>
      <c r="I3801" s="23"/>
      <c r="J3801" s="23"/>
      <c r="K3801" s="23"/>
      <c r="L3801" s="375" t="s">
        <v>45</v>
      </c>
      <c r="M3801" s="351" t="s">
        <v>7787</v>
      </c>
      <c r="N3801" s="267">
        <f t="shared" si="892"/>
        <v>0</v>
      </c>
      <c r="O3801" s="268">
        <f t="shared" si="893"/>
        <v>0</v>
      </c>
      <c r="P3801" s="241"/>
      <c r="Q3801" s="241"/>
      <c r="R3801" s="241"/>
      <c r="S3801" s="241"/>
      <c r="T3801" s="241"/>
      <c r="U3801" s="240"/>
      <c r="V3801" s="240"/>
      <c r="W3801" s="240"/>
      <c r="X3801" s="278"/>
      <c r="Y3801" s="241"/>
      <c r="Z3801" s="237"/>
      <c r="AA3801" s="420"/>
      <c r="AB3801" s="238"/>
      <c r="AC3801" s="196">
        <f t="shared" si="896"/>
        <v>0</v>
      </c>
      <c r="AD3801" s="196">
        <f t="shared" si="897"/>
        <v>0</v>
      </c>
      <c r="AE3801" s="196">
        <f t="shared" si="898"/>
        <v>0</v>
      </c>
      <c r="AF3801" s="2">
        <f t="shared" si="899"/>
        <v>0</v>
      </c>
      <c r="AG3801" s="2">
        <f t="shared" si="900"/>
        <v>0</v>
      </c>
    </row>
    <row r="3802" spans="1:33">
      <c r="A3802" s="20" t="s">
        <v>24586</v>
      </c>
      <c r="B3802" s="152"/>
      <c r="C3802" s="21" t="s">
        <v>22065</v>
      </c>
      <c r="D3802" s="109" t="s">
        <v>5979</v>
      </c>
      <c r="E3802" s="109" t="s">
        <v>19998</v>
      </c>
      <c r="F3802" s="391" t="s">
        <v>24604</v>
      </c>
      <c r="G3802" s="23" t="s">
        <v>13888</v>
      </c>
      <c r="H3802" s="23"/>
      <c r="I3802" s="23"/>
      <c r="J3802" s="23"/>
      <c r="K3802" s="23"/>
      <c r="L3802" s="375" t="s">
        <v>27527</v>
      </c>
      <c r="M3802" s="351"/>
      <c r="N3802" s="267">
        <f t="shared" ref="N3802" si="909">SUM(L3802:M3802)</f>
        <v>0</v>
      </c>
      <c r="O3802" s="268">
        <f t="shared" ref="O3802" si="910">SUM(P3802:Z3802)</f>
        <v>150</v>
      </c>
      <c r="P3802" s="241"/>
      <c r="Q3802" s="241"/>
      <c r="R3802" s="241"/>
      <c r="S3802" s="241"/>
      <c r="T3802" s="240"/>
      <c r="U3802" s="240">
        <f>1000-150-200-200-300</f>
        <v>150</v>
      </c>
      <c r="V3802" s="240"/>
      <c r="W3802" s="240"/>
      <c r="X3802" s="278"/>
      <c r="Y3802" s="241"/>
      <c r="Z3802" s="237"/>
      <c r="AA3802" s="420"/>
      <c r="AB3802" s="238" t="s">
        <v>27525</v>
      </c>
      <c r="AC3802" s="196">
        <f t="shared" si="896"/>
        <v>150</v>
      </c>
      <c r="AD3802" s="196">
        <f t="shared" si="897"/>
        <v>150</v>
      </c>
      <c r="AE3802" s="196">
        <f t="shared" si="898"/>
        <v>0</v>
      </c>
      <c r="AF3802" s="2">
        <f t="shared" si="899"/>
        <v>150</v>
      </c>
      <c r="AG3802" s="2">
        <f t="shared" si="900"/>
        <v>0</v>
      </c>
    </row>
    <row r="3803" spans="1:33">
      <c r="A3803" s="20" t="s">
        <v>21577</v>
      </c>
      <c r="B3803" s="152"/>
      <c r="C3803" s="21" t="s">
        <v>21662</v>
      </c>
      <c r="D3803" s="109" t="s">
        <v>9855</v>
      </c>
      <c r="E3803" s="109"/>
      <c r="F3803" s="391" t="s">
        <v>21684</v>
      </c>
      <c r="G3803" s="23" t="s">
        <v>17522</v>
      </c>
      <c r="H3803" s="23"/>
      <c r="I3803" s="23"/>
      <c r="J3803" s="23"/>
      <c r="K3803" s="23"/>
      <c r="L3803" s="375" t="s">
        <v>7787</v>
      </c>
      <c r="M3803" s="351"/>
      <c r="N3803" s="267">
        <f t="shared" si="892"/>
        <v>0</v>
      </c>
      <c r="O3803" s="268">
        <f t="shared" si="893"/>
        <v>0</v>
      </c>
      <c r="P3803" s="241"/>
      <c r="Q3803" s="241"/>
      <c r="R3803" s="241"/>
      <c r="S3803" s="241"/>
      <c r="T3803" s="241"/>
      <c r="U3803" s="240"/>
      <c r="V3803" s="240"/>
      <c r="W3803" s="240"/>
      <c r="X3803" s="278"/>
      <c r="Y3803" s="241"/>
      <c r="Z3803" s="237"/>
      <c r="AA3803" s="420"/>
      <c r="AB3803" s="238"/>
      <c r="AC3803" s="196">
        <f t="shared" si="896"/>
        <v>0</v>
      </c>
      <c r="AD3803" s="196">
        <f t="shared" si="897"/>
        <v>0</v>
      </c>
      <c r="AE3803" s="196">
        <f t="shared" si="898"/>
        <v>0</v>
      </c>
      <c r="AF3803" s="2">
        <f t="shared" si="899"/>
        <v>0</v>
      </c>
      <c r="AG3803" s="2">
        <f t="shared" si="900"/>
        <v>0</v>
      </c>
    </row>
    <row r="3804" spans="1:33">
      <c r="A3804" s="20" t="s">
        <v>27091</v>
      </c>
      <c r="B3804" s="152"/>
      <c r="C3804" s="21" t="s">
        <v>26677</v>
      </c>
      <c r="D3804" s="109" t="s">
        <v>7960</v>
      </c>
      <c r="E3804" s="109"/>
      <c r="F3804" s="391" t="s">
        <v>26681</v>
      </c>
      <c r="G3804" s="23" t="s">
        <v>26678</v>
      </c>
      <c r="H3804" s="23"/>
      <c r="I3804" s="23"/>
      <c r="J3804" s="23"/>
      <c r="K3804" s="23"/>
      <c r="L3804" s="375" t="s">
        <v>45</v>
      </c>
      <c r="M3804" s="351"/>
      <c r="N3804" s="267">
        <f t="shared" ref="N3804" si="911">SUM(L3804:M3804)</f>
        <v>0</v>
      </c>
      <c r="O3804" s="268">
        <f t="shared" ref="O3804" si="912">SUM(P3804:Z3804)</f>
        <v>50</v>
      </c>
      <c r="P3804" s="241"/>
      <c r="Q3804" s="241"/>
      <c r="R3804" s="241">
        <f>500-450+550-550</f>
        <v>50</v>
      </c>
      <c r="S3804" s="241"/>
      <c r="T3804" s="241"/>
      <c r="U3804" s="240"/>
      <c r="V3804" s="240"/>
      <c r="W3804" s="240"/>
      <c r="X3804" s="278"/>
      <c r="Y3804" s="241"/>
      <c r="Z3804" s="237"/>
      <c r="AA3804" s="420"/>
      <c r="AB3804" s="238" t="s">
        <v>26693</v>
      </c>
      <c r="AC3804" s="196">
        <f t="shared" si="896"/>
        <v>50</v>
      </c>
      <c r="AD3804" s="196">
        <f t="shared" si="897"/>
        <v>50</v>
      </c>
      <c r="AE3804" s="196">
        <f t="shared" si="898"/>
        <v>0</v>
      </c>
      <c r="AF3804" s="2">
        <f t="shared" si="899"/>
        <v>50</v>
      </c>
      <c r="AG3804" s="2">
        <f t="shared" si="900"/>
        <v>0</v>
      </c>
    </row>
    <row r="3805" spans="1:33">
      <c r="A3805" s="20" t="s">
        <v>21540</v>
      </c>
      <c r="B3805" s="152"/>
      <c r="C3805" s="21" t="s">
        <v>21355</v>
      </c>
      <c r="D3805" s="109" t="s">
        <v>21702</v>
      </c>
      <c r="E3805" s="109"/>
      <c r="F3805" s="391" t="s">
        <v>21373</v>
      </c>
      <c r="G3805" s="23" t="s">
        <v>13942</v>
      </c>
      <c r="H3805" s="23"/>
      <c r="I3805" s="23"/>
      <c r="J3805" s="23"/>
      <c r="K3805" s="23"/>
      <c r="L3805" s="375"/>
      <c r="M3805" s="351" t="s">
        <v>45</v>
      </c>
      <c r="N3805" s="267">
        <f t="shared" si="892"/>
        <v>0</v>
      </c>
      <c r="O3805" s="268">
        <f t="shared" si="893"/>
        <v>350</v>
      </c>
      <c r="P3805" s="241"/>
      <c r="Q3805" s="241"/>
      <c r="R3805" s="241"/>
      <c r="S3805" s="241"/>
      <c r="T3805" s="241"/>
      <c r="U3805" s="240">
        <f>450-100</f>
        <v>350</v>
      </c>
      <c r="V3805" s="240"/>
      <c r="W3805" s="240"/>
      <c r="X3805" s="278"/>
      <c r="Y3805" s="237"/>
      <c r="Z3805" s="237"/>
      <c r="AA3805" s="420"/>
      <c r="AB3805" s="238" t="s">
        <v>27973</v>
      </c>
      <c r="AC3805" s="196">
        <f t="shared" si="896"/>
        <v>350</v>
      </c>
      <c r="AD3805" s="196">
        <f t="shared" si="897"/>
        <v>350</v>
      </c>
      <c r="AE3805" s="196">
        <f t="shared" si="898"/>
        <v>0</v>
      </c>
      <c r="AF3805" s="2">
        <f t="shared" si="899"/>
        <v>350</v>
      </c>
      <c r="AG3805" s="2">
        <f t="shared" si="900"/>
        <v>0</v>
      </c>
    </row>
    <row r="3806" spans="1:33">
      <c r="A3806" s="20" t="s">
        <v>21541</v>
      </c>
      <c r="B3806" s="152"/>
      <c r="C3806" s="21" t="s">
        <v>21377</v>
      </c>
      <c r="D3806" s="109" t="s">
        <v>21287</v>
      </c>
      <c r="E3806" s="109"/>
      <c r="F3806" s="391" t="s">
        <v>21319</v>
      </c>
      <c r="G3806" s="23" t="s">
        <v>16477</v>
      </c>
      <c r="H3806" s="23"/>
      <c r="I3806" s="23"/>
      <c r="J3806" s="23"/>
      <c r="K3806" s="23"/>
      <c r="L3806" s="375" t="s">
        <v>7787</v>
      </c>
      <c r="M3806" s="351" t="s">
        <v>7787</v>
      </c>
      <c r="N3806" s="267">
        <f t="shared" si="892"/>
        <v>0</v>
      </c>
      <c r="O3806" s="268">
        <f t="shared" si="893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6"/>
        <v>0</v>
      </c>
      <c r="AD3806" s="196">
        <f t="shared" si="897"/>
        <v>0</v>
      </c>
      <c r="AE3806" s="196">
        <f t="shared" si="898"/>
        <v>0</v>
      </c>
      <c r="AF3806" s="2">
        <f t="shared" si="899"/>
        <v>0</v>
      </c>
      <c r="AG3806" s="2">
        <f t="shared" si="900"/>
        <v>0</v>
      </c>
    </row>
    <row r="3807" spans="1:33">
      <c r="A3807" s="20" t="s">
        <v>21542</v>
      </c>
      <c r="B3807" s="152"/>
      <c r="C3807" s="21" t="s">
        <v>21378</v>
      </c>
      <c r="D3807" s="109" t="s">
        <v>20960</v>
      </c>
      <c r="E3807" s="109"/>
      <c r="F3807" s="391" t="s">
        <v>21319</v>
      </c>
      <c r="G3807" s="23" t="s">
        <v>16477</v>
      </c>
      <c r="H3807" s="23"/>
      <c r="I3807" s="23"/>
      <c r="J3807" s="23"/>
      <c r="K3807" s="23"/>
      <c r="L3807" s="375" t="s">
        <v>7787</v>
      </c>
      <c r="M3807" s="351"/>
      <c r="N3807" s="267">
        <f t="shared" si="892"/>
        <v>0</v>
      </c>
      <c r="O3807" s="268">
        <f t="shared" si="893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6"/>
        <v>0</v>
      </c>
      <c r="AD3807" s="196">
        <f t="shared" si="897"/>
        <v>0</v>
      </c>
      <c r="AE3807" s="196">
        <f t="shared" si="898"/>
        <v>0</v>
      </c>
      <c r="AF3807" s="2">
        <f t="shared" si="899"/>
        <v>0</v>
      </c>
      <c r="AG3807" s="2">
        <f t="shared" si="900"/>
        <v>0</v>
      </c>
    </row>
    <row r="3808" spans="1:33">
      <c r="A3808" s="20" t="s">
        <v>21543</v>
      </c>
      <c r="B3808" s="152"/>
      <c r="C3808" s="21" t="s">
        <v>21258</v>
      </c>
      <c r="D3808" s="109" t="s">
        <v>6433</v>
      </c>
      <c r="E3808" s="109" t="s">
        <v>21259</v>
      </c>
      <c r="F3808" s="391" t="s">
        <v>20411</v>
      </c>
      <c r="G3808" s="23" t="s">
        <v>21260</v>
      </c>
      <c r="H3808" s="23"/>
      <c r="I3808" s="23"/>
      <c r="J3808" s="23"/>
      <c r="K3808" s="23"/>
      <c r="L3808" s="375" t="s">
        <v>7787</v>
      </c>
      <c r="M3808" s="351"/>
      <c r="N3808" s="267">
        <f t="shared" si="892"/>
        <v>0</v>
      </c>
      <c r="O3808" s="268">
        <f t="shared" si="893"/>
        <v>0</v>
      </c>
      <c r="P3808" s="241"/>
      <c r="Q3808" s="241"/>
      <c r="R3808" s="241"/>
      <c r="S3808" s="241"/>
      <c r="T3808" s="241"/>
      <c r="U3808" s="240"/>
      <c r="V3808" s="240"/>
      <c r="W3808" s="240"/>
      <c r="X3808" s="278"/>
      <c r="Y3808" s="237"/>
      <c r="Z3808" s="237"/>
      <c r="AA3808" s="420"/>
      <c r="AB3808" s="238"/>
      <c r="AC3808" s="196">
        <f t="shared" si="896"/>
        <v>0</v>
      </c>
      <c r="AD3808" s="196">
        <f t="shared" si="897"/>
        <v>0</v>
      </c>
      <c r="AE3808" s="196">
        <f t="shared" si="898"/>
        <v>0</v>
      </c>
      <c r="AF3808" s="2">
        <f t="shared" si="899"/>
        <v>0</v>
      </c>
      <c r="AG3808" s="2">
        <f t="shared" si="900"/>
        <v>0</v>
      </c>
    </row>
    <row r="3809" spans="1:33">
      <c r="A3809" s="20" t="s">
        <v>21544</v>
      </c>
      <c r="B3809" s="152"/>
      <c r="C3809" s="21" t="s">
        <v>21366</v>
      </c>
      <c r="D3809" s="109" t="s">
        <v>9855</v>
      </c>
      <c r="E3809" s="109" t="s">
        <v>20884</v>
      </c>
      <c r="F3809" s="391" t="s">
        <v>21370</v>
      </c>
      <c r="G3809" s="23" t="s">
        <v>13932</v>
      </c>
      <c r="H3809" s="23" t="s">
        <v>6133</v>
      </c>
      <c r="I3809" s="23" t="s">
        <v>22167</v>
      </c>
      <c r="J3809" s="23"/>
      <c r="K3809" s="23"/>
      <c r="L3809" s="375" t="s">
        <v>7787</v>
      </c>
      <c r="M3809" s="351" t="s">
        <v>7787</v>
      </c>
      <c r="N3809" s="267">
        <f t="shared" si="892"/>
        <v>0</v>
      </c>
      <c r="O3809" s="268">
        <f t="shared" si="893"/>
        <v>0</v>
      </c>
      <c r="P3809" s="241"/>
      <c r="Q3809" s="241"/>
      <c r="R3809" s="241"/>
      <c r="S3809" s="241"/>
      <c r="T3809" s="241"/>
      <c r="U3809" s="240"/>
      <c r="V3809" s="240"/>
      <c r="W3809" s="240"/>
      <c r="X3809" s="278"/>
      <c r="Y3809" s="237"/>
      <c r="Z3809" s="237"/>
      <c r="AA3809" s="420"/>
      <c r="AB3809" s="238"/>
      <c r="AC3809" s="196">
        <f t="shared" si="896"/>
        <v>0</v>
      </c>
      <c r="AD3809" s="196">
        <f t="shared" si="897"/>
        <v>0</v>
      </c>
      <c r="AE3809" s="196">
        <f t="shared" si="898"/>
        <v>0</v>
      </c>
      <c r="AF3809" s="2">
        <f t="shared" si="899"/>
        <v>0</v>
      </c>
      <c r="AG3809" s="2">
        <f t="shared" si="900"/>
        <v>0</v>
      </c>
    </row>
    <row r="3810" spans="1:33">
      <c r="A3810" s="20" t="s">
        <v>21566</v>
      </c>
      <c r="B3810" s="152"/>
      <c r="C3810" s="21" t="s">
        <v>21610</v>
      </c>
      <c r="D3810" s="109" t="s">
        <v>9855</v>
      </c>
      <c r="E3810" s="109"/>
      <c r="F3810" s="391" t="s">
        <v>21619</v>
      </c>
      <c r="G3810" s="23" t="s">
        <v>13942</v>
      </c>
      <c r="H3810" s="23" t="s">
        <v>14782</v>
      </c>
      <c r="I3810" s="23"/>
      <c r="J3810" s="23"/>
      <c r="K3810" s="23"/>
      <c r="L3810" s="375" t="s">
        <v>27930</v>
      </c>
      <c r="M3810" s="351"/>
      <c r="N3810" s="267">
        <f t="shared" si="892"/>
        <v>0</v>
      </c>
      <c r="O3810" s="268">
        <f t="shared" si="893"/>
        <v>950</v>
      </c>
      <c r="P3810" s="241"/>
      <c r="Q3810" s="241"/>
      <c r="R3810" s="240"/>
      <c r="S3810" s="241"/>
      <c r="T3810" s="241"/>
      <c r="U3810" s="240">
        <f>850-300+400</f>
        <v>950</v>
      </c>
      <c r="V3810" s="240"/>
      <c r="W3810" s="240"/>
      <c r="X3810" s="278"/>
      <c r="Y3810" s="237"/>
      <c r="Z3810" s="237"/>
      <c r="AA3810" s="420"/>
      <c r="AB3810" s="238" t="s">
        <v>27929</v>
      </c>
      <c r="AC3810" s="196">
        <f t="shared" si="896"/>
        <v>950</v>
      </c>
      <c r="AD3810" s="196">
        <f t="shared" si="897"/>
        <v>950</v>
      </c>
      <c r="AE3810" s="196">
        <f t="shared" si="898"/>
        <v>0</v>
      </c>
      <c r="AF3810" s="2">
        <f t="shared" si="899"/>
        <v>950</v>
      </c>
      <c r="AG3810" s="2">
        <f t="shared" si="900"/>
        <v>0</v>
      </c>
    </row>
    <row r="3811" spans="1:33">
      <c r="A3811" s="20" t="s">
        <v>21545</v>
      </c>
      <c r="B3811" s="152"/>
      <c r="C3811" s="21" t="s">
        <v>21367</v>
      </c>
      <c r="D3811" s="109" t="s">
        <v>9855</v>
      </c>
      <c r="E3811" s="109" t="s">
        <v>20884</v>
      </c>
      <c r="F3811" s="391" t="s">
        <v>21371</v>
      </c>
      <c r="G3811" s="23" t="s">
        <v>17522</v>
      </c>
      <c r="H3811" s="23"/>
      <c r="I3811" s="23"/>
      <c r="J3811" s="23"/>
      <c r="K3811" s="23"/>
      <c r="L3811" s="375"/>
      <c r="M3811" s="351" t="s">
        <v>7787</v>
      </c>
      <c r="N3811" s="267">
        <f t="shared" si="892"/>
        <v>0</v>
      </c>
      <c r="O3811" s="268">
        <f t="shared" si="893"/>
        <v>0</v>
      </c>
      <c r="P3811" s="241"/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/>
      <c r="AC3811" s="196">
        <f t="shared" si="896"/>
        <v>0</v>
      </c>
      <c r="AD3811" s="196">
        <f t="shared" si="897"/>
        <v>0</v>
      </c>
      <c r="AE3811" s="196">
        <f t="shared" si="898"/>
        <v>0</v>
      </c>
      <c r="AF3811" s="2">
        <f t="shared" si="899"/>
        <v>0</v>
      </c>
      <c r="AG3811" s="2">
        <f t="shared" si="900"/>
        <v>0</v>
      </c>
    </row>
    <row r="3812" spans="1:33" ht="17.45" customHeight="1">
      <c r="A3812" s="20" t="s">
        <v>21546</v>
      </c>
      <c r="B3812" s="152"/>
      <c r="C3812" s="21" t="s">
        <v>21383</v>
      </c>
      <c r="D3812" s="109" t="s">
        <v>9855</v>
      </c>
      <c r="E3812" s="109" t="s">
        <v>20884</v>
      </c>
      <c r="F3812" s="391" t="s">
        <v>21579</v>
      </c>
      <c r="G3812" s="23" t="s">
        <v>13932</v>
      </c>
      <c r="H3812" s="23" t="s">
        <v>6133</v>
      </c>
      <c r="I3812" s="23" t="s">
        <v>22167</v>
      </c>
      <c r="J3812" s="23"/>
      <c r="K3812" s="23"/>
      <c r="L3812" s="375" t="s">
        <v>45</v>
      </c>
      <c r="M3812" s="351" t="s">
        <v>45</v>
      </c>
      <c r="N3812" s="267">
        <f t="shared" si="892"/>
        <v>0</v>
      </c>
      <c r="O3812" s="268">
        <f t="shared" si="893"/>
        <v>300</v>
      </c>
      <c r="P3812" s="240">
        <f>3050-650+1400+500-4000</f>
        <v>300</v>
      </c>
      <c r="Q3812" s="241"/>
      <c r="R3812" s="241"/>
      <c r="S3812" s="241"/>
      <c r="T3812" s="241"/>
      <c r="U3812" s="240"/>
      <c r="V3812" s="240"/>
      <c r="W3812" s="240"/>
      <c r="X3812" s="278"/>
      <c r="Y3812" s="237"/>
      <c r="Z3812" s="237"/>
      <c r="AA3812" s="420"/>
      <c r="AB3812" s="238" t="s">
        <v>26447</v>
      </c>
      <c r="AC3812" s="196">
        <f t="shared" si="896"/>
        <v>300</v>
      </c>
      <c r="AD3812" s="196">
        <f t="shared" si="897"/>
        <v>300</v>
      </c>
      <c r="AE3812" s="196">
        <f t="shared" si="898"/>
        <v>0</v>
      </c>
      <c r="AF3812" s="2">
        <f t="shared" si="899"/>
        <v>300</v>
      </c>
      <c r="AG3812" s="2">
        <f t="shared" si="900"/>
        <v>0</v>
      </c>
    </row>
    <row r="3813" spans="1:33" ht="17.45" customHeight="1">
      <c r="A3813" s="20" t="s">
        <v>23167</v>
      </c>
      <c r="B3813" s="152"/>
      <c r="C3813" s="21" t="s">
        <v>21383</v>
      </c>
      <c r="D3813" s="109" t="s">
        <v>9855</v>
      </c>
      <c r="E3813" s="109" t="s">
        <v>23180</v>
      </c>
      <c r="F3813" s="391" t="s">
        <v>21579</v>
      </c>
      <c r="G3813" s="23" t="s">
        <v>13932</v>
      </c>
      <c r="H3813" s="23" t="s">
        <v>6133</v>
      </c>
      <c r="I3813" s="23" t="s">
        <v>22167</v>
      </c>
      <c r="J3813" s="23"/>
      <c r="K3813" s="23"/>
      <c r="L3813" s="375" t="s">
        <v>7787</v>
      </c>
      <c r="M3813" s="351"/>
      <c r="N3813" s="267">
        <f t="shared" si="892"/>
        <v>0</v>
      </c>
      <c r="O3813" s="268">
        <f t="shared" si="893"/>
        <v>0</v>
      </c>
      <c r="P3813" s="241"/>
      <c r="Q3813" s="241"/>
      <c r="R3813" s="241"/>
      <c r="S3813" s="241"/>
      <c r="T3813" s="241"/>
      <c r="U3813" s="240"/>
      <c r="V3813" s="240"/>
      <c r="W3813" s="240"/>
      <c r="X3813" s="278"/>
      <c r="Y3813" s="237"/>
      <c r="Z3813" s="237"/>
      <c r="AA3813" s="420"/>
      <c r="AB3813" s="238"/>
      <c r="AC3813" s="196">
        <f t="shared" si="896"/>
        <v>0</v>
      </c>
      <c r="AD3813" s="196">
        <f t="shared" si="897"/>
        <v>0</v>
      </c>
      <c r="AE3813" s="196">
        <f t="shared" si="898"/>
        <v>0</v>
      </c>
      <c r="AF3813" s="2">
        <f t="shared" si="899"/>
        <v>0</v>
      </c>
      <c r="AG3813" s="2">
        <f t="shared" si="900"/>
        <v>0</v>
      </c>
    </row>
    <row r="3814" spans="1:33">
      <c r="A3814" s="20" t="s">
        <v>2863</v>
      </c>
      <c r="B3814" s="161"/>
      <c r="C3814" s="21" t="s">
        <v>848</v>
      </c>
      <c r="D3814" s="109" t="s">
        <v>15161</v>
      </c>
      <c r="E3814" s="109"/>
      <c r="F3814" s="391" t="s">
        <v>16857</v>
      </c>
      <c r="G3814" s="23" t="s">
        <v>16858</v>
      </c>
      <c r="H3814" s="23" t="s">
        <v>16623</v>
      </c>
      <c r="I3814" s="23"/>
      <c r="J3814" s="23"/>
      <c r="K3814" s="23"/>
      <c r="L3814" s="375"/>
      <c r="M3814" s="351" t="s">
        <v>7787</v>
      </c>
      <c r="N3814" s="267">
        <f t="shared" si="892"/>
        <v>0</v>
      </c>
      <c r="O3814" s="268">
        <f t="shared" si="893"/>
        <v>50</v>
      </c>
      <c r="P3814" s="239"/>
      <c r="Q3814" s="239"/>
      <c r="R3814" s="239">
        <f>400-200-50+600-400-300</f>
        <v>50</v>
      </c>
      <c r="S3814" s="239"/>
      <c r="T3814" s="239"/>
      <c r="U3814" s="240"/>
      <c r="V3814" s="240"/>
      <c r="W3814" s="240"/>
      <c r="X3814" s="278"/>
      <c r="Y3814" s="237"/>
      <c r="Z3814" s="237"/>
      <c r="AA3814" s="279"/>
      <c r="AB3814" s="238" t="s">
        <v>22330</v>
      </c>
      <c r="AC3814" s="196">
        <f t="shared" si="896"/>
        <v>50</v>
      </c>
      <c r="AD3814" s="196">
        <f t="shared" si="897"/>
        <v>50</v>
      </c>
      <c r="AE3814" s="196">
        <f t="shared" si="898"/>
        <v>0</v>
      </c>
      <c r="AF3814" s="2">
        <f t="shared" si="899"/>
        <v>50</v>
      </c>
      <c r="AG3814" s="2">
        <f t="shared" si="900"/>
        <v>0</v>
      </c>
    </row>
    <row r="3815" spans="1:33">
      <c r="A3815" s="20" t="s">
        <v>2864</v>
      </c>
      <c r="B3815" s="161"/>
      <c r="C3815" s="21" t="s">
        <v>848</v>
      </c>
      <c r="D3815" s="109" t="s">
        <v>15167</v>
      </c>
      <c r="E3815" s="109"/>
      <c r="F3815" s="391" t="s">
        <v>16857</v>
      </c>
      <c r="G3815" s="23" t="s">
        <v>15802</v>
      </c>
      <c r="H3815" s="23"/>
      <c r="I3815" s="23"/>
      <c r="J3815" s="23"/>
      <c r="K3815" s="23"/>
      <c r="L3815" s="350"/>
      <c r="M3815" s="351"/>
      <c r="N3815" s="267">
        <f t="shared" si="892"/>
        <v>0</v>
      </c>
      <c r="O3815" s="268">
        <f t="shared" si="893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7"/>
      <c r="Z3815" s="237"/>
      <c r="AA3815" s="285"/>
      <c r="AB3815" s="238"/>
      <c r="AC3815" s="196">
        <f t="shared" si="896"/>
        <v>0</v>
      </c>
      <c r="AD3815" s="196">
        <f t="shared" si="897"/>
        <v>0</v>
      </c>
      <c r="AE3815" s="196">
        <f t="shared" si="898"/>
        <v>0</v>
      </c>
      <c r="AF3815" s="2">
        <f t="shared" si="899"/>
        <v>0</v>
      </c>
      <c r="AG3815" s="2">
        <f t="shared" si="900"/>
        <v>0</v>
      </c>
    </row>
    <row r="3816" spans="1:33">
      <c r="A3816" s="20" t="s">
        <v>2865</v>
      </c>
      <c r="B3816" s="161"/>
      <c r="C3816" s="21" t="s">
        <v>848</v>
      </c>
      <c r="D3816" s="109" t="s">
        <v>16363</v>
      </c>
      <c r="E3816" s="109"/>
      <c r="F3816" s="391" t="s">
        <v>16857</v>
      </c>
      <c r="G3816" s="23"/>
      <c r="H3816" s="23"/>
      <c r="I3816" s="23"/>
      <c r="J3816" s="23"/>
      <c r="K3816" s="23"/>
      <c r="L3816" s="350"/>
      <c r="M3816" s="351"/>
      <c r="N3816" s="267">
        <f t="shared" si="892"/>
        <v>0</v>
      </c>
      <c r="O3816" s="268">
        <f t="shared" si="893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9"/>
      <c r="Z3816" s="237"/>
      <c r="AA3816" s="279"/>
      <c r="AB3816" s="238"/>
      <c r="AC3816" s="196">
        <f t="shared" si="896"/>
        <v>0</v>
      </c>
      <c r="AD3816" s="196">
        <f t="shared" si="897"/>
        <v>0</v>
      </c>
      <c r="AE3816" s="196">
        <f t="shared" si="898"/>
        <v>0</v>
      </c>
      <c r="AF3816" s="2">
        <f t="shared" si="899"/>
        <v>0</v>
      </c>
      <c r="AG3816" s="2">
        <f t="shared" si="900"/>
        <v>0</v>
      </c>
    </row>
    <row r="3817" spans="1:33">
      <c r="A3817" s="20" t="s">
        <v>2019</v>
      </c>
      <c r="B3817" s="150"/>
      <c r="C3817" s="21" t="s">
        <v>307</v>
      </c>
      <c r="D3817" s="109" t="s">
        <v>16231</v>
      </c>
      <c r="E3817" s="109"/>
      <c r="F3817" s="391" t="s">
        <v>16859</v>
      </c>
      <c r="G3817" s="23"/>
      <c r="H3817" s="23"/>
      <c r="I3817" s="23"/>
      <c r="J3817" s="23"/>
      <c r="K3817" s="23"/>
      <c r="L3817" s="350"/>
      <c r="M3817" s="351"/>
      <c r="N3817" s="267">
        <f t="shared" si="892"/>
        <v>0</v>
      </c>
      <c r="O3817" s="268">
        <f t="shared" si="893"/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6"/>
        <v>0</v>
      </c>
      <c r="AD3817" s="196">
        <f t="shared" si="897"/>
        <v>0</v>
      </c>
      <c r="AE3817" s="196">
        <f t="shared" si="898"/>
        <v>0</v>
      </c>
      <c r="AF3817" s="2">
        <f t="shared" si="899"/>
        <v>0</v>
      </c>
      <c r="AG3817" s="2">
        <f t="shared" si="900"/>
        <v>0</v>
      </c>
    </row>
    <row r="3818" spans="1:33">
      <c r="A3818" s="20" t="s">
        <v>2020</v>
      </c>
      <c r="B3818" s="156" t="s">
        <v>16860</v>
      </c>
      <c r="C3818" s="21" t="s">
        <v>308</v>
      </c>
      <c r="D3818" s="109" t="s">
        <v>15161</v>
      </c>
      <c r="E3818" s="109"/>
      <c r="F3818" s="391" t="s">
        <v>16861</v>
      </c>
      <c r="G3818" s="23" t="s">
        <v>16142</v>
      </c>
      <c r="H3818" s="23"/>
      <c r="I3818" s="23"/>
      <c r="J3818" s="23"/>
      <c r="K3818" s="23"/>
      <c r="L3818" s="375" t="s">
        <v>7787</v>
      </c>
      <c r="M3818" s="351"/>
      <c r="N3818" s="267">
        <f t="shared" si="892"/>
        <v>0</v>
      </c>
      <c r="O3818" s="268">
        <f t="shared" si="893"/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/>
      <c r="AC3818" s="196">
        <f t="shared" si="896"/>
        <v>0</v>
      </c>
      <c r="AD3818" s="196">
        <f t="shared" si="897"/>
        <v>0</v>
      </c>
      <c r="AE3818" s="196">
        <f t="shared" si="898"/>
        <v>0</v>
      </c>
      <c r="AF3818" s="2">
        <f t="shared" si="899"/>
        <v>0</v>
      </c>
      <c r="AG3818" s="2">
        <f t="shared" si="900"/>
        <v>0</v>
      </c>
    </row>
    <row r="3819" spans="1:33">
      <c r="A3819" s="20" t="s">
        <v>21547</v>
      </c>
      <c r="B3819" s="156"/>
      <c r="C3819" s="21" t="s">
        <v>21351</v>
      </c>
      <c r="D3819" s="109" t="s">
        <v>5979</v>
      </c>
      <c r="E3819" s="109" t="s">
        <v>19998</v>
      </c>
      <c r="F3819" s="391" t="s">
        <v>21374</v>
      </c>
      <c r="G3819" s="23" t="s">
        <v>21352</v>
      </c>
      <c r="H3819" s="23"/>
      <c r="I3819" s="23"/>
      <c r="J3819" s="23"/>
      <c r="K3819" s="23"/>
      <c r="L3819" s="375" t="s">
        <v>7787</v>
      </c>
      <c r="M3819" s="351" t="s">
        <v>7787</v>
      </c>
      <c r="N3819" s="267">
        <f t="shared" ref="N3819:N3890" si="913">SUM(L3819:M3819)</f>
        <v>0</v>
      </c>
      <c r="O3819" s="268">
        <f t="shared" ref="O3819:O3890" si="914">SUM(P3819:Z3819)</f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/>
      <c r="AC3819" s="196">
        <f t="shared" si="896"/>
        <v>0</v>
      </c>
      <c r="AD3819" s="196">
        <f t="shared" si="897"/>
        <v>0</v>
      </c>
      <c r="AE3819" s="196">
        <f t="shared" si="898"/>
        <v>0</v>
      </c>
      <c r="AF3819" s="2">
        <f t="shared" si="899"/>
        <v>0</v>
      </c>
      <c r="AG3819" s="2">
        <f t="shared" si="900"/>
        <v>0</v>
      </c>
    </row>
    <row r="3820" spans="1:33">
      <c r="A3820" s="20" t="s">
        <v>21912</v>
      </c>
      <c r="B3820" s="156"/>
      <c r="C3820" s="21" t="s">
        <v>21351</v>
      </c>
      <c r="D3820" s="109" t="s">
        <v>5979</v>
      </c>
      <c r="E3820" s="109" t="s">
        <v>21933</v>
      </c>
      <c r="F3820" s="391" t="s">
        <v>21374</v>
      </c>
      <c r="G3820" s="23" t="s">
        <v>15443</v>
      </c>
      <c r="H3820" s="23"/>
      <c r="I3820" s="23"/>
      <c r="J3820" s="23"/>
      <c r="K3820" s="23"/>
      <c r="L3820" s="375" t="s">
        <v>7787</v>
      </c>
      <c r="M3820" s="351" t="s">
        <v>7787</v>
      </c>
      <c r="N3820" s="267">
        <f t="shared" si="913"/>
        <v>0</v>
      </c>
      <c r="O3820" s="268">
        <f t="shared" si="914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37"/>
      <c r="Z3820" s="237"/>
      <c r="AA3820" s="279"/>
      <c r="AB3820" s="238" t="s">
        <v>23196</v>
      </c>
      <c r="AC3820" s="196">
        <f t="shared" si="896"/>
        <v>0</v>
      </c>
      <c r="AD3820" s="196">
        <f t="shared" si="897"/>
        <v>0</v>
      </c>
      <c r="AE3820" s="196">
        <f t="shared" si="898"/>
        <v>0</v>
      </c>
      <c r="AF3820" s="2">
        <f t="shared" si="899"/>
        <v>0</v>
      </c>
      <c r="AG3820" s="2">
        <f t="shared" si="900"/>
        <v>0</v>
      </c>
    </row>
    <row r="3821" spans="1:33">
      <c r="A3821" s="20" t="s">
        <v>21548</v>
      </c>
      <c r="B3821" s="156"/>
      <c r="C3821" s="21" t="s">
        <v>21353</v>
      </c>
      <c r="D3821" s="109" t="s">
        <v>5979</v>
      </c>
      <c r="E3821" s="109" t="s">
        <v>19998</v>
      </c>
      <c r="F3821" s="391" t="s">
        <v>21375</v>
      </c>
      <c r="G3821" s="23" t="s">
        <v>21352</v>
      </c>
      <c r="H3821" s="23"/>
      <c r="I3821" s="23"/>
      <c r="J3821" s="23"/>
      <c r="K3821" s="23"/>
      <c r="L3821" s="375"/>
      <c r="M3821" s="351" t="s">
        <v>7787</v>
      </c>
      <c r="N3821" s="267">
        <f t="shared" si="913"/>
        <v>0</v>
      </c>
      <c r="O3821" s="268">
        <f t="shared" si="914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37"/>
      <c r="Z3821" s="237"/>
      <c r="AA3821" s="279"/>
      <c r="AB3821" s="238"/>
      <c r="AC3821" s="196">
        <f t="shared" si="896"/>
        <v>0</v>
      </c>
      <c r="AD3821" s="196">
        <f t="shared" si="897"/>
        <v>0</v>
      </c>
      <c r="AE3821" s="196">
        <f t="shared" si="898"/>
        <v>0</v>
      </c>
      <c r="AF3821" s="2">
        <f t="shared" si="899"/>
        <v>0</v>
      </c>
      <c r="AG3821" s="2">
        <f t="shared" si="900"/>
        <v>0</v>
      </c>
    </row>
    <row r="3822" spans="1:33">
      <c r="A3822" s="20" t="s">
        <v>21549</v>
      </c>
      <c r="B3822" s="156"/>
      <c r="C3822" s="21" t="s">
        <v>21354</v>
      </c>
      <c r="D3822" s="109" t="s">
        <v>5979</v>
      </c>
      <c r="E3822" s="109" t="s">
        <v>19998</v>
      </c>
      <c r="F3822" s="391" t="s">
        <v>21376</v>
      </c>
      <c r="G3822" s="23" t="s">
        <v>21352</v>
      </c>
      <c r="H3822" s="23"/>
      <c r="I3822" s="23"/>
      <c r="J3822" s="23"/>
      <c r="K3822" s="23"/>
      <c r="L3822" s="375" t="s">
        <v>7787</v>
      </c>
      <c r="M3822" s="351" t="s">
        <v>7787</v>
      </c>
      <c r="N3822" s="267">
        <f t="shared" si="913"/>
        <v>0</v>
      </c>
      <c r="O3822" s="268">
        <f t="shared" si="914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40"/>
      <c r="Z3822" s="237"/>
      <c r="AA3822" s="279"/>
      <c r="AB3822" s="254"/>
      <c r="AC3822" s="196">
        <f t="shared" si="896"/>
        <v>0</v>
      </c>
      <c r="AD3822" s="196">
        <f t="shared" si="897"/>
        <v>0</v>
      </c>
      <c r="AE3822" s="196">
        <f t="shared" si="898"/>
        <v>0</v>
      </c>
      <c r="AF3822" s="2">
        <f t="shared" si="899"/>
        <v>0</v>
      </c>
      <c r="AG3822" s="2">
        <f t="shared" si="900"/>
        <v>0</v>
      </c>
    </row>
    <row r="3823" spans="1:33">
      <c r="A3823" s="20" t="s">
        <v>23917</v>
      </c>
      <c r="B3823" s="156"/>
      <c r="C3823" s="21" t="s">
        <v>21354</v>
      </c>
      <c r="D3823" s="109" t="s">
        <v>5979</v>
      </c>
      <c r="E3823" s="109" t="s">
        <v>9189</v>
      </c>
      <c r="F3823" s="391" t="s">
        <v>24015</v>
      </c>
      <c r="G3823" s="23" t="s">
        <v>15443</v>
      </c>
      <c r="H3823" s="23"/>
      <c r="I3823" s="23"/>
      <c r="J3823" s="23"/>
      <c r="K3823" s="23"/>
      <c r="L3823" s="375"/>
      <c r="M3823" s="351"/>
      <c r="N3823" s="267">
        <f t="shared" si="913"/>
        <v>0</v>
      </c>
      <c r="O3823" s="268">
        <f t="shared" si="914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40"/>
      <c r="Z3823" s="237"/>
      <c r="AA3823" s="279"/>
      <c r="AB3823" s="238"/>
      <c r="AC3823" s="196">
        <f t="shared" si="896"/>
        <v>0</v>
      </c>
      <c r="AD3823" s="196">
        <f t="shared" si="897"/>
        <v>0</v>
      </c>
      <c r="AE3823" s="196">
        <f t="shared" si="898"/>
        <v>0</v>
      </c>
      <c r="AF3823" s="2">
        <f t="shared" si="899"/>
        <v>0</v>
      </c>
      <c r="AG3823" s="2">
        <f t="shared" si="900"/>
        <v>0</v>
      </c>
    </row>
    <row r="3824" spans="1:33">
      <c r="A3824" s="20" t="s">
        <v>2866</v>
      </c>
      <c r="B3824" s="150"/>
      <c r="C3824" s="21" t="s">
        <v>650</v>
      </c>
      <c r="D3824" s="109" t="s">
        <v>15161</v>
      </c>
      <c r="E3824" s="109"/>
      <c r="F3824" s="391" t="s">
        <v>16862</v>
      </c>
      <c r="G3824" s="23"/>
      <c r="H3824" s="23"/>
      <c r="I3824" s="23"/>
      <c r="J3824" s="23"/>
      <c r="K3824" s="23"/>
      <c r="L3824" s="375" t="s">
        <v>7787</v>
      </c>
      <c r="M3824" s="351"/>
      <c r="N3824" s="267">
        <f t="shared" si="913"/>
        <v>0</v>
      </c>
      <c r="O3824" s="268">
        <f t="shared" si="914"/>
        <v>0</v>
      </c>
      <c r="P3824" s="239"/>
      <c r="Q3824" s="239"/>
      <c r="R3824" s="239"/>
      <c r="S3824" s="239"/>
      <c r="T3824" s="239"/>
      <c r="U3824" s="240"/>
      <c r="V3824" s="240"/>
      <c r="W3824" s="240"/>
      <c r="X3824" s="278"/>
      <c r="Y3824" s="237"/>
      <c r="Z3824" s="237"/>
      <c r="AA3824" s="279"/>
      <c r="AB3824" s="238"/>
      <c r="AC3824" s="196">
        <f t="shared" si="896"/>
        <v>0</v>
      </c>
      <c r="AD3824" s="196">
        <f t="shared" si="897"/>
        <v>0</v>
      </c>
      <c r="AE3824" s="196">
        <f t="shared" si="898"/>
        <v>0</v>
      </c>
      <c r="AF3824" s="2">
        <f t="shared" si="899"/>
        <v>0</v>
      </c>
      <c r="AG3824" s="2">
        <f t="shared" si="900"/>
        <v>0</v>
      </c>
    </row>
    <row r="3825" spans="1:33">
      <c r="A3825" s="20" t="s">
        <v>2867</v>
      </c>
      <c r="B3825" s="150"/>
      <c r="C3825" s="21" t="s">
        <v>650</v>
      </c>
      <c r="D3825" s="109" t="s">
        <v>15167</v>
      </c>
      <c r="E3825" s="109"/>
      <c r="F3825" s="391" t="s">
        <v>16862</v>
      </c>
      <c r="G3825" s="23"/>
      <c r="H3825" s="23"/>
      <c r="I3825" s="23"/>
      <c r="J3825" s="23"/>
      <c r="K3825" s="23"/>
      <c r="L3825" s="375"/>
      <c r="M3825" s="351"/>
      <c r="N3825" s="267">
        <f t="shared" si="913"/>
        <v>0</v>
      </c>
      <c r="O3825" s="268">
        <f t="shared" si="914"/>
        <v>0</v>
      </c>
      <c r="P3825" s="239"/>
      <c r="Q3825" s="239"/>
      <c r="R3825" s="239"/>
      <c r="S3825" s="239"/>
      <c r="T3825" s="239"/>
      <c r="U3825" s="240"/>
      <c r="V3825" s="240"/>
      <c r="W3825" s="240"/>
      <c r="X3825" s="278"/>
      <c r="Y3825" s="239"/>
      <c r="Z3825" s="237"/>
      <c r="AA3825" s="279"/>
      <c r="AB3825" s="238"/>
      <c r="AC3825" s="196">
        <f t="shared" ref="AC3825:AC3888" si="915">SUM(P3825:AA3825)</f>
        <v>0</v>
      </c>
      <c r="AD3825" s="196">
        <f t="shared" ref="AD3825:AD3888" si="916">SUM(P3825:AB3825)</f>
        <v>0</v>
      </c>
      <c r="AE3825" s="196">
        <f t="shared" ref="AE3825:AE3888" si="917">SUM(AC3825-AD3825)</f>
        <v>0</v>
      </c>
      <c r="AF3825" s="2">
        <f t="shared" ref="AF3825:AF3888" si="918">+AC3825</f>
        <v>0</v>
      </c>
      <c r="AG3825" s="2">
        <f t="shared" ref="AG3825:AG3888" si="919">+AC3825-AF3825</f>
        <v>0</v>
      </c>
    </row>
    <row r="3826" spans="1:33">
      <c r="A3826" s="20" t="s">
        <v>21680</v>
      </c>
      <c r="B3826" s="150"/>
      <c r="C3826" s="21" t="s">
        <v>21761</v>
      </c>
      <c r="D3826" s="109" t="s">
        <v>21762</v>
      </c>
      <c r="E3826" s="109" t="s">
        <v>19998</v>
      </c>
      <c r="F3826" s="391" t="s">
        <v>21765</v>
      </c>
      <c r="G3826" s="23" t="s">
        <v>16477</v>
      </c>
      <c r="H3826" s="23" t="s">
        <v>25149</v>
      </c>
      <c r="I3826" s="23"/>
      <c r="J3826" s="23"/>
      <c r="K3826" s="23"/>
      <c r="L3826" s="375" t="s">
        <v>45</v>
      </c>
      <c r="M3826" s="351" t="s">
        <v>45</v>
      </c>
      <c r="N3826" s="267">
        <f t="shared" si="913"/>
        <v>0</v>
      </c>
      <c r="O3826" s="268">
        <f t="shared" si="914"/>
        <v>3600</v>
      </c>
      <c r="P3826" s="239"/>
      <c r="Q3826" s="239"/>
      <c r="R3826" s="239"/>
      <c r="S3826" s="239"/>
      <c r="T3826" s="239"/>
      <c r="U3826" s="240">
        <f>2600-800+3900-500-500-1000-100</f>
        <v>3600</v>
      </c>
      <c r="V3826" s="240"/>
      <c r="W3826" s="240"/>
      <c r="X3826" s="278"/>
      <c r="Y3826" s="240"/>
      <c r="Z3826" s="237"/>
      <c r="AA3826" s="279">
        <v>1700</v>
      </c>
      <c r="AB3826" s="254" t="s">
        <v>26694</v>
      </c>
      <c r="AC3826" s="196">
        <f t="shared" si="915"/>
        <v>5300</v>
      </c>
      <c r="AD3826" s="196">
        <f t="shared" si="916"/>
        <v>5300</v>
      </c>
      <c r="AE3826" s="196">
        <f t="shared" si="917"/>
        <v>0</v>
      </c>
      <c r="AF3826" s="2">
        <f t="shared" si="918"/>
        <v>5300</v>
      </c>
      <c r="AG3826" s="2">
        <f t="shared" si="919"/>
        <v>0</v>
      </c>
    </row>
    <row r="3827" spans="1:33">
      <c r="A3827" s="20" t="s">
        <v>21676</v>
      </c>
      <c r="B3827" s="150"/>
      <c r="C3827" s="21" t="s">
        <v>21734</v>
      </c>
      <c r="D3827" s="109" t="s">
        <v>5979</v>
      </c>
      <c r="E3827" s="109" t="s">
        <v>21735</v>
      </c>
      <c r="F3827" s="391" t="s">
        <v>21744</v>
      </c>
      <c r="G3827" s="23" t="s">
        <v>6133</v>
      </c>
      <c r="H3827" s="23" t="s">
        <v>13565</v>
      </c>
      <c r="I3827" s="23"/>
      <c r="J3827" s="23"/>
      <c r="K3827" s="23"/>
      <c r="L3827" s="375" t="s">
        <v>27557</v>
      </c>
      <c r="M3827" s="351" t="s">
        <v>7787</v>
      </c>
      <c r="N3827" s="267">
        <f t="shared" si="913"/>
        <v>0</v>
      </c>
      <c r="O3827" s="268">
        <f t="shared" si="914"/>
        <v>400</v>
      </c>
      <c r="P3827" s="239"/>
      <c r="Q3827" s="239">
        <f>600-200-50-50</f>
        <v>300</v>
      </c>
      <c r="R3827" s="239"/>
      <c r="S3827" s="239"/>
      <c r="T3827" s="239"/>
      <c r="U3827" s="240"/>
      <c r="V3827" s="240">
        <f>300-200</f>
        <v>100</v>
      </c>
      <c r="W3827" s="240"/>
      <c r="X3827" s="278"/>
      <c r="Y3827" s="239"/>
      <c r="Z3827" s="237"/>
      <c r="AA3827" s="279"/>
      <c r="AB3827" s="238" t="s">
        <v>27555</v>
      </c>
      <c r="AC3827" s="196">
        <f t="shared" si="915"/>
        <v>400</v>
      </c>
      <c r="AD3827" s="196">
        <f t="shared" si="916"/>
        <v>400</v>
      </c>
      <c r="AE3827" s="196">
        <f t="shared" si="917"/>
        <v>0</v>
      </c>
      <c r="AF3827" s="2">
        <f t="shared" si="918"/>
        <v>400</v>
      </c>
      <c r="AG3827" s="2">
        <f t="shared" si="919"/>
        <v>0</v>
      </c>
    </row>
    <row r="3828" spans="1:33">
      <c r="A3828" s="20" t="s">
        <v>21673</v>
      </c>
      <c r="B3828" s="150"/>
      <c r="C3828" s="21" t="s">
        <v>21714</v>
      </c>
      <c r="D3828" s="109" t="s">
        <v>3137</v>
      </c>
      <c r="E3828" s="109" t="s">
        <v>21715</v>
      </c>
      <c r="F3828" s="391" t="s">
        <v>19280</v>
      </c>
      <c r="G3828" s="23" t="s">
        <v>13942</v>
      </c>
      <c r="H3828" s="23"/>
      <c r="I3828" s="23"/>
      <c r="J3828" s="23"/>
      <c r="K3828" s="23"/>
      <c r="L3828" s="375" t="s">
        <v>7787</v>
      </c>
      <c r="M3828" s="351" t="s">
        <v>7787</v>
      </c>
      <c r="N3828" s="267">
        <f t="shared" si="913"/>
        <v>0</v>
      </c>
      <c r="O3828" s="268">
        <f t="shared" si="914"/>
        <v>0</v>
      </c>
      <c r="P3828" s="239"/>
      <c r="Q3828" s="239"/>
      <c r="R3828" s="240"/>
      <c r="S3828" s="239"/>
      <c r="T3828" s="239"/>
      <c r="U3828" s="240"/>
      <c r="V3828" s="240"/>
      <c r="W3828" s="240"/>
      <c r="X3828" s="278"/>
      <c r="Y3828" s="239"/>
      <c r="Z3828" s="237"/>
      <c r="AA3828" s="279"/>
      <c r="AB3828" s="238"/>
      <c r="AC3828" s="196">
        <f t="shared" si="915"/>
        <v>0</v>
      </c>
      <c r="AD3828" s="196">
        <f t="shared" si="916"/>
        <v>0</v>
      </c>
      <c r="AE3828" s="196">
        <f t="shared" si="917"/>
        <v>0</v>
      </c>
      <c r="AF3828" s="2">
        <f t="shared" si="918"/>
        <v>0</v>
      </c>
      <c r="AG3828" s="2">
        <f t="shared" si="919"/>
        <v>0</v>
      </c>
    </row>
    <row r="3829" spans="1:33">
      <c r="A3829" s="20" t="s">
        <v>21682</v>
      </c>
      <c r="B3829" s="150"/>
      <c r="C3829" s="21" t="s">
        <v>21763</v>
      </c>
      <c r="D3829" s="109" t="s">
        <v>3096</v>
      </c>
      <c r="E3829" s="109" t="s">
        <v>3128</v>
      </c>
      <c r="F3829" s="391" t="s">
        <v>21767</v>
      </c>
      <c r="G3829" s="23" t="s">
        <v>21764</v>
      </c>
      <c r="H3829" s="23"/>
      <c r="I3829" s="23"/>
      <c r="J3829" s="23"/>
      <c r="K3829" s="23"/>
      <c r="L3829" s="375" t="s">
        <v>45</v>
      </c>
      <c r="M3829" s="351"/>
      <c r="N3829" s="267">
        <f t="shared" si="913"/>
        <v>0</v>
      </c>
      <c r="O3829" s="268">
        <f t="shared" si="914"/>
        <v>150</v>
      </c>
      <c r="P3829" s="239"/>
      <c r="Q3829" s="239"/>
      <c r="R3829" s="239"/>
      <c r="S3829" s="239"/>
      <c r="T3829" s="239"/>
      <c r="U3829" s="240">
        <f>1150-1000</f>
        <v>150</v>
      </c>
      <c r="V3829" s="240"/>
      <c r="W3829" s="240"/>
      <c r="X3829" s="278"/>
      <c r="Y3829" s="239"/>
      <c r="Z3829" s="237"/>
      <c r="AA3829" s="279"/>
      <c r="AB3829" s="238" t="s">
        <v>25983</v>
      </c>
      <c r="AC3829" s="196">
        <f t="shared" si="915"/>
        <v>150</v>
      </c>
      <c r="AD3829" s="196">
        <f t="shared" si="916"/>
        <v>150</v>
      </c>
      <c r="AE3829" s="196">
        <f t="shared" si="917"/>
        <v>0</v>
      </c>
      <c r="AF3829" s="2">
        <f t="shared" si="918"/>
        <v>150</v>
      </c>
      <c r="AG3829" s="2">
        <f t="shared" si="919"/>
        <v>0</v>
      </c>
    </row>
    <row r="3830" spans="1:33">
      <c r="A3830" s="20" t="s">
        <v>21666</v>
      </c>
      <c r="B3830" s="150"/>
      <c r="C3830" s="21" t="s">
        <v>21686</v>
      </c>
      <c r="D3830" s="109" t="s">
        <v>3137</v>
      </c>
      <c r="E3830" s="109"/>
      <c r="F3830" s="391" t="s">
        <v>21371</v>
      </c>
      <c r="G3830" s="23" t="s">
        <v>14782</v>
      </c>
      <c r="H3830" s="23" t="s">
        <v>13942</v>
      </c>
      <c r="I3830" s="23"/>
      <c r="J3830" s="23"/>
      <c r="K3830" s="23"/>
      <c r="L3830" s="375">
        <f>700+310</f>
        <v>1010</v>
      </c>
      <c r="M3830" s="351" t="s">
        <v>45</v>
      </c>
      <c r="N3830" s="267">
        <f t="shared" si="913"/>
        <v>1010</v>
      </c>
      <c r="O3830" s="268">
        <f t="shared" si="914"/>
        <v>0</v>
      </c>
      <c r="P3830" s="239"/>
      <c r="Q3830" s="240"/>
      <c r="R3830" s="239"/>
      <c r="S3830" s="239"/>
      <c r="T3830" s="239"/>
      <c r="U3830" s="240"/>
      <c r="V3830" s="240"/>
      <c r="W3830" s="240"/>
      <c r="X3830" s="278"/>
      <c r="Y3830" s="239"/>
      <c r="Z3830" s="237"/>
      <c r="AA3830" s="279"/>
      <c r="AB3830" s="238"/>
      <c r="AC3830" s="196">
        <f t="shared" si="915"/>
        <v>0</v>
      </c>
      <c r="AD3830" s="196">
        <f t="shared" si="916"/>
        <v>0</v>
      </c>
      <c r="AE3830" s="196">
        <f t="shared" si="917"/>
        <v>0</v>
      </c>
      <c r="AF3830" s="2">
        <f t="shared" si="918"/>
        <v>0</v>
      </c>
      <c r="AG3830" s="2">
        <f t="shared" si="919"/>
        <v>0</v>
      </c>
    </row>
    <row r="3831" spans="1:33">
      <c r="A3831" s="20" t="s">
        <v>2876</v>
      </c>
      <c r="B3831" s="150"/>
      <c r="C3831" s="21" t="s">
        <v>655</v>
      </c>
      <c r="D3831" s="109" t="s">
        <v>16073</v>
      </c>
      <c r="E3831" s="109"/>
      <c r="F3831" s="391" t="s">
        <v>16863</v>
      </c>
      <c r="G3831" s="23" t="s">
        <v>16864</v>
      </c>
      <c r="H3831" s="23" t="s">
        <v>16141</v>
      </c>
      <c r="I3831" s="23" t="s">
        <v>16355</v>
      </c>
      <c r="J3831" s="23" t="s">
        <v>16379</v>
      </c>
      <c r="K3831" s="23" t="s">
        <v>25880</v>
      </c>
      <c r="L3831" s="375" t="s">
        <v>45</v>
      </c>
      <c r="M3831" s="351" t="s">
        <v>7787</v>
      </c>
      <c r="N3831" s="267">
        <f t="shared" si="913"/>
        <v>0</v>
      </c>
      <c r="O3831" s="268">
        <f t="shared" si="914"/>
        <v>4250</v>
      </c>
      <c r="P3831" s="239"/>
      <c r="Q3831" s="239"/>
      <c r="R3831" s="239"/>
      <c r="S3831" s="239"/>
      <c r="T3831" s="239">
        <f>2000+2000-800-550-50-300-250-900-100-200+5000-1000-100-500</f>
        <v>4250</v>
      </c>
      <c r="U3831" s="240"/>
      <c r="V3831" s="240"/>
      <c r="W3831" s="240"/>
      <c r="X3831" s="278"/>
      <c r="Y3831" s="237"/>
      <c r="Z3831" s="237"/>
      <c r="AA3831" s="279"/>
      <c r="AB3831" s="238" t="s">
        <v>26906</v>
      </c>
      <c r="AC3831" s="196">
        <f t="shared" si="915"/>
        <v>4250</v>
      </c>
      <c r="AD3831" s="196">
        <f t="shared" si="916"/>
        <v>4250</v>
      </c>
      <c r="AE3831" s="196">
        <f t="shared" si="917"/>
        <v>0</v>
      </c>
      <c r="AF3831" s="2">
        <f t="shared" si="918"/>
        <v>4250</v>
      </c>
      <c r="AG3831" s="2">
        <f t="shared" si="919"/>
        <v>0</v>
      </c>
    </row>
    <row r="3832" spans="1:33">
      <c r="A3832" s="20" t="s">
        <v>2877</v>
      </c>
      <c r="B3832" s="150"/>
      <c r="C3832" s="21" t="s">
        <v>655</v>
      </c>
      <c r="D3832" s="109" t="s">
        <v>16865</v>
      </c>
      <c r="E3832" s="109"/>
      <c r="F3832" s="391" t="s">
        <v>16863</v>
      </c>
      <c r="G3832" s="23" t="s">
        <v>16866</v>
      </c>
      <c r="H3832" s="23"/>
      <c r="I3832" s="23"/>
      <c r="J3832" s="23"/>
      <c r="K3832" s="23"/>
      <c r="L3832" s="350"/>
      <c r="M3832" s="351"/>
      <c r="N3832" s="267">
        <f t="shared" si="913"/>
        <v>0</v>
      </c>
      <c r="O3832" s="268">
        <f t="shared" si="914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5"/>
        <v>0</v>
      </c>
      <c r="AD3832" s="196">
        <f t="shared" si="916"/>
        <v>0</v>
      </c>
      <c r="AE3832" s="196">
        <f t="shared" si="917"/>
        <v>0</v>
      </c>
      <c r="AF3832" s="2">
        <f t="shared" si="918"/>
        <v>0</v>
      </c>
      <c r="AG3832" s="2">
        <f t="shared" si="919"/>
        <v>0</v>
      </c>
    </row>
    <row r="3833" spans="1:33">
      <c r="A3833" s="20" t="s">
        <v>2874</v>
      </c>
      <c r="B3833" s="150"/>
      <c r="C3833" s="21" t="s">
        <v>655</v>
      </c>
      <c r="D3833" s="109" t="s">
        <v>15167</v>
      </c>
      <c r="E3833" s="109"/>
      <c r="F3833" s="391" t="s">
        <v>16863</v>
      </c>
      <c r="G3833" s="23" t="s">
        <v>16468</v>
      </c>
      <c r="H3833" s="23" t="s">
        <v>16867</v>
      </c>
      <c r="I3833" s="23" t="s">
        <v>15621</v>
      </c>
      <c r="J3833" s="23"/>
      <c r="K3833" s="23"/>
      <c r="L3833" s="375" t="s">
        <v>7787</v>
      </c>
      <c r="M3833" s="351" t="s">
        <v>7787</v>
      </c>
      <c r="N3833" s="267">
        <f t="shared" si="913"/>
        <v>0</v>
      </c>
      <c r="O3833" s="268">
        <f t="shared" si="914"/>
        <v>0</v>
      </c>
      <c r="P3833" s="239"/>
      <c r="Q3833" s="239"/>
      <c r="R3833" s="239"/>
      <c r="S3833" s="239"/>
      <c r="T3833" s="239"/>
      <c r="U3833" s="240"/>
      <c r="V3833" s="240"/>
      <c r="W3833" s="240"/>
      <c r="X3833" s="278"/>
      <c r="Y3833" s="237"/>
      <c r="Z3833" s="237"/>
      <c r="AA3833" s="279"/>
      <c r="AB3833" s="238"/>
      <c r="AC3833" s="196">
        <f t="shared" si="915"/>
        <v>0</v>
      </c>
      <c r="AD3833" s="196">
        <f t="shared" si="916"/>
        <v>0</v>
      </c>
      <c r="AE3833" s="196">
        <f t="shared" si="917"/>
        <v>0</v>
      </c>
      <c r="AF3833" s="2">
        <f t="shared" si="918"/>
        <v>0</v>
      </c>
      <c r="AG3833" s="2">
        <f t="shared" si="919"/>
        <v>0</v>
      </c>
    </row>
    <row r="3834" spans="1:33">
      <c r="A3834" s="20" t="s">
        <v>2875</v>
      </c>
      <c r="B3834" s="156" t="s">
        <v>16868</v>
      </c>
      <c r="C3834" s="21" t="s">
        <v>655</v>
      </c>
      <c r="D3834" s="109" t="s">
        <v>16869</v>
      </c>
      <c r="E3834" s="109"/>
      <c r="F3834" s="391" t="s">
        <v>16863</v>
      </c>
      <c r="G3834" s="23" t="s">
        <v>16870</v>
      </c>
      <c r="H3834" s="23" t="s">
        <v>16285</v>
      </c>
      <c r="I3834" s="23" t="s">
        <v>16871</v>
      </c>
      <c r="J3834" s="23"/>
      <c r="K3834" s="23"/>
      <c r="L3834" s="375"/>
      <c r="M3834" s="351" t="s">
        <v>7787</v>
      </c>
      <c r="N3834" s="267">
        <f t="shared" si="913"/>
        <v>0</v>
      </c>
      <c r="O3834" s="268">
        <f t="shared" si="914"/>
        <v>0</v>
      </c>
      <c r="P3834" s="239"/>
      <c r="Q3834" s="239"/>
      <c r="R3834" s="239"/>
      <c r="S3834" s="239"/>
      <c r="T3834" s="239"/>
      <c r="U3834" s="240"/>
      <c r="V3834" s="240"/>
      <c r="W3834" s="240"/>
      <c r="X3834" s="278"/>
      <c r="Y3834" s="237"/>
      <c r="Z3834" s="237"/>
      <c r="AA3834" s="279"/>
      <c r="AB3834" s="238"/>
      <c r="AC3834" s="196">
        <f t="shared" si="915"/>
        <v>0</v>
      </c>
      <c r="AD3834" s="196">
        <f t="shared" si="916"/>
        <v>0</v>
      </c>
      <c r="AE3834" s="196">
        <f t="shared" si="917"/>
        <v>0</v>
      </c>
      <c r="AF3834" s="2">
        <f t="shared" si="918"/>
        <v>0</v>
      </c>
      <c r="AG3834" s="2">
        <f t="shared" si="919"/>
        <v>0</v>
      </c>
    </row>
    <row r="3835" spans="1:33">
      <c r="A3835" s="20" t="s">
        <v>6894</v>
      </c>
      <c r="B3835" s="156"/>
      <c r="C3835" s="21" t="s">
        <v>655</v>
      </c>
      <c r="D3835" s="109" t="s">
        <v>16869</v>
      </c>
      <c r="E3835" s="109" t="s">
        <v>16872</v>
      </c>
      <c r="F3835" s="391" t="s">
        <v>16863</v>
      </c>
      <c r="G3835" s="23" t="s">
        <v>16183</v>
      </c>
      <c r="H3835" s="23"/>
      <c r="I3835" s="23"/>
      <c r="J3835" s="23"/>
      <c r="K3835" s="23"/>
      <c r="L3835" s="375" t="s">
        <v>7787</v>
      </c>
      <c r="M3835" s="351"/>
      <c r="N3835" s="267">
        <f t="shared" si="913"/>
        <v>0</v>
      </c>
      <c r="O3835" s="268">
        <f t="shared" si="914"/>
        <v>0</v>
      </c>
      <c r="P3835" s="241"/>
      <c r="Q3835" s="237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5"/>
        <v>0</v>
      </c>
      <c r="AD3835" s="196">
        <f t="shared" si="916"/>
        <v>0</v>
      </c>
      <c r="AE3835" s="196">
        <f t="shared" si="917"/>
        <v>0</v>
      </c>
      <c r="AF3835" s="2">
        <f t="shared" si="918"/>
        <v>0</v>
      </c>
      <c r="AG3835" s="2">
        <f t="shared" si="919"/>
        <v>0</v>
      </c>
    </row>
    <row r="3836" spans="1:33">
      <c r="A3836" s="20" t="s">
        <v>24659</v>
      </c>
      <c r="B3836" s="156"/>
      <c r="C3836" s="21" t="s">
        <v>655</v>
      </c>
      <c r="D3836" s="109" t="s">
        <v>3136</v>
      </c>
      <c r="E3836" s="109" t="s">
        <v>24616</v>
      </c>
      <c r="F3836" s="391" t="s">
        <v>5228</v>
      </c>
      <c r="G3836" s="23" t="s">
        <v>6133</v>
      </c>
      <c r="H3836" s="23"/>
      <c r="I3836" s="23"/>
      <c r="J3836" s="23"/>
      <c r="K3836" s="23"/>
      <c r="L3836" s="375"/>
      <c r="M3836" s="351"/>
      <c r="N3836" s="267">
        <f t="shared" ref="N3836" si="920">SUM(L3836:M3836)</f>
        <v>0</v>
      </c>
      <c r="O3836" s="268">
        <f t="shared" ref="O3836" si="921">SUM(P3836:Z3836)</f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5"/>
        <v>0</v>
      </c>
      <c r="AD3836" s="196">
        <f t="shared" si="916"/>
        <v>0</v>
      </c>
      <c r="AE3836" s="196">
        <f t="shared" si="917"/>
        <v>0</v>
      </c>
      <c r="AF3836" s="2">
        <f t="shared" si="918"/>
        <v>0</v>
      </c>
      <c r="AG3836" s="2">
        <f t="shared" si="919"/>
        <v>0</v>
      </c>
    </row>
    <row r="3837" spans="1:33">
      <c r="A3837" s="20" t="s">
        <v>17428</v>
      </c>
      <c r="B3837" s="156"/>
      <c r="C3837" s="21" t="s">
        <v>655</v>
      </c>
      <c r="D3837" s="109" t="s">
        <v>17357</v>
      </c>
      <c r="E3837" s="109"/>
      <c r="F3837" s="391" t="s">
        <v>5228</v>
      </c>
      <c r="G3837" s="23" t="s">
        <v>13377</v>
      </c>
      <c r="H3837" s="23"/>
      <c r="I3837" s="23"/>
      <c r="J3837" s="23"/>
      <c r="K3837" s="23"/>
      <c r="L3837" s="375" t="s">
        <v>7787</v>
      </c>
      <c r="M3837" s="351"/>
      <c r="N3837" s="267">
        <f t="shared" si="913"/>
        <v>0</v>
      </c>
      <c r="O3837" s="268">
        <f t="shared" si="914"/>
        <v>0</v>
      </c>
      <c r="P3837" s="241"/>
      <c r="Q3837" s="243"/>
      <c r="R3837" s="241"/>
      <c r="S3837" s="241"/>
      <c r="T3837" s="241"/>
      <c r="U3837" s="240"/>
      <c r="V3837" s="240"/>
      <c r="W3837" s="237"/>
      <c r="X3837" s="278"/>
      <c r="Y3837" s="237"/>
      <c r="Z3837" s="237"/>
      <c r="AA3837" s="279"/>
      <c r="AB3837" s="238"/>
      <c r="AC3837" s="196">
        <f t="shared" si="915"/>
        <v>0</v>
      </c>
      <c r="AD3837" s="196">
        <f t="shared" si="916"/>
        <v>0</v>
      </c>
      <c r="AE3837" s="196">
        <f t="shared" si="917"/>
        <v>0</v>
      </c>
      <c r="AF3837" s="2">
        <f t="shared" si="918"/>
        <v>0</v>
      </c>
      <c r="AG3837" s="2">
        <f t="shared" si="919"/>
        <v>0</v>
      </c>
    </row>
    <row r="3838" spans="1:33">
      <c r="A3838" s="20" t="s">
        <v>21669</v>
      </c>
      <c r="B3838" s="156"/>
      <c r="C3838" s="21" t="s">
        <v>24710</v>
      </c>
      <c r="D3838" s="109" t="s">
        <v>5979</v>
      </c>
      <c r="E3838" s="109"/>
      <c r="F3838" s="391" t="s">
        <v>21705</v>
      </c>
      <c r="G3838" s="23" t="s">
        <v>13565</v>
      </c>
      <c r="H3838" s="23" t="s">
        <v>18203</v>
      </c>
      <c r="I3838" s="23"/>
      <c r="J3838" s="23"/>
      <c r="K3838" s="23"/>
      <c r="L3838" s="375"/>
      <c r="M3838" s="351" t="s">
        <v>7787</v>
      </c>
      <c r="N3838" s="267">
        <f t="shared" si="913"/>
        <v>0</v>
      </c>
      <c r="O3838" s="268">
        <f t="shared" si="914"/>
        <v>0</v>
      </c>
      <c r="P3838" s="241"/>
      <c r="Q3838" s="243"/>
      <c r="R3838" s="241"/>
      <c r="S3838" s="241"/>
      <c r="T3838" s="241"/>
      <c r="U3838" s="240"/>
      <c r="V3838" s="240"/>
      <c r="W3838" s="237"/>
      <c r="X3838" s="278"/>
      <c r="Y3838" s="237"/>
      <c r="Z3838" s="237"/>
      <c r="AA3838" s="279"/>
      <c r="AB3838" s="238"/>
      <c r="AC3838" s="196">
        <f t="shared" si="915"/>
        <v>0</v>
      </c>
      <c r="AD3838" s="196">
        <f t="shared" si="916"/>
        <v>0</v>
      </c>
      <c r="AE3838" s="196">
        <f t="shared" si="917"/>
        <v>0</v>
      </c>
      <c r="AF3838" s="2">
        <f t="shared" si="918"/>
        <v>0</v>
      </c>
      <c r="AG3838" s="2">
        <f t="shared" si="919"/>
        <v>0</v>
      </c>
    </row>
    <row r="3839" spans="1:33">
      <c r="A3839" s="20" t="s">
        <v>27092</v>
      </c>
      <c r="B3839" s="156"/>
      <c r="C3839" s="21" t="s">
        <v>24711</v>
      </c>
      <c r="D3839" s="109" t="s">
        <v>5979</v>
      </c>
      <c r="E3839" s="109"/>
      <c r="F3839" s="391" t="s">
        <v>21705</v>
      </c>
      <c r="G3839" s="23" t="s">
        <v>13565</v>
      </c>
      <c r="H3839" s="23" t="s">
        <v>18203</v>
      </c>
      <c r="I3839" s="23"/>
      <c r="J3839" s="23"/>
      <c r="K3839" s="23"/>
      <c r="L3839" s="375"/>
      <c r="M3839" s="351" t="s">
        <v>45</v>
      </c>
      <c r="N3839" s="267">
        <f t="shared" ref="N3839" si="922">SUM(L3839:M3839)</f>
        <v>0</v>
      </c>
      <c r="O3839" s="268">
        <f t="shared" ref="O3839" si="923">SUM(P3839:Z3839)</f>
        <v>700</v>
      </c>
      <c r="P3839" s="241"/>
      <c r="Q3839" s="243"/>
      <c r="R3839" s="241"/>
      <c r="S3839" s="241"/>
      <c r="T3839" s="241"/>
      <c r="U3839" s="240"/>
      <c r="V3839" s="240">
        <f>3600+1600-4100+900-1800+3100+2800-1800-3600</f>
        <v>700</v>
      </c>
      <c r="W3839" s="237"/>
      <c r="X3839" s="278"/>
      <c r="Y3839" s="237"/>
      <c r="Z3839" s="237"/>
      <c r="AA3839" s="279"/>
      <c r="AB3839" s="238" t="s">
        <v>25457</v>
      </c>
      <c r="AC3839" s="196">
        <f t="shared" si="915"/>
        <v>700</v>
      </c>
      <c r="AD3839" s="196">
        <f t="shared" si="916"/>
        <v>700</v>
      </c>
      <c r="AE3839" s="196">
        <f t="shared" si="917"/>
        <v>0</v>
      </c>
      <c r="AF3839" s="2">
        <f t="shared" si="918"/>
        <v>700</v>
      </c>
      <c r="AG3839" s="2">
        <f t="shared" si="919"/>
        <v>0</v>
      </c>
    </row>
    <row r="3840" spans="1:33">
      <c r="A3840" s="20" t="s">
        <v>21773</v>
      </c>
      <c r="B3840" s="156"/>
      <c r="C3840" s="21" t="s">
        <v>21803</v>
      </c>
      <c r="D3840" s="109" t="s">
        <v>20960</v>
      </c>
      <c r="E3840" s="109" t="s">
        <v>21810</v>
      </c>
      <c r="F3840" s="391" t="s">
        <v>21809</v>
      </c>
      <c r="G3840" s="23" t="s">
        <v>13610</v>
      </c>
      <c r="H3840" s="23" t="s">
        <v>24311</v>
      </c>
      <c r="I3840" s="23"/>
      <c r="J3840" s="23"/>
      <c r="K3840" s="23"/>
      <c r="L3840" s="375" t="s">
        <v>7787</v>
      </c>
      <c r="M3840" s="351" t="s">
        <v>7787</v>
      </c>
      <c r="N3840" s="267">
        <f t="shared" si="913"/>
        <v>0</v>
      </c>
      <c r="O3840" s="268">
        <f t="shared" si="914"/>
        <v>22300</v>
      </c>
      <c r="P3840" s="241"/>
      <c r="Q3840" s="243"/>
      <c r="R3840" s="241"/>
      <c r="S3840" s="241"/>
      <c r="T3840" s="241"/>
      <c r="U3840" s="240">
        <f>3000+3200+3200+3200-4800+2800+3000+2800+3000+3200+3200+3000-9600+3200+1800+3000+3200-7100+3200+3200+3400+3200-9600+3400+3200+3600+3200-9600+3200+3200+3000+3600+3600+3600-9600+3200+3200+3600-9600-9600-9600</f>
        <v>22300</v>
      </c>
      <c r="V3840" s="240"/>
      <c r="W3840" s="237"/>
      <c r="X3840" s="278"/>
      <c r="Y3840" s="237"/>
      <c r="Z3840" s="237"/>
      <c r="AA3840" s="279">
        <v>2700</v>
      </c>
      <c r="AB3840" s="238" t="s">
        <v>26935</v>
      </c>
      <c r="AC3840" s="196">
        <f t="shared" si="915"/>
        <v>25000</v>
      </c>
      <c r="AD3840" s="196">
        <f t="shared" si="916"/>
        <v>25000</v>
      </c>
      <c r="AE3840" s="196">
        <f t="shared" si="917"/>
        <v>0</v>
      </c>
      <c r="AF3840" s="2">
        <f t="shared" si="918"/>
        <v>25000</v>
      </c>
      <c r="AG3840" s="2">
        <f t="shared" si="919"/>
        <v>0</v>
      </c>
    </row>
    <row r="3841" spans="1:33">
      <c r="A3841" s="20" t="s">
        <v>24422</v>
      </c>
      <c r="B3841" s="156"/>
      <c r="C3841" s="21" t="s">
        <v>24460</v>
      </c>
      <c r="D3841" s="109" t="s">
        <v>24456</v>
      </c>
      <c r="E3841" s="109" t="s">
        <v>24457</v>
      </c>
      <c r="F3841" s="391" t="s">
        <v>24458</v>
      </c>
      <c r="G3841" s="23" t="s">
        <v>5439</v>
      </c>
      <c r="H3841" s="23" t="s">
        <v>24459</v>
      </c>
      <c r="I3841" s="23"/>
      <c r="J3841" s="23"/>
      <c r="K3841" s="23"/>
      <c r="L3841" s="375" t="s">
        <v>45</v>
      </c>
      <c r="M3841" s="351" t="s">
        <v>45</v>
      </c>
      <c r="N3841" s="267">
        <f t="shared" ref="N3841" si="924">SUM(L3841:M3841)</f>
        <v>0</v>
      </c>
      <c r="O3841" s="268">
        <f t="shared" ref="O3841" si="925">SUM(P3841:Z3841)</f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5"/>
        <v>0</v>
      </c>
      <c r="AD3841" s="196">
        <f t="shared" si="916"/>
        <v>0</v>
      </c>
      <c r="AE3841" s="196">
        <f t="shared" si="917"/>
        <v>0</v>
      </c>
      <c r="AF3841" s="2">
        <f t="shared" si="918"/>
        <v>0</v>
      </c>
      <c r="AG3841" s="2">
        <f t="shared" si="919"/>
        <v>0</v>
      </c>
    </row>
    <row r="3842" spans="1:33">
      <c r="A3842" s="20" t="s">
        <v>21667</v>
      </c>
      <c r="B3842" s="156"/>
      <c r="C3842" s="21" t="s">
        <v>21659</v>
      </c>
      <c r="D3842" s="109" t="s">
        <v>5979</v>
      </c>
      <c r="E3842" s="109"/>
      <c r="F3842" s="391" t="s">
        <v>21701</v>
      </c>
      <c r="G3842" s="23" t="s">
        <v>21660</v>
      </c>
      <c r="H3842" s="23"/>
      <c r="I3842" s="23"/>
      <c r="J3842" s="23"/>
      <c r="K3842" s="23"/>
      <c r="L3842" s="375" t="s">
        <v>7787</v>
      </c>
      <c r="M3842" s="351"/>
      <c r="N3842" s="267">
        <f t="shared" si="913"/>
        <v>0</v>
      </c>
      <c r="O3842" s="268">
        <f t="shared" si="914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37"/>
      <c r="Z3842" s="237"/>
      <c r="AA3842" s="279"/>
      <c r="AB3842" s="238"/>
      <c r="AC3842" s="196">
        <f t="shared" si="915"/>
        <v>0</v>
      </c>
      <c r="AD3842" s="196">
        <f t="shared" si="916"/>
        <v>0</v>
      </c>
      <c r="AE3842" s="196">
        <f t="shared" si="917"/>
        <v>0</v>
      </c>
      <c r="AF3842" s="2">
        <f t="shared" si="918"/>
        <v>0</v>
      </c>
      <c r="AG3842" s="2">
        <f t="shared" si="919"/>
        <v>0</v>
      </c>
    </row>
    <row r="3843" spans="1:33">
      <c r="A3843" s="20" t="s">
        <v>21672</v>
      </c>
      <c r="B3843" s="156"/>
      <c r="C3843" s="21" t="s">
        <v>21659</v>
      </c>
      <c r="D3843" s="109" t="s">
        <v>5979</v>
      </c>
      <c r="E3843" s="109" t="s">
        <v>21712</v>
      </c>
      <c r="F3843" s="391" t="s">
        <v>21701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/>
      <c r="N3843" s="267">
        <f t="shared" si="913"/>
        <v>0</v>
      </c>
      <c r="O3843" s="268">
        <f t="shared" si="914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37"/>
      <c r="Z3843" s="237"/>
      <c r="AA3843" s="279"/>
      <c r="AB3843" s="238"/>
      <c r="AC3843" s="196">
        <f t="shared" si="915"/>
        <v>0</v>
      </c>
      <c r="AD3843" s="196">
        <f t="shared" si="916"/>
        <v>0</v>
      </c>
      <c r="AE3843" s="196">
        <f t="shared" si="917"/>
        <v>0</v>
      </c>
      <c r="AF3843" s="2">
        <f t="shared" si="918"/>
        <v>0</v>
      </c>
      <c r="AG3843" s="2">
        <f t="shared" si="919"/>
        <v>0</v>
      </c>
    </row>
    <row r="3844" spans="1:33">
      <c r="A3844" s="20" t="s">
        <v>21925</v>
      </c>
      <c r="B3844" s="156"/>
      <c r="C3844" s="21" t="s">
        <v>22047</v>
      </c>
      <c r="D3844" s="109" t="s">
        <v>5979</v>
      </c>
      <c r="E3844" s="109"/>
      <c r="F3844" s="391" t="s">
        <v>22052</v>
      </c>
      <c r="G3844" s="23" t="s">
        <v>15443</v>
      </c>
      <c r="H3844" s="23"/>
      <c r="I3844" s="23"/>
      <c r="J3844" s="23"/>
      <c r="K3844" s="23"/>
      <c r="L3844" s="375" t="s">
        <v>7787</v>
      </c>
      <c r="M3844" s="351" t="s">
        <v>7787</v>
      </c>
      <c r="N3844" s="267">
        <f t="shared" si="913"/>
        <v>0</v>
      </c>
      <c r="O3844" s="268">
        <f t="shared" si="914"/>
        <v>0</v>
      </c>
      <c r="P3844" s="241"/>
      <c r="Q3844" s="243"/>
      <c r="R3844" s="241"/>
      <c r="S3844" s="241"/>
      <c r="T3844" s="241"/>
      <c r="U3844" s="240"/>
      <c r="V3844" s="240"/>
      <c r="W3844" s="237"/>
      <c r="X3844" s="278"/>
      <c r="Y3844" s="240"/>
      <c r="Z3844" s="237"/>
      <c r="AA3844" s="279"/>
      <c r="AB3844" s="238"/>
      <c r="AC3844" s="196">
        <f t="shared" si="915"/>
        <v>0</v>
      </c>
      <c r="AD3844" s="196">
        <f t="shared" si="916"/>
        <v>0</v>
      </c>
      <c r="AE3844" s="196">
        <f t="shared" si="917"/>
        <v>0</v>
      </c>
      <c r="AF3844" s="2">
        <f t="shared" si="918"/>
        <v>0</v>
      </c>
      <c r="AG3844" s="2">
        <f t="shared" si="919"/>
        <v>0</v>
      </c>
    </row>
    <row r="3845" spans="1:33">
      <c r="A3845" s="20" t="s">
        <v>21677</v>
      </c>
      <c r="B3845" s="156"/>
      <c r="C3845" s="21" t="s">
        <v>21743</v>
      </c>
      <c r="D3845" s="109" t="s">
        <v>5979</v>
      </c>
      <c r="E3845" s="109"/>
      <c r="F3845" s="391" t="s">
        <v>21746</v>
      </c>
      <c r="G3845" s="23" t="s">
        <v>15443</v>
      </c>
      <c r="H3845" s="23"/>
      <c r="I3845" s="23"/>
      <c r="J3845" s="23"/>
      <c r="K3845" s="23"/>
      <c r="L3845" s="375" t="s">
        <v>7787</v>
      </c>
      <c r="M3845" s="351"/>
      <c r="N3845" s="267">
        <f t="shared" si="913"/>
        <v>0</v>
      </c>
      <c r="O3845" s="268">
        <f t="shared" si="914"/>
        <v>0</v>
      </c>
      <c r="P3845" s="241"/>
      <c r="Q3845" s="243"/>
      <c r="R3845" s="241"/>
      <c r="S3845" s="241"/>
      <c r="T3845" s="241"/>
      <c r="U3845" s="240"/>
      <c r="V3845" s="240"/>
      <c r="W3845" s="237"/>
      <c r="X3845" s="278"/>
      <c r="Y3845" s="237"/>
      <c r="Z3845" s="237"/>
      <c r="AA3845" s="279"/>
      <c r="AB3845" s="238"/>
      <c r="AC3845" s="196">
        <f t="shared" si="915"/>
        <v>0</v>
      </c>
      <c r="AD3845" s="196">
        <f t="shared" si="916"/>
        <v>0</v>
      </c>
      <c r="AE3845" s="196">
        <f t="shared" si="917"/>
        <v>0</v>
      </c>
      <c r="AF3845" s="2">
        <f t="shared" si="918"/>
        <v>0</v>
      </c>
      <c r="AG3845" s="2">
        <f t="shared" si="919"/>
        <v>0</v>
      </c>
    </row>
    <row r="3846" spans="1:33">
      <c r="A3846" s="20" t="s">
        <v>21670</v>
      </c>
      <c r="B3846" s="156"/>
      <c r="C3846" s="21" t="s">
        <v>21703</v>
      </c>
      <c r="D3846" s="109" t="s">
        <v>3137</v>
      </c>
      <c r="E3846" s="109"/>
      <c r="F3846" s="391" t="s">
        <v>21706</v>
      </c>
      <c r="G3846" s="23" t="s">
        <v>17522</v>
      </c>
      <c r="H3846" s="23" t="s">
        <v>13934</v>
      </c>
      <c r="I3846" s="23" t="s">
        <v>23446</v>
      </c>
      <c r="J3846" s="23" t="s">
        <v>13942</v>
      </c>
      <c r="K3846" s="23" t="s">
        <v>25575</v>
      </c>
      <c r="L3846" s="375">
        <v>1350</v>
      </c>
      <c r="M3846" s="351" t="s">
        <v>45</v>
      </c>
      <c r="N3846" s="267">
        <f t="shared" si="913"/>
        <v>1350</v>
      </c>
      <c r="O3846" s="268">
        <f t="shared" si="914"/>
        <v>1050</v>
      </c>
      <c r="P3846" s="241"/>
      <c r="Q3846" s="240"/>
      <c r="R3846" s="240"/>
      <c r="S3846" s="240"/>
      <c r="T3846" s="240"/>
      <c r="U3846" s="240">
        <f>3300-2000+250-500</f>
        <v>1050</v>
      </c>
      <c r="V3846" s="240"/>
      <c r="W3846" s="237"/>
      <c r="X3846" s="278"/>
      <c r="Y3846" s="240"/>
      <c r="Z3846" s="237"/>
      <c r="AA3846" s="279"/>
      <c r="AB3846" s="238" t="s">
        <v>28003</v>
      </c>
      <c r="AC3846" s="196">
        <f t="shared" si="915"/>
        <v>1050</v>
      </c>
      <c r="AD3846" s="196">
        <f t="shared" si="916"/>
        <v>1050</v>
      </c>
      <c r="AE3846" s="196">
        <f t="shared" si="917"/>
        <v>0</v>
      </c>
      <c r="AF3846" s="2">
        <f t="shared" si="918"/>
        <v>1050</v>
      </c>
      <c r="AG3846" s="2">
        <f t="shared" si="919"/>
        <v>0</v>
      </c>
    </row>
    <row r="3847" spans="1:33">
      <c r="A3847" s="20" t="s">
        <v>27093</v>
      </c>
      <c r="B3847" s="156"/>
      <c r="C3847" s="21" t="s">
        <v>26672</v>
      </c>
      <c r="D3847" s="109" t="s">
        <v>4070</v>
      </c>
      <c r="E3847" s="109" t="s">
        <v>26674</v>
      </c>
      <c r="F3847" s="391" t="s">
        <v>26673</v>
      </c>
      <c r="G3847" s="23" t="s">
        <v>24860</v>
      </c>
      <c r="H3847" s="23"/>
      <c r="I3847" s="23"/>
      <c r="J3847" s="23"/>
      <c r="K3847" s="23"/>
      <c r="L3847" s="375" t="s">
        <v>7787</v>
      </c>
      <c r="M3847" s="351" t="s">
        <v>7787</v>
      </c>
      <c r="N3847" s="267">
        <f t="shared" ref="N3847" si="926">SUM(L3847:M3847)</f>
        <v>0</v>
      </c>
      <c r="O3847" s="268">
        <f t="shared" ref="O3847" si="927">SUM(P3847:Z3847)</f>
        <v>1700</v>
      </c>
      <c r="P3847" s="241"/>
      <c r="Q3847" s="244"/>
      <c r="R3847" s="244"/>
      <c r="S3847" s="244"/>
      <c r="T3847" s="244">
        <f>3200+1800-2900-400</f>
        <v>1700</v>
      </c>
      <c r="U3847" s="240"/>
      <c r="V3847" s="240"/>
      <c r="W3847" s="237"/>
      <c r="X3847" s="278"/>
      <c r="Y3847" s="240"/>
      <c r="Z3847" s="237"/>
      <c r="AA3847" s="279"/>
      <c r="AB3847" s="238"/>
      <c r="AC3847" s="196">
        <f t="shared" si="915"/>
        <v>1700</v>
      </c>
      <c r="AD3847" s="196">
        <f t="shared" si="916"/>
        <v>1700</v>
      </c>
      <c r="AE3847" s="196">
        <f t="shared" si="917"/>
        <v>0</v>
      </c>
      <c r="AF3847" s="2">
        <f t="shared" si="918"/>
        <v>1700</v>
      </c>
      <c r="AG3847" s="2">
        <f t="shared" si="919"/>
        <v>0</v>
      </c>
    </row>
    <row r="3848" spans="1:33">
      <c r="A3848" s="20" t="s">
        <v>2878</v>
      </c>
      <c r="B3848" s="150"/>
      <c r="C3848" s="21" t="s">
        <v>656</v>
      </c>
      <c r="D3848" s="109" t="s">
        <v>15161</v>
      </c>
      <c r="E3848" s="109"/>
      <c r="F3848" s="391" t="s">
        <v>16873</v>
      </c>
      <c r="G3848" s="23" t="s">
        <v>16544</v>
      </c>
      <c r="H3848" s="23" t="s">
        <v>13339</v>
      </c>
      <c r="I3848" s="23"/>
      <c r="J3848" s="23"/>
      <c r="K3848" s="23"/>
      <c r="L3848" s="375" t="s">
        <v>7787</v>
      </c>
      <c r="M3848" s="351" t="s">
        <v>7787</v>
      </c>
      <c r="N3848" s="267">
        <f t="shared" si="913"/>
        <v>0</v>
      </c>
      <c r="O3848" s="268">
        <f t="shared" si="914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5"/>
        <v>0</v>
      </c>
      <c r="AD3848" s="196">
        <f t="shared" si="916"/>
        <v>0</v>
      </c>
      <c r="AE3848" s="196">
        <f t="shared" si="917"/>
        <v>0</v>
      </c>
      <c r="AF3848" s="2">
        <f t="shared" si="918"/>
        <v>0</v>
      </c>
      <c r="AG3848" s="2">
        <f t="shared" si="919"/>
        <v>0</v>
      </c>
    </row>
    <row r="3849" spans="1:33">
      <c r="A3849" s="20" t="s">
        <v>2879</v>
      </c>
      <c r="B3849" s="150"/>
      <c r="C3849" s="21" t="s">
        <v>656</v>
      </c>
      <c r="D3849" s="109" t="s">
        <v>15161</v>
      </c>
      <c r="E3849" s="109"/>
      <c r="F3849" s="391" t="s">
        <v>16874</v>
      </c>
      <c r="G3849" s="23" t="s">
        <v>16142</v>
      </c>
      <c r="H3849" s="23"/>
      <c r="I3849" s="23"/>
      <c r="J3849" s="23"/>
      <c r="K3849" s="23"/>
      <c r="L3849" s="375" t="s">
        <v>7787</v>
      </c>
      <c r="M3849" s="351"/>
      <c r="N3849" s="267">
        <f t="shared" si="913"/>
        <v>0</v>
      </c>
      <c r="O3849" s="268">
        <f t="shared" si="914"/>
        <v>0</v>
      </c>
      <c r="P3849" s="239"/>
      <c r="Q3849" s="239"/>
      <c r="R3849" s="239"/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/>
      <c r="AC3849" s="196">
        <f t="shared" si="915"/>
        <v>0</v>
      </c>
      <c r="AD3849" s="196">
        <f t="shared" si="916"/>
        <v>0</v>
      </c>
      <c r="AE3849" s="196">
        <f t="shared" si="917"/>
        <v>0</v>
      </c>
      <c r="AF3849" s="2">
        <f t="shared" si="918"/>
        <v>0</v>
      </c>
      <c r="AG3849" s="2">
        <f t="shared" si="919"/>
        <v>0</v>
      </c>
    </row>
    <row r="3850" spans="1:33">
      <c r="A3850" s="20" t="s">
        <v>21836</v>
      </c>
      <c r="B3850" s="150"/>
      <c r="C3850" s="21" t="s">
        <v>21859</v>
      </c>
      <c r="D3850" s="109" t="s">
        <v>3099</v>
      </c>
      <c r="E3850" s="109"/>
      <c r="F3850" s="391" t="s">
        <v>21864</v>
      </c>
      <c r="G3850" s="23" t="s">
        <v>21860</v>
      </c>
      <c r="H3850" s="23"/>
      <c r="I3850" s="23"/>
      <c r="J3850" s="23"/>
      <c r="K3850" s="23"/>
      <c r="L3850" s="375"/>
      <c r="M3850" s="351"/>
      <c r="N3850" s="267">
        <f t="shared" si="913"/>
        <v>0</v>
      </c>
      <c r="O3850" s="268">
        <f t="shared" si="914"/>
        <v>0</v>
      </c>
      <c r="P3850" s="239"/>
      <c r="Q3850" s="239"/>
      <c r="R3850" s="239"/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/>
      <c r="AC3850" s="196">
        <f t="shared" si="915"/>
        <v>0</v>
      </c>
      <c r="AD3850" s="196">
        <f t="shared" si="916"/>
        <v>0</v>
      </c>
      <c r="AE3850" s="196">
        <f t="shared" si="917"/>
        <v>0</v>
      </c>
      <c r="AF3850" s="2">
        <f t="shared" si="918"/>
        <v>0</v>
      </c>
      <c r="AG3850" s="2">
        <f t="shared" si="919"/>
        <v>0</v>
      </c>
    </row>
    <row r="3851" spans="1:33">
      <c r="A3851" s="20" t="s">
        <v>27094</v>
      </c>
      <c r="B3851" s="150"/>
      <c r="C3851" s="21" t="s">
        <v>21859</v>
      </c>
      <c r="D3851" s="109" t="s">
        <v>3099</v>
      </c>
      <c r="E3851" s="109" t="s">
        <v>25715</v>
      </c>
      <c r="F3851" s="391" t="s">
        <v>21864</v>
      </c>
      <c r="G3851" s="23" t="s">
        <v>13826</v>
      </c>
      <c r="H3851" s="23"/>
      <c r="I3851" s="23"/>
      <c r="J3851" s="23"/>
      <c r="K3851" s="23"/>
      <c r="L3851" s="375" t="s">
        <v>45</v>
      </c>
      <c r="M3851" s="351" t="s">
        <v>45</v>
      </c>
      <c r="N3851" s="267">
        <f t="shared" ref="N3851" si="928">SUM(L3851:M3851)</f>
        <v>0</v>
      </c>
      <c r="O3851" s="268">
        <f t="shared" ref="O3851" si="929">SUM(P3851:Z3851)</f>
        <v>550</v>
      </c>
      <c r="P3851" s="239"/>
      <c r="Q3851" s="239"/>
      <c r="R3851" s="239">
        <f>150+950-150-100-300</f>
        <v>550</v>
      </c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 t="s">
        <v>25727</v>
      </c>
      <c r="AC3851" s="196">
        <f t="shared" si="915"/>
        <v>550</v>
      </c>
      <c r="AD3851" s="196">
        <f t="shared" si="916"/>
        <v>550</v>
      </c>
      <c r="AE3851" s="196">
        <f t="shared" si="917"/>
        <v>0</v>
      </c>
      <c r="AF3851" s="2">
        <f t="shared" si="918"/>
        <v>550</v>
      </c>
      <c r="AG3851" s="2">
        <f t="shared" si="919"/>
        <v>0</v>
      </c>
    </row>
    <row r="3852" spans="1:33">
      <c r="A3852" s="20" t="s">
        <v>21837</v>
      </c>
      <c r="B3852" s="150"/>
      <c r="C3852" s="21" t="s">
        <v>21859</v>
      </c>
      <c r="D3852" s="109" t="s">
        <v>3133</v>
      </c>
      <c r="E3852" s="109"/>
      <c r="F3852" s="391" t="s">
        <v>21864</v>
      </c>
      <c r="G3852" s="23" t="s">
        <v>21860</v>
      </c>
      <c r="H3852" s="23"/>
      <c r="I3852" s="23"/>
      <c r="J3852" s="23"/>
      <c r="K3852" s="23"/>
      <c r="L3852" s="375" t="s">
        <v>7787</v>
      </c>
      <c r="M3852" s="351" t="s">
        <v>7787</v>
      </c>
      <c r="N3852" s="267">
        <f t="shared" si="913"/>
        <v>0</v>
      </c>
      <c r="O3852" s="268">
        <f t="shared" si="914"/>
        <v>100</v>
      </c>
      <c r="P3852" s="239"/>
      <c r="Q3852" s="239"/>
      <c r="R3852" s="239">
        <f>350-250</f>
        <v>100</v>
      </c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 t="s">
        <v>23828</v>
      </c>
      <c r="AC3852" s="196">
        <f t="shared" si="915"/>
        <v>100</v>
      </c>
      <c r="AD3852" s="196">
        <f t="shared" si="916"/>
        <v>100</v>
      </c>
      <c r="AE3852" s="196">
        <f t="shared" si="917"/>
        <v>0</v>
      </c>
      <c r="AF3852" s="2">
        <f t="shared" si="918"/>
        <v>100</v>
      </c>
      <c r="AG3852" s="2">
        <f t="shared" si="919"/>
        <v>0</v>
      </c>
    </row>
    <row r="3853" spans="1:33">
      <c r="A3853" s="20" t="s">
        <v>21679</v>
      </c>
      <c r="B3853" s="150"/>
      <c r="C3853" s="21" t="s">
        <v>21748</v>
      </c>
      <c r="D3853" s="109" t="s">
        <v>3137</v>
      </c>
      <c r="E3853" s="109" t="s">
        <v>7146</v>
      </c>
      <c r="F3853" s="391" t="s">
        <v>21749</v>
      </c>
      <c r="G3853" s="23" t="s">
        <v>6133</v>
      </c>
      <c r="H3853" s="23"/>
      <c r="I3853" s="23"/>
      <c r="J3853" s="23"/>
      <c r="K3853" s="23"/>
      <c r="L3853" s="375" t="s">
        <v>7787</v>
      </c>
      <c r="M3853" s="351" t="s">
        <v>7787</v>
      </c>
      <c r="N3853" s="267">
        <f t="shared" si="913"/>
        <v>0</v>
      </c>
      <c r="O3853" s="268">
        <f t="shared" si="914"/>
        <v>0</v>
      </c>
      <c r="P3853" s="239"/>
      <c r="Q3853" s="239"/>
      <c r="R3853" s="239"/>
      <c r="S3853" s="239"/>
      <c r="T3853" s="239"/>
      <c r="U3853" s="240"/>
      <c r="V3853" s="240"/>
      <c r="W3853" s="240"/>
      <c r="X3853" s="278"/>
      <c r="Y3853" s="237"/>
      <c r="Z3853" s="237"/>
      <c r="AA3853" s="279"/>
      <c r="AB3853" s="238"/>
      <c r="AC3853" s="196">
        <f t="shared" si="915"/>
        <v>0</v>
      </c>
      <c r="AD3853" s="196">
        <f t="shared" si="916"/>
        <v>0</v>
      </c>
      <c r="AE3853" s="196">
        <f t="shared" si="917"/>
        <v>0</v>
      </c>
      <c r="AF3853" s="2">
        <f t="shared" si="918"/>
        <v>0</v>
      </c>
      <c r="AG3853" s="2">
        <f t="shared" si="919"/>
        <v>0</v>
      </c>
    </row>
    <row r="3854" spans="1:33">
      <c r="A3854" s="20" t="s">
        <v>2880</v>
      </c>
      <c r="B3854" s="150"/>
      <c r="C3854" s="21" t="s">
        <v>657</v>
      </c>
      <c r="D3854" s="109" t="s">
        <v>16251</v>
      </c>
      <c r="E3854" s="109"/>
      <c r="F3854" s="391" t="s">
        <v>16875</v>
      </c>
      <c r="G3854" s="23"/>
      <c r="H3854" s="23"/>
      <c r="I3854" s="23"/>
      <c r="J3854" s="23"/>
      <c r="K3854" s="23"/>
      <c r="L3854" s="350"/>
      <c r="M3854" s="351"/>
      <c r="N3854" s="267">
        <f t="shared" si="913"/>
        <v>0</v>
      </c>
      <c r="O3854" s="268">
        <f t="shared" si="914"/>
        <v>0</v>
      </c>
      <c r="P3854" s="239"/>
      <c r="Q3854" s="239"/>
      <c r="R3854" s="239"/>
      <c r="S3854" s="239"/>
      <c r="T3854" s="239"/>
      <c r="U3854" s="240"/>
      <c r="V3854" s="240"/>
      <c r="W3854" s="240"/>
      <c r="X3854" s="278"/>
      <c r="Y3854" s="237"/>
      <c r="Z3854" s="237"/>
      <c r="AA3854" s="279"/>
      <c r="AB3854" s="238"/>
      <c r="AC3854" s="196">
        <f t="shared" si="915"/>
        <v>0</v>
      </c>
      <c r="AD3854" s="196">
        <f t="shared" si="916"/>
        <v>0</v>
      </c>
      <c r="AE3854" s="196">
        <f t="shared" si="917"/>
        <v>0</v>
      </c>
      <c r="AF3854" s="2">
        <f t="shared" si="918"/>
        <v>0</v>
      </c>
      <c r="AG3854" s="2">
        <f t="shared" si="919"/>
        <v>0</v>
      </c>
    </row>
    <row r="3855" spans="1:33">
      <c r="A3855" s="20" t="s">
        <v>22703</v>
      </c>
      <c r="B3855" s="150"/>
      <c r="C3855" s="21" t="s">
        <v>22746</v>
      </c>
      <c r="D3855" s="109" t="s">
        <v>5979</v>
      </c>
      <c r="E3855" s="109"/>
      <c r="F3855" s="391" t="s">
        <v>24608</v>
      </c>
      <c r="G3855" s="23" t="s">
        <v>13565</v>
      </c>
      <c r="H3855" s="23"/>
      <c r="I3855" s="23"/>
      <c r="J3855" s="23"/>
      <c r="K3855" s="23"/>
      <c r="L3855" s="375" t="s">
        <v>45</v>
      </c>
      <c r="M3855" s="351" t="s">
        <v>45</v>
      </c>
      <c r="N3855" s="267">
        <f t="shared" si="913"/>
        <v>0</v>
      </c>
      <c r="O3855" s="268">
        <f t="shared" si="914"/>
        <v>0</v>
      </c>
      <c r="P3855" s="239"/>
      <c r="Q3855" s="239"/>
      <c r="R3855" s="239"/>
      <c r="S3855" s="239"/>
      <c r="T3855" s="239"/>
      <c r="U3855" s="240"/>
      <c r="V3855" s="239"/>
      <c r="W3855" s="240"/>
      <c r="X3855" s="278"/>
      <c r="Y3855" s="239"/>
      <c r="Z3855" s="237"/>
      <c r="AA3855" s="279"/>
      <c r="AB3855" s="238"/>
      <c r="AC3855" s="196">
        <f t="shared" si="915"/>
        <v>0</v>
      </c>
      <c r="AD3855" s="196">
        <f t="shared" si="916"/>
        <v>0</v>
      </c>
      <c r="AE3855" s="196">
        <f t="shared" si="917"/>
        <v>0</v>
      </c>
      <c r="AF3855" s="2">
        <f t="shared" si="918"/>
        <v>0</v>
      </c>
      <c r="AG3855" s="2">
        <f t="shared" si="919"/>
        <v>0</v>
      </c>
    </row>
    <row r="3856" spans="1:33">
      <c r="A3856" s="20" t="s">
        <v>24587</v>
      </c>
      <c r="B3856" s="150"/>
      <c r="C3856" s="21" t="s">
        <v>24606</v>
      </c>
      <c r="D3856" s="109" t="s">
        <v>20994</v>
      </c>
      <c r="E3856" s="109"/>
      <c r="F3856" s="391" t="s">
        <v>24607</v>
      </c>
      <c r="G3856" s="23" t="s">
        <v>10645</v>
      </c>
      <c r="H3856" s="23" t="s">
        <v>13301</v>
      </c>
      <c r="I3856" s="23"/>
      <c r="J3856" s="23"/>
      <c r="K3856" s="23"/>
      <c r="L3856" s="375" t="s">
        <v>45</v>
      </c>
      <c r="M3856" s="351" t="s">
        <v>45</v>
      </c>
      <c r="N3856" s="267">
        <f t="shared" ref="N3856" si="930">SUM(L3856:M3856)</f>
        <v>0</v>
      </c>
      <c r="O3856" s="268">
        <f t="shared" ref="O3856" si="931">SUM(P3856:Z3856)</f>
        <v>0</v>
      </c>
      <c r="P3856" s="239"/>
      <c r="Q3856" s="239"/>
      <c r="R3856" s="239"/>
      <c r="S3856" s="239"/>
      <c r="T3856" s="239"/>
      <c r="U3856" s="240"/>
      <c r="V3856" s="239"/>
      <c r="W3856" s="240"/>
      <c r="X3856" s="278"/>
      <c r="Y3856" s="239"/>
      <c r="Z3856" s="237"/>
      <c r="AA3856" s="279"/>
      <c r="AB3856" s="238"/>
      <c r="AC3856" s="196">
        <f t="shared" si="915"/>
        <v>0</v>
      </c>
      <c r="AD3856" s="196">
        <f t="shared" si="916"/>
        <v>0</v>
      </c>
      <c r="AE3856" s="196">
        <f t="shared" si="917"/>
        <v>0</v>
      </c>
      <c r="AF3856" s="2">
        <f t="shared" si="918"/>
        <v>0</v>
      </c>
      <c r="AG3856" s="2">
        <f t="shared" si="919"/>
        <v>0</v>
      </c>
    </row>
    <row r="3857" spans="1:33">
      <c r="A3857" s="20" t="s">
        <v>2881</v>
      </c>
      <c r="B3857" s="150"/>
      <c r="C3857" s="21" t="s">
        <v>658</v>
      </c>
      <c r="D3857" s="109" t="s">
        <v>16832</v>
      </c>
      <c r="E3857" s="109"/>
      <c r="F3857" s="391" t="s">
        <v>16876</v>
      </c>
      <c r="G3857" s="23" t="s">
        <v>16183</v>
      </c>
      <c r="H3857" s="23"/>
      <c r="I3857" s="23"/>
      <c r="J3857" s="23"/>
      <c r="K3857" s="23"/>
      <c r="L3857" s="375"/>
      <c r="M3857" s="351" t="s">
        <v>7787</v>
      </c>
      <c r="N3857" s="267">
        <f t="shared" si="913"/>
        <v>0</v>
      </c>
      <c r="O3857" s="268">
        <f t="shared" si="914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5"/>
        <v>0</v>
      </c>
      <c r="AD3857" s="196">
        <f t="shared" si="916"/>
        <v>0</v>
      </c>
      <c r="AE3857" s="196">
        <f t="shared" si="917"/>
        <v>0</v>
      </c>
      <c r="AF3857" s="2">
        <f t="shared" si="918"/>
        <v>0</v>
      </c>
      <c r="AG3857" s="2">
        <f t="shared" si="919"/>
        <v>0</v>
      </c>
    </row>
    <row r="3858" spans="1:33">
      <c r="A3858" s="20" t="s">
        <v>21852</v>
      </c>
      <c r="B3858" s="150"/>
      <c r="C3858" s="21" t="s">
        <v>22378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/>
      <c r="M3858" s="351"/>
      <c r="N3858" s="267">
        <f t="shared" si="913"/>
        <v>0</v>
      </c>
      <c r="O3858" s="268">
        <f t="shared" si="914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5"/>
        <v>0</v>
      </c>
      <c r="AD3858" s="196">
        <f t="shared" si="916"/>
        <v>0</v>
      </c>
      <c r="AE3858" s="196">
        <f t="shared" si="917"/>
        <v>0</v>
      </c>
      <c r="AF3858" s="2">
        <f t="shared" si="918"/>
        <v>0</v>
      </c>
      <c r="AG3858" s="2">
        <f t="shared" si="919"/>
        <v>0</v>
      </c>
    </row>
    <row r="3859" spans="1:33">
      <c r="A3859" s="20" t="s">
        <v>22086</v>
      </c>
      <c r="B3859" s="150"/>
      <c r="C3859" s="21" t="s">
        <v>22377</v>
      </c>
      <c r="D3859" s="109" t="s">
        <v>3099</v>
      </c>
      <c r="E3859" s="109" t="s">
        <v>22380</v>
      </c>
      <c r="F3859" s="391" t="s">
        <v>20242</v>
      </c>
      <c r="G3859" s="23" t="s">
        <v>18870</v>
      </c>
      <c r="H3859" s="23" t="s">
        <v>21946</v>
      </c>
      <c r="I3859" s="23"/>
      <c r="J3859" s="23"/>
      <c r="K3859" s="23"/>
      <c r="L3859" s="375" t="s">
        <v>7787</v>
      </c>
      <c r="M3859" s="351"/>
      <c r="N3859" s="267">
        <f t="shared" si="913"/>
        <v>0</v>
      </c>
      <c r="O3859" s="268">
        <f t="shared" si="914"/>
        <v>0</v>
      </c>
      <c r="P3859" s="239"/>
      <c r="Q3859" s="239"/>
      <c r="R3859" s="239"/>
      <c r="S3859" s="239"/>
      <c r="T3859" s="239"/>
      <c r="U3859" s="240"/>
      <c r="V3859" s="240"/>
      <c r="W3859" s="240"/>
      <c r="X3859" s="278"/>
      <c r="Y3859" s="237"/>
      <c r="Z3859" s="237"/>
      <c r="AA3859" s="279"/>
      <c r="AB3859" s="238"/>
      <c r="AC3859" s="196">
        <f t="shared" si="915"/>
        <v>0</v>
      </c>
      <c r="AD3859" s="196">
        <f t="shared" si="916"/>
        <v>0</v>
      </c>
      <c r="AE3859" s="196">
        <f t="shared" si="917"/>
        <v>0</v>
      </c>
      <c r="AF3859" s="2">
        <f t="shared" si="918"/>
        <v>0</v>
      </c>
      <c r="AG3859" s="2">
        <f t="shared" si="919"/>
        <v>0</v>
      </c>
    </row>
    <row r="3860" spans="1:33">
      <c r="A3860" s="20" t="s">
        <v>22214</v>
      </c>
      <c r="B3860" s="150"/>
      <c r="C3860" s="21" t="s">
        <v>22379</v>
      </c>
      <c r="D3860" s="109" t="s">
        <v>3099</v>
      </c>
      <c r="E3860" s="109" t="s">
        <v>22380</v>
      </c>
      <c r="F3860" s="391" t="s">
        <v>20242</v>
      </c>
      <c r="G3860" s="23" t="s">
        <v>18870</v>
      </c>
      <c r="H3860" s="23" t="s">
        <v>21946</v>
      </c>
      <c r="I3860" s="23"/>
      <c r="J3860" s="23"/>
      <c r="K3860" s="23"/>
      <c r="L3860" s="375" t="s">
        <v>7787</v>
      </c>
      <c r="M3860" s="351" t="s">
        <v>7787</v>
      </c>
      <c r="N3860" s="267">
        <f t="shared" si="913"/>
        <v>0</v>
      </c>
      <c r="O3860" s="268">
        <f t="shared" si="914"/>
        <v>0</v>
      </c>
      <c r="P3860" s="239"/>
      <c r="Q3860" s="239"/>
      <c r="R3860" s="239"/>
      <c r="S3860" s="239"/>
      <c r="T3860" s="239"/>
      <c r="U3860" s="240"/>
      <c r="V3860" s="240"/>
      <c r="W3860" s="240"/>
      <c r="X3860" s="278"/>
      <c r="Y3860" s="237"/>
      <c r="Z3860" s="237"/>
      <c r="AA3860" s="279"/>
      <c r="AB3860" s="238"/>
      <c r="AC3860" s="196">
        <f t="shared" si="915"/>
        <v>0</v>
      </c>
      <c r="AD3860" s="196">
        <f t="shared" si="916"/>
        <v>0</v>
      </c>
      <c r="AE3860" s="196">
        <f t="shared" si="917"/>
        <v>0</v>
      </c>
      <c r="AF3860" s="2">
        <f t="shared" si="918"/>
        <v>0</v>
      </c>
      <c r="AG3860" s="2">
        <f t="shared" si="919"/>
        <v>0</v>
      </c>
    </row>
    <row r="3861" spans="1:33">
      <c r="A3861" s="20" t="s">
        <v>21783</v>
      </c>
      <c r="B3861" s="150"/>
      <c r="C3861" s="21" t="s">
        <v>24909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23280</v>
      </c>
      <c r="J3861" s="23" t="s">
        <v>24274</v>
      </c>
      <c r="K3861" s="23"/>
      <c r="L3861" s="375" t="s">
        <v>27961</v>
      </c>
      <c r="M3861" s="351" t="s">
        <v>45</v>
      </c>
      <c r="N3861" s="267">
        <f t="shared" si="913"/>
        <v>0</v>
      </c>
      <c r="O3861" s="268">
        <f t="shared" si="914"/>
        <v>2900</v>
      </c>
      <c r="P3861" s="239"/>
      <c r="Q3861" s="239"/>
      <c r="R3861" s="239"/>
      <c r="S3861" s="239"/>
      <c r="T3861" s="239"/>
      <c r="U3861" s="240"/>
      <c r="V3861" s="240">
        <f>2800+1700+2000-3600</f>
        <v>2900</v>
      </c>
      <c r="W3861" s="240"/>
      <c r="X3861" s="278"/>
      <c r="Y3861" s="240"/>
      <c r="Z3861" s="237"/>
      <c r="AA3861" s="240"/>
      <c r="AB3861" s="238" t="s">
        <v>27939</v>
      </c>
      <c r="AC3861" s="196">
        <f t="shared" si="915"/>
        <v>2900</v>
      </c>
      <c r="AD3861" s="196">
        <f t="shared" si="916"/>
        <v>2900</v>
      </c>
      <c r="AE3861" s="196">
        <f t="shared" si="917"/>
        <v>0</v>
      </c>
      <c r="AF3861" s="2">
        <f t="shared" si="918"/>
        <v>2900</v>
      </c>
      <c r="AG3861" s="2">
        <f t="shared" si="919"/>
        <v>0</v>
      </c>
    </row>
    <row r="3862" spans="1:33">
      <c r="A3862" s="20" t="s">
        <v>25050</v>
      </c>
      <c r="B3862" s="150"/>
      <c r="C3862" s="21" t="s">
        <v>25325</v>
      </c>
      <c r="D3862" s="109" t="s">
        <v>5979</v>
      </c>
      <c r="E3862" s="109"/>
      <c r="F3862" s="391" t="s">
        <v>21832</v>
      </c>
      <c r="G3862" s="23" t="s">
        <v>13565</v>
      </c>
      <c r="H3862" s="23" t="s">
        <v>17306</v>
      </c>
      <c r="I3862" s="23" t="s">
        <v>23280</v>
      </c>
      <c r="J3862" s="23" t="s">
        <v>13317</v>
      </c>
      <c r="K3862" s="23" t="s">
        <v>27195</v>
      </c>
      <c r="L3862" s="375" t="s">
        <v>45</v>
      </c>
      <c r="M3862" s="351"/>
      <c r="N3862" s="267">
        <f t="shared" ref="N3862:N3866" si="932">SUM(L3862:M3862)</f>
        <v>0</v>
      </c>
      <c r="O3862" s="268">
        <f t="shared" ref="O3862:O3866" si="933">SUM(P3862:Z3862)</f>
        <v>13700</v>
      </c>
      <c r="P3862" s="239"/>
      <c r="Q3862" s="239"/>
      <c r="R3862" s="239"/>
      <c r="S3862" s="239"/>
      <c r="T3862" s="239"/>
      <c r="U3862" s="240"/>
      <c r="V3862" s="240">
        <f>2100+3600+3600+3600+3200+3200-3800+3600+3400+3200-18000+3400+3200+3000+3600+3100+3600+3400+3200+3600+3200+3700-14400-200-7200-3600-3600-10800-1400+2400+3000-3600+3400-3600+3000+3400-3600-7200+3000+3200+3600+3100+3400+3200-200+3900-3600-10800-3000</f>
        <v>6500</v>
      </c>
      <c r="W3862" s="240"/>
      <c r="X3862" s="278">
        <f>10800-3600</f>
        <v>7200</v>
      </c>
      <c r="Y3862" s="240"/>
      <c r="Z3862" s="237"/>
      <c r="AA3862" s="240"/>
      <c r="AB3862" s="238" t="s">
        <v>27950</v>
      </c>
      <c r="AC3862" s="196">
        <f t="shared" si="915"/>
        <v>13700</v>
      </c>
      <c r="AD3862" s="196">
        <f t="shared" si="916"/>
        <v>13700</v>
      </c>
      <c r="AE3862" s="196">
        <f t="shared" si="917"/>
        <v>0</v>
      </c>
      <c r="AF3862" s="2">
        <f t="shared" si="918"/>
        <v>13700</v>
      </c>
      <c r="AG3862" s="2">
        <f t="shared" si="919"/>
        <v>0</v>
      </c>
    </row>
    <row r="3863" spans="1:33">
      <c r="A3863" s="20" t="s">
        <v>26019</v>
      </c>
      <c r="B3863" s="150"/>
      <c r="C3863" s="21" t="s">
        <v>25324</v>
      </c>
      <c r="D3863" s="109" t="s">
        <v>5979</v>
      </c>
      <c r="E3863" s="109"/>
      <c r="F3863" s="391" t="s">
        <v>21832</v>
      </c>
      <c r="G3863" s="23" t="s">
        <v>13565</v>
      </c>
      <c r="H3863" s="23" t="s">
        <v>17306</v>
      </c>
      <c r="I3863" s="23" t="s">
        <v>26784</v>
      </c>
      <c r="J3863" s="23" t="s">
        <v>13240</v>
      </c>
      <c r="K3863" s="23" t="s">
        <v>26080</v>
      </c>
      <c r="L3863" s="375" t="s">
        <v>27410</v>
      </c>
      <c r="M3863" s="351" t="s">
        <v>45</v>
      </c>
      <c r="N3863" s="267">
        <f t="shared" ref="N3863" si="934">SUM(L3863:M3863)</f>
        <v>0</v>
      </c>
      <c r="O3863" s="268">
        <f t="shared" ref="O3863" si="935">SUM(P3863:Z3863)</f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40"/>
      <c r="Z3863" s="237"/>
      <c r="AA3863" s="292"/>
      <c r="AB3863" s="238"/>
      <c r="AC3863" s="196">
        <f t="shared" si="915"/>
        <v>0</v>
      </c>
      <c r="AD3863" s="196">
        <f t="shared" si="916"/>
        <v>0</v>
      </c>
      <c r="AE3863" s="196">
        <f t="shared" si="917"/>
        <v>0</v>
      </c>
      <c r="AF3863" s="2">
        <f t="shared" si="918"/>
        <v>0</v>
      </c>
      <c r="AG3863" s="2">
        <f t="shared" si="919"/>
        <v>0</v>
      </c>
    </row>
    <row r="3864" spans="1:33">
      <c r="A3864" s="20" t="s">
        <v>21840</v>
      </c>
      <c r="B3864" s="150"/>
      <c r="C3864" s="21" t="s">
        <v>21872</v>
      </c>
      <c r="D3864" s="109" t="s">
        <v>3137</v>
      </c>
      <c r="E3864" s="109" t="s">
        <v>21873</v>
      </c>
      <c r="F3864" s="391" t="s">
        <v>21874</v>
      </c>
      <c r="G3864" s="23" t="s">
        <v>17522</v>
      </c>
      <c r="H3864" s="23"/>
      <c r="I3864" s="23"/>
      <c r="J3864" s="23"/>
      <c r="K3864" s="23"/>
      <c r="L3864" s="375" t="s">
        <v>7787</v>
      </c>
      <c r="M3864" s="351" t="s">
        <v>45</v>
      </c>
      <c r="N3864" s="267">
        <f t="shared" si="932"/>
        <v>0</v>
      </c>
      <c r="O3864" s="268">
        <f t="shared" si="933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5"/>
        <v>0</v>
      </c>
      <c r="AD3864" s="196">
        <f t="shared" si="916"/>
        <v>0</v>
      </c>
      <c r="AE3864" s="196">
        <f t="shared" si="917"/>
        <v>0</v>
      </c>
      <c r="AF3864" s="2">
        <f t="shared" si="918"/>
        <v>0</v>
      </c>
      <c r="AG3864" s="2">
        <f t="shared" si="919"/>
        <v>0</v>
      </c>
    </row>
    <row r="3865" spans="1:33">
      <c r="A3865" s="20" t="s">
        <v>21917</v>
      </c>
      <c r="B3865" s="150"/>
      <c r="C3865" s="21" t="s">
        <v>22005</v>
      </c>
      <c r="D3865" s="109" t="s">
        <v>3137</v>
      </c>
      <c r="E3865" s="109"/>
      <c r="F3865" s="391" t="s">
        <v>22006</v>
      </c>
      <c r="G3865" s="23" t="s">
        <v>17522</v>
      </c>
      <c r="H3865" s="23"/>
      <c r="I3865" s="23"/>
      <c r="J3865" s="23"/>
      <c r="K3865" s="23"/>
      <c r="L3865" s="375"/>
      <c r="M3865" s="351"/>
      <c r="N3865" s="267">
        <f t="shared" si="932"/>
        <v>0</v>
      </c>
      <c r="O3865" s="268">
        <f t="shared" si="933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5"/>
        <v>0</v>
      </c>
      <c r="AD3865" s="196">
        <f t="shared" si="916"/>
        <v>0</v>
      </c>
      <c r="AE3865" s="196">
        <f t="shared" si="917"/>
        <v>0</v>
      </c>
      <c r="AF3865" s="2">
        <f t="shared" si="918"/>
        <v>0</v>
      </c>
      <c r="AG3865" s="2">
        <f t="shared" si="919"/>
        <v>0</v>
      </c>
    </row>
    <row r="3866" spans="1:33">
      <c r="A3866" s="20" t="s">
        <v>2882</v>
      </c>
      <c r="B3866" s="152" t="s">
        <v>6391</v>
      </c>
      <c r="C3866" s="21" t="s">
        <v>659</v>
      </c>
      <c r="D3866" s="109" t="s">
        <v>15161</v>
      </c>
      <c r="E3866" s="109"/>
      <c r="F3866" s="391" t="s">
        <v>16877</v>
      </c>
      <c r="G3866" s="23" t="s">
        <v>16878</v>
      </c>
      <c r="H3866" s="23"/>
      <c r="I3866" s="23"/>
      <c r="J3866" s="23"/>
      <c r="K3866" s="23"/>
      <c r="L3866" s="375" t="s">
        <v>7787</v>
      </c>
      <c r="M3866" s="351"/>
      <c r="N3866" s="267">
        <f t="shared" si="932"/>
        <v>0</v>
      </c>
      <c r="O3866" s="268">
        <f t="shared" si="933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5"/>
        <v>0</v>
      </c>
      <c r="AD3866" s="196">
        <f t="shared" si="916"/>
        <v>0</v>
      </c>
      <c r="AE3866" s="196">
        <f t="shared" si="917"/>
        <v>0</v>
      </c>
      <c r="AF3866" s="2">
        <f t="shared" si="918"/>
        <v>0</v>
      </c>
      <c r="AG3866" s="2">
        <f t="shared" si="919"/>
        <v>0</v>
      </c>
    </row>
    <row r="3867" spans="1:33">
      <c r="A3867" s="20" t="s">
        <v>6895</v>
      </c>
      <c r="B3867" s="152" t="s">
        <v>16879</v>
      </c>
      <c r="C3867" s="21" t="s">
        <v>659</v>
      </c>
      <c r="D3867" s="109" t="s">
        <v>15167</v>
      </c>
      <c r="E3867" s="109"/>
      <c r="F3867" s="391" t="s">
        <v>16877</v>
      </c>
      <c r="G3867" s="23" t="s">
        <v>16379</v>
      </c>
      <c r="H3867" s="23" t="s">
        <v>16192</v>
      </c>
      <c r="I3867" s="23"/>
      <c r="J3867" s="23"/>
      <c r="K3867" s="23"/>
      <c r="L3867" s="375" t="s">
        <v>7787</v>
      </c>
      <c r="M3867" s="351" t="s">
        <v>7787</v>
      </c>
      <c r="N3867" s="267">
        <f t="shared" si="913"/>
        <v>0</v>
      </c>
      <c r="O3867" s="268">
        <f t="shared" si="914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5"/>
        <v>0</v>
      </c>
      <c r="AD3867" s="196">
        <f t="shared" si="916"/>
        <v>0</v>
      </c>
      <c r="AE3867" s="196">
        <f t="shared" si="917"/>
        <v>0</v>
      </c>
      <c r="AF3867" s="2">
        <f t="shared" si="918"/>
        <v>0</v>
      </c>
      <c r="AG3867" s="2">
        <f t="shared" si="919"/>
        <v>0</v>
      </c>
    </row>
    <row r="3868" spans="1:33">
      <c r="A3868" s="20" t="s">
        <v>21915</v>
      </c>
      <c r="B3868" s="162"/>
      <c r="C3868" s="21" t="s">
        <v>21956</v>
      </c>
      <c r="D3868" s="109" t="s">
        <v>3137</v>
      </c>
      <c r="E3868" s="109"/>
      <c r="F3868" s="391" t="s">
        <v>21957</v>
      </c>
      <c r="G3868" s="23" t="s">
        <v>21992</v>
      </c>
      <c r="H3868" s="23"/>
      <c r="I3868" s="23"/>
      <c r="J3868" s="23"/>
      <c r="K3868" s="23"/>
      <c r="L3868" s="375"/>
      <c r="M3868" s="351" t="s">
        <v>7787</v>
      </c>
      <c r="N3868" s="267">
        <f t="shared" si="913"/>
        <v>0</v>
      </c>
      <c r="O3868" s="268">
        <f t="shared" si="914"/>
        <v>0</v>
      </c>
      <c r="P3868" s="239"/>
      <c r="Q3868" s="239"/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/>
      <c r="AC3868" s="196">
        <f t="shared" si="915"/>
        <v>0</v>
      </c>
      <c r="AD3868" s="196">
        <f t="shared" si="916"/>
        <v>0</v>
      </c>
      <c r="AE3868" s="196">
        <f t="shared" si="917"/>
        <v>0</v>
      </c>
      <c r="AF3868" s="2">
        <f t="shared" si="918"/>
        <v>0</v>
      </c>
      <c r="AG3868" s="2">
        <f t="shared" si="919"/>
        <v>0</v>
      </c>
    </row>
    <row r="3869" spans="1:33">
      <c r="A3869" s="20" t="s">
        <v>22780</v>
      </c>
      <c r="B3869" s="162"/>
      <c r="C3869" s="21" t="s">
        <v>22841</v>
      </c>
      <c r="D3869" s="109" t="s">
        <v>3096</v>
      </c>
      <c r="E3869" s="109" t="s">
        <v>22850</v>
      </c>
      <c r="F3869" s="391" t="s">
        <v>22851</v>
      </c>
      <c r="G3869" s="23" t="s">
        <v>22852</v>
      </c>
      <c r="H3869" s="23"/>
      <c r="I3869" s="23"/>
      <c r="J3869" s="23"/>
      <c r="K3869" s="23"/>
      <c r="L3869" s="375" t="s">
        <v>7787</v>
      </c>
      <c r="M3869" s="351">
        <v>100</v>
      </c>
      <c r="N3869" s="267">
        <f t="shared" si="913"/>
        <v>100</v>
      </c>
      <c r="O3869" s="268">
        <f t="shared" si="914"/>
        <v>0</v>
      </c>
      <c r="P3869" s="239"/>
      <c r="Q3869" s="239"/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/>
      <c r="AC3869" s="196">
        <f t="shared" si="915"/>
        <v>0</v>
      </c>
      <c r="AD3869" s="196">
        <f t="shared" si="916"/>
        <v>0</v>
      </c>
      <c r="AE3869" s="196">
        <f t="shared" si="917"/>
        <v>0</v>
      </c>
      <c r="AF3869" s="2">
        <f t="shared" si="918"/>
        <v>0</v>
      </c>
      <c r="AG3869" s="2">
        <f t="shared" si="919"/>
        <v>0</v>
      </c>
    </row>
    <row r="3870" spans="1:33">
      <c r="A3870" s="20" t="s">
        <v>22471</v>
      </c>
      <c r="B3870" s="162"/>
      <c r="C3870" s="21" t="s">
        <v>22510</v>
      </c>
      <c r="D3870" s="109" t="s">
        <v>3137</v>
      </c>
      <c r="E3870" s="109"/>
      <c r="F3870" s="391" t="s">
        <v>22522</v>
      </c>
      <c r="G3870" s="23" t="s">
        <v>17522</v>
      </c>
      <c r="H3870" s="23"/>
      <c r="I3870" s="23"/>
      <c r="J3870" s="23"/>
      <c r="K3870" s="23"/>
      <c r="L3870" s="375" t="s">
        <v>27523</v>
      </c>
      <c r="M3870" s="351" t="s">
        <v>7787</v>
      </c>
      <c r="N3870" s="267">
        <f t="shared" si="913"/>
        <v>0</v>
      </c>
      <c r="O3870" s="268">
        <f t="shared" si="914"/>
        <v>550</v>
      </c>
      <c r="P3870" s="239"/>
      <c r="Q3870" s="239">
        <f>1000-450</f>
        <v>550</v>
      </c>
      <c r="R3870" s="239"/>
      <c r="S3870" s="239"/>
      <c r="T3870" s="239"/>
      <c r="U3870" s="240"/>
      <c r="V3870" s="240"/>
      <c r="W3870" s="240"/>
      <c r="X3870" s="278"/>
      <c r="Y3870" s="237"/>
      <c r="Z3870" s="237"/>
      <c r="AA3870" s="279"/>
      <c r="AB3870" s="238" t="s">
        <v>27519</v>
      </c>
      <c r="AC3870" s="196">
        <f t="shared" si="915"/>
        <v>550</v>
      </c>
      <c r="AD3870" s="196">
        <f t="shared" si="916"/>
        <v>550</v>
      </c>
      <c r="AE3870" s="196">
        <f t="shared" si="917"/>
        <v>0</v>
      </c>
      <c r="AF3870" s="2">
        <f t="shared" si="918"/>
        <v>550</v>
      </c>
      <c r="AG3870" s="2">
        <f t="shared" si="919"/>
        <v>0</v>
      </c>
    </row>
    <row r="3871" spans="1:33">
      <c r="A3871" s="20" t="s">
        <v>21916</v>
      </c>
      <c r="B3871" s="162"/>
      <c r="C3871" s="21" t="s">
        <v>21950</v>
      </c>
      <c r="D3871" s="109" t="s">
        <v>3137</v>
      </c>
      <c r="E3871" s="109"/>
      <c r="F3871" s="391" t="s">
        <v>21958</v>
      </c>
      <c r="G3871" s="23" t="s">
        <v>17522</v>
      </c>
      <c r="H3871" s="23"/>
      <c r="I3871" s="23"/>
      <c r="J3871" s="23"/>
      <c r="K3871" s="23"/>
      <c r="L3871" s="375"/>
      <c r="M3871" s="351"/>
      <c r="N3871" s="267">
        <f t="shared" si="913"/>
        <v>0</v>
      </c>
      <c r="O3871" s="268">
        <f t="shared" si="914"/>
        <v>0</v>
      </c>
      <c r="P3871" s="239"/>
      <c r="Q3871" s="239"/>
      <c r="R3871" s="239"/>
      <c r="S3871" s="239"/>
      <c r="T3871" s="239"/>
      <c r="U3871" s="240"/>
      <c r="V3871" s="240"/>
      <c r="W3871" s="240"/>
      <c r="X3871" s="278"/>
      <c r="Y3871" s="237"/>
      <c r="Z3871" s="237"/>
      <c r="AA3871" s="279"/>
      <c r="AB3871" s="238"/>
      <c r="AC3871" s="196">
        <f t="shared" si="915"/>
        <v>0</v>
      </c>
      <c r="AD3871" s="196">
        <f t="shared" si="916"/>
        <v>0</v>
      </c>
      <c r="AE3871" s="196">
        <f t="shared" si="917"/>
        <v>0</v>
      </c>
      <c r="AF3871" s="2">
        <f t="shared" si="918"/>
        <v>0</v>
      </c>
      <c r="AG3871" s="2">
        <f t="shared" si="919"/>
        <v>0</v>
      </c>
    </row>
    <row r="3872" spans="1:33">
      <c r="A3872" s="20" t="s">
        <v>22087</v>
      </c>
      <c r="B3872" s="162"/>
      <c r="C3872" s="21" t="s">
        <v>22077</v>
      </c>
      <c r="D3872" s="109" t="s">
        <v>3137</v>
      </c>
      <c r="E3872" s="109"/>
      <c r="F3872" s="391" t="s">
        <v>22109</v>
      </c>
      <c r="G3872" s="23" t="s">
        <v>13942</v>
      </c>
      <c r="H3872" s="23" t="s">
        <v>23386</v>
      </c>
      <c r="I3872" s="23" t="s">
        <v>25266</v>
      </c>
      <c r="J3872" s="23"/>
      <c r="K3872" s="23"/>
      <c r="L3872" s="375" t="s">
        <v>45</v>
      </c>
      <c r="M3872" s="351" t="s">
        <v>45</v>
      </c>
      <c r="N3872" s="267">
        <f t="shared" si="913"/>
        <v>0</v>
      </c>
      <c r="O3872" s="268">
        <f t="shared" si="914"/>
        <v>150</v>
      </c>
      <c r="P3872" s="239"/>
      <c r="Q3872" s="239"/>
      <c r="R3872" s="239"/>
      <c r="S3872" s="239"/>
      <c r="T3872" s="239"/>
      <c r="U3872" s="239">
        <f>300-150</f>
        <v>150</v>
      </c>
      <c r="V3872" s="240"/>
      <c r="W3872" s="240"/>
      <c r="X3872" s="278"/>
      <c r="Y3872" s="237"/>
      <c r="Z3872" s="237"/>
      <c r="AA3872" s="279"/>
      <c r="AB3872" s="238" t="s">
        <v>27223</v>
      </c>
      <c r="AC3872" s="196">
        <f t="shared" si="915"/>
        <v>150</v>
      </c>
      <c r="AD3872" s="196">
        <f t="shared" si="916"/>
        <v>150</v>
      </c>
      <c r="AE3872" s="196">
        <f t="shared" si="917"/>
        <v>0</v>
      </c>
      <c r="AF3872" s="2">
        <f t="shared" si="918"/>
        <v>150</v>
      </c>
      <c r="AG3872" s="2">
        <f t="shared" si="919"/>
        <v>0</v>
      </c>
    </row>
    <row r="3873" spans="1:33">
      <c r="A3873" s="20" t="s">
        <v>21850</v>
      </c>
      <c r="B3873" s="162"/>
      <c r="C3873" s="21" t="s">
        <v>21902</v>
      </c>
      <c r="D3873" s="109" t="s">
        <v>3137</v>
      </c>
      <c r="E3873" s="109" t="s">
        <v>20884</v>
      </c>
      <c r="F3873" s="391" t="s">
        <v>21904</v>
      </c>
      <c r="G3873" s="23" t="s">
        <v>6133</v>
      </c>
      <c r="H3873" s="23" t="s">
        <v>17522</v>
      </c>
      <c r="I3873" s="23"/>
      <c r="J3873" s="23"/>
      <c r="K3873" s="23"/>
      <c r="L3873" s="375" t="s">
        <v>45</v>
      </c>
      <c r="M3873" s="351"/>
      <c r="N3873" s="267">
        <f t="shared" si="913"/>
        <v>0</v>
      </c>
      <c r="O3873" s="268">
        <f t="shared" si="914"/>
        <v>500</v>
      </c>
      <c r="P3873" s="239"/>
      <c r="Q3873" s="239">
        <f>1650+1250+1400-3000+1550-2000-500+2150-2000</f>
        <v>500</v>
      </c>
      <c r="R3873" s="239"/>
      <c r="S3873" s="239"/>
      <c r="T3873" s="239"/>
      <c r="U3873" s="240"/>
      <c r="V3873" s="240"/>
      <c r="W3873" s="240"/>
      <c r="X3873" s="278"/>
      <c r="Y3873" s="239"/>
      <c r="Z3873" s="237"/>
      <c r="AA3873" s="279"/>
      <c r="AB3873" s="238" t="s">
        <v>26195</v>
      </c>
      <c r="AC3873" s="196">
        <f t="shared" si="915"/>
        <v>500</v>
      </c>
      <c r="AD3873" s="196">
        <f t="shared" si="916"/>
        <v>500</v>
      </c>
      <c r="AE3873" s="196">
        <f t="shared" si="917"/>
        <v>0</v>
      </c>
      <c r="AF3873" s="2">
        <f t="shared" si="918"/>
        <v>500</v>
      </c>
      <c r="AG3873" s="2">
        <f t="shared" si="919"/>
        <v>0</v>
      </c>
    </row>
    <row r="3874" spans="1:33">
      <c r="A3874" s="20" t="s">
        <v>2888</v>
      </c>
      <c r="B3874" s="150"/>
      <c r="C3874" s="21" t="s">
        <v>660</v>
      </c>
      <c r="D3874" s="109" t="s">
        <v>16753</v>
      </c>
      <c r="E3874" s="109" t="s">
        <v>16880</v>
      </c>
      <c r="F3874" s="391" t="s">
        <v>16881</v>
      </c>
      <c r="G3874" s="23"/>
      <c r="H3874" s="23"/>
      <c r="I3874" s="23"/>
      <c r="J3874" s="23"/>
      <c r="K3874" s="23"/>
      <c r="L3874" s="350"/>
      <c r="M3874" s="351"/>
      <c r="N3874" s="267">
        <f t="shared" si="913"/>
        <v>0</v>
      </c>
      <c r="O3874" s="268">
        <f t="shared" si="914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5"/>
        <v>0</v>
      </c>
      <c r="AD3874" s="196">
        <f t="shared" si="916"/>
        <v>0</v>
      </c>
      <c r="AE3874" s="196">
        <f t="shared" si="917"/>
        <v>0</v>
      </c>
      <c r="AF3874" s="2">
        <f t="shared" si="918"/>
        <v>0</v>
      </c>
      <c r="AG3874" s="2">
        <f t="shared" si="919"/>
        <v>0</v>
      </c>
    </row>
    <row r="3875" spans="1:33">
      <c r="A3875" s="20" t="s">
        <v>2885</v>
      </c>
      <c r="B3875" s="150"/>
      <c r="C3875" s="21" t="s">
        <v>660</v>
      </c>
      <c r="D3875" s="109" t="s">
        <v>16376</v>
      </c>
      <c r="E3875" s="109" t="s">
        <v>15965</v>
      </c>
      <c r="F3875" s="391" t="s">
        <v>16881</v>
      </c>
      <c r="G3875" s="23"/>
      <c r="H3875" s="23"/>
      <c r="I3875" s="23"/>
      <c r="J3875" s="23"/>
      <c r="K3875" s="23"/>
      <c r="L3875" s="375" t="s">
        <v>7787</v>
      </c>
      <c r="M3875" s="351" t="s">
        <v>7787</v>
      </c>
      <c r="N3875" s="267">
        <f t="shared" si="913"/>
        <v>0</v>
      </c>
      <c r="O3875" s="268">
        <f t="shared" si="914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7"/>
      <c r="Z3875" s="237"/>
      <c r="AA3875" s="279"/>
      <c r="AB3875" s="238"/>
      <c r="AC3875" s="196">
        <f t="shared" si="915"/>
        <v>0</v>
      </c>
      <c r="AD3875" s="196">
        <f t="shared" si="916"/>
        <v>0</v>
      </c>
      <c r="AE3875" s="196">
        <f t="shared" si="917"/>
        <v>0</v>
      </c>
      <c r="AF3875" s="2">
        <f t="shared" si="918"/>
        <v>0</v>
      </c>
      <c r="AG3875" s="2">
        <f t="shared" si="919"/>
        <v>0</v>
      </c>
    </row>
    <row r="3876" spans="1:33">
      <c r="A3876" s="20" t="s">
        <v>2884</v>
      </c>
      <c r="B3876" s="150"/>
      <c r="C3876" s="21" t="s">
        <v>660</v>
      </c>
      <c r="D3876" s="109" t="s">
        <v>16376</v>
      </c>
      <c r="E3876" s="109" t="s">
        <v>16882</v>
      </c>
      <c r="F3876" s="391" t="s">
        <v>16881</v>
      </c>
      <c r="G3876" s="23"/>
      <c r="H3876" s="23"/>
      <c r="I3876" s="23"/>
      <c r="J3876" s="23"/>
      <c r="K3876" s="23"/>
      <c r="L3876" s="350"/>
      <c r="M3876" s="351"/>
      <c r="N3876" s="267">
        <f t="shared" si="913"/>
        <v>0</v>
      </c>
      <c r="O3876" s="268">
        <f t="shared" si="914"/>
        <v>0</v>
      </c>
      <c r="P3876" s="239"/>
      <c r="Q3876" s="239"/>
      <c r="R3876" s="239"/>
      <c r="S3876" s="239"/>
      <c r="T3876" s="239"/>
      <c r="U3876" s="240"/>
      <c r="V3876" s="240"/>
      <c r="W3876" s="240"/>
      <c r="X3876" s="278"/>
      <c r="Y3876" s="237"/>
      <c r="Z3876" s="237"/>
      <c r="AA3876" s="279"/>
      <c r="AB3876" s="238"/>
      <c r="AC3876" s="196">
        <f t="shared" si="915"/>
        <v>0</v>
      </c>
      <c r="AD3876" s="196">
        <f t="shared" si="916"/>
        <v>0</v>
      </c>
      <c r="AE3876" s="196">
        <f t="shared" si="917"/>
        <v>0</v>
      </c>
      <c r="AF3876" s="2">
        <f t="shared" si="918"/>
        <v>0</v>
      </c>
      <c r="AG3876" s="2">
        <f t="shared" si="919"/>
        <v>0</v>
      </c>
    </row>
    <row r="3877" spans="1:33">
      <c r="A3877" s="20" t="s">
        <v>2883</v>
      </c>
      <c r="B3877" s="150"/>
      <c r="C3877" s="21" t="s">
        <v>660</v>
      </c>
      <c r="D3877" s="109" t="s">
        <v>15161</v>
      </c>
      <c r="E3877" s="109"/>
      <c r="F3877" s="391" t="s">
        <v>16881</v>
      </c>
      <c r="G3877" s="23" t="s">
        <v>16883</v>
      </c>
      <c r="H3877" s="23"/>
      <c r="I3877" s="23"/>
      <c r="J3877" s="23"/>
      <c r="K3877" s="23"/>
      <c r="L3877" s="350"/>
      <c r="M3877" s="351"/>
      <c r="N3877" s="267">
        <f t="shared" si="913"/>
        <v>0</v>
      </c>
      <c r="O3877" s="268">
        <f t="shared" si="914"/>
        <v>0</v>
      </c>
      <c r="P3877" s="239"/>
      <c r="Q3877" s="239"/>
      <c r="R3877" s="239"/>
      <c r="S3877" s="239"/>
      <c r="T3877" s="239"/>
      <c r="U3877" s="240"/>
      <c r="V3877" s="240"/>
      <c r="W3877" s="240"/>
      <c r="X3877" s="278"/>
      <c r="Y3877" s="239"/>
      <c r="Z3877" s="237"/>
      <c r="AA3877" s="279"/>
      <c r="AB3877" s="238"/>
      <c r="AC3877" s="196">
        <f t="shared" si="915"/>
        <v>0</v>
      </c>
      <c r="AD3877" s="196">
        <f t="shared" si="916"/>
        <v>0</v>
      </c>
      <c r="AE3877" s="196">
        <f t="shared" si="917"/>
        <v>0</v>
      </c>
      <c r="AF3877" s="2">
        <f t="shared" si="918"/>
        <v>0</v>
      </c>
      <c r="AG3877" s="2">
        <f t="shared" si="919"/>
        <v>0</v>
      </c>
    </row>
    <row r="3878" spans="1:33">
      <c r="A3878" s="20" t="s">
        <v>21550</v>
      </c>
      <c r="B3878" s="150"/>
      <c r="C3878" s="21" t="s">
        <v>660</v>
      </c>
      <c r="D3878" s="109" t="s">
        <v>21212</v>
      </c>
      <c r="E3878" s="109"/>
      <c r="F3878" s="391" t="s">
        <v>5232</v>
      </c>
      <c r="G3878" s="23" t="s">
        <v>21213</v>
      </c>
      <c r="H3878" s="23" t="s">
        <v>22164</v>
      </c>
      <c r="I3878" s="23"/>
      <c r="J3878" s="23"/>
      <c r="K3878" s="23"/>
      <c r="L3878" s="375" t="s">
        <v>7787</v>
      </c>
      <c r="M3878" s="351"/>
      <c r="N3878" s="267">
        <f t="shared" si="913"/>
        <v>0</v>
      </c>
      <c r="O3878" s="268">
        <f t="shared" si="914"/>
        <v>0</v>
      </c>
      <c r="P3878" s="239"/>
      <c r="Q3878" s="239"/>
      <c r="R3878" s="239"/>
      <c r="S3878" s="240"/>
      <c r="T3878" s="239"/>
      <c r="U3878" s="240"/>
      <c r="V3878" s="240"/>
      <c r="W3878" s="240"/>
      <c r="X3878" s="278"/>
      <c r="Y3878" s="239"/>
      <c r="Z3878" s="237"/>
      <c r="AA3878" s="279"/>
      <c r="AB3878" s="238"/>
      <c r="AC3878" s="196">
        <f t="shared" si="915"/>
        <v>0</v>
      </c>
      <c r="AD3878" s="196">
        <f t="shared" si="916"/>
        <v>0</v>
      </c>
      <c r="AE3878" s="196">
        <f t="shared" si="917"/>
        <v>0</v>
      </c>
      <c r="AF3878" s="2">
        <f t="shared" si="918"/>
        <v>0</v>
      </c>
      <c r="AG3878" s="2">
        <f t="shared" si="919"/>
        <v>0</v>
      </c>
    </row>
    <row r="3879" spans="1:33">
      <c r="A3879" s="20" t="s">
        <v>2887</v>
      </c>
      <c r="B3879" s="150"/>
      <c r="C3879" s="21" t="s">
        <v>660</v>
      </c>
      <c r="D3879" s="109" t="s">
        <v>16363</v>
      </c>
      <c r="E3879" s="109"/>
      <c r="F3879" s="391" t="s">
        <v>16881</v>
      </c>
      <c r="G3879" s="23"/>
      <c r="H3879" s="23"/>
      <c r="I3879" s="23"/>
      <c r="J3879" s="23"/>
      <c r="K3879" s="23"/>
      <c r="L3879" s="350"/>
      <c r="M3879" s="351"/>
      <c r="N3879" s="267">
        <f t="shared" si="913"/>
        <v>0</v>
      </c>
      <c r="O3879" s="268">
        <f t="shared" si="914"/>
        <v>0</v>
      </c>
      <c r="P3879" s="239"/>
      <c r="Q3879" s="239"/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/>
      <c r="AC3879" s="196">
        <f t="shared" si="915"/>
        <v>0</v>
      </c>
      <c r="AD3879" s="196">
        <f t="shared" si="916"/>
        <v>0</v>
      </c>
      <c r="AE3879" s="196">
        <f t="shared" si="917"/>
        <v>0</v>
      </c>
      <c r="AF3879" s="2">
        <f t="shared" si="918"/>
        <v>0</v>
      </c>
      <c r="AG3879" s="2">
        <f t="shared" si="919"/>
        <v>0</v>
      </c>
    </row>
    <row r="3880" spans="1:33">
      <c r="A3880" s="20" t="s">
        <v>2886</v>
      </c>
      <c r="B3880" s="150"/>
      <c r="C3880" s="21" t="s">
        <v>660</v>
      </c>
      <c r="D3880" s="109" t="s">
        <v>16869</v>
      </c>
      <c r="E3880" s="109"/>
      <c r="F3880" s="391" t="s">
        <v>16881</v>
      </c>
      <c r="G3880" s="23" t="s">
        <v>16884</v>
      </c>
      <c r="H3880" s="23" t="s">
        <v>16183</v>
      </c>
      <c r="I3880" s="23" t="s">
        <v>16885</v>
      </c>
      <c r="J3880" s="23" t="s">
        <v>18870</v>
      </c>
      <c r="K3880" s="23"/>
      <c r="L3880" s="375"/>
      <c r="M3880" s="351" t="s">
        <v>7787</v>
      </c>
      <c r="N3880" s="267">
        <f t="shared" si="913"/>
        <v>0</v>
      </c>
      <c r="O3880" s="268">
        <f t="shared" si="914"/>
        <v>0</v>
      </c>
      <c r="P3880" s="239"/>
      <c r="Q3880" s="239"/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/>
      <c r="AC3880" s="196">
        <f t="shared" si="915"/>
        <v>0</v>
      </c>
      <c r="AD3880" s="196">
        <f t="shared" si="916"/>
        <v>0</v>
      </c>
      <c r="AE3880" s="196">
        <f t="shared" si="917"/>
        <v>0</v>
      </c>
      <c r="AF3880" s="2">
        <f t="shared" si="918"/>
        <v>0</v>
      </c>
      <c r="AG3880" s="2">
        <f t="shared" si="919"/>
        <v>0</v>
      </c>
    </row>
    <row r="3881" spans="1:33">
      <c r="A3881" s="20" t="s">
        <v>22573</v>
      </c>
      <c r="B3881" s="150"/>
      <c r="C3881" s="21" t="s">
        <v>660</v>
      </c>
      <c r="D3881" s="109" t="s">
        <v>4069</v>
      </c>
      <c r="E3881" s="109" t="s">
        <v>22402</v>
      </c>
      <c r="F3881" s="391" t="s">
        <v>22646</v>
      </c>
      <c r="G3881" s="23" t="s">
        <v>10645</v>
      </c>
      <c r="H3881" s="23" t="s">
        <v>26317</v>
      </c>
      <c r="I3881" s="23"/>
      <c r="J3881" s="23"/>
      <c r="K3881" s="23"/>
      <c r="L3881" s="375" t="s">
        <v>45</v>
      </c>
      <c r="M3881" s="351"/>
      <c r="N3881" s="267">
        <f t="shared" si="913"/>
        <v>0</v>
      </c>
      <c r="O3881" s="268">
        <f t="shared" si="914"/>
        <v>2300</v>
      </c>
      <c r="P3881" s="239"/>
      <c r="Q3881" s="241">
        <f>1800+1500-100-100-150-50-150-100-100-250</f>
        <v>2300</v>
      </c>
      <c r="R3881" s="239"/>
      <c r="S3881" s="239"/>
      <c r="T3881" s="239"/>
      <c r="U3881" s="240"/>
      <c r="V3881" s="240"/>
      <c r="W3881" s="240"/>
      <c r="X3881" s="278"/>
      <c r="Y3881" s="237"/>
      <c r="Z3881" s="237"/>
      <c r="AA3881" s="279"/>
      <c r="AB3881" s="238" t="s">
        <v>27324</v>
      </c>
      <c r="AC3881" s="196">
        <f t="shared" si="915"/>
        <v>2300</v>
      </c>
      <c r="AD3881" s="196">
        <f t="shared" si="916"/>
        <v>2300</v>
      </c>
      <c r="AE3881" s="196">
        <f t="shared" si="917"/>
        <v>0</v>
      </c>
      <c r="AF3881" s="2">
        <f t="shared" si="918"/>
        <v>2300</v>
      </c>
      <c r="AG3881" s="2">
        <f t="shared" si="919"/>
        <v>0</v>
      </c>
    </row>
    <row r="3882" spans="1:33">
      <c r="A3882" s="20" t="s">
        <v>22088</v>
      </c>
      <c r="B3882" s="150"/>
      <c r="C3882" s="21" t="s">
        <v>22059</v>
      </c>
      <c r="D3882" s="109" t="s">
        <v>22060</v>
      </c>
      <c r="E3882" s="109" t="s">
        <v>22061</v>
      </c>
      <c r="F3882" s="391" t="s">
        <v>22110</v>
      </c>
      <c r="G3882" s="23" t="s">
        <v>6133</v>
      </c>
      <c r="H3882" s="23"/>
      <c r="I3882" s="23"/>
      <c r="J3882" s="23"/>
      <c r="K3882" s="23"/>
      <c r="L3882" s="375"/>
      <c r="M3882" s="351"/>
      <c r="N3882" s="267">
        <f t="shared" si="913"/>
        <v>0</v>
      </c>
      <c r="O3882" s="268">
        <f t="shared" si="914"/>
        <v>0</v>
      </c>
      <c r="P3882" s="239"/>
      <c r="Q3882" s="239"/>
      <c r="R3882" s="239"/>
      <c r="S3882" s="239"/>
      <c r="T3882" s="239"/>
      <c r="U3882" s="240"/>
      <c r="V3882" s="240"/>
      <c r="W3882" s="240"/>
      <c r="X3882" s="278"/>
      <c r="Y3882" s="237"/>
      <c r="Z3882" s="237"/>
      <c r="AA3882" s="279"/>
      <c r="AB3882" s="238"/>
      <c r="AC3882" s="196">
        <f t="shared" si="915"/>
        <v>0</v>
      </c>
      <c r="AD3882" s="196">
        <f t="shared" si="916"/>
        <v>0</v>
      </c>
      <c r="AE3882" s="196">
        <f t="shared" si="917"/>
        <v>0</v>
      </c>
      <c r="AF3882" s="2">
        <f t="shared" si="918"/>
        <v>0</v>
      </c>
      <c r="AG3882" s="2">
        <f t="shared" si="919"/>
        <v>0</v>
      </c>
    </row>
    <row r="3883" spans="1:33">
      <c r="A3883" s="20" t="s">
        <v>21914</v>
      </c>
      <c r="B3883" s="150"/>
      <c r="C3883" s="21" t="s">
        <v>21884</v>
      </c>
      <c r="D3883" s="109" t="s">
        <v>5979</v>
      </c>
      <c r="E3883" s="109" t="s">
        <v>22607</v>
      </c>
      <c r="F3883" s="391" t="s">
        <v>21888</v>
      </c>
      <c r="G3883" s="23" t="s">
        <v>21937</v>
      </c>
      <c r="H3883" s="23"/>
      <c r="I3883" s="23"/>
      <c r="J3883" s="23"/>
      <c r="K3883" s="23"/>
      <c r="L3883" s="375" t="s">
        <v>45</v>
      </c>
      <c r="M3883" s="351" t="s">
        <v>7787</v>
      </c>
      <c r="N3883" s="267">
        <f t="shared" si="913"/>
        <v>0</v>
      </c>
      <c r="O3883" s="268">
        <f t="shared" si="914"/>
        <v>1200</v>
      </c>
      <c r="P3883" s="239"/>
      <c r="Q3883" s="239"/>
      <c r="R3883" s="239"/>
      <c r="S3883" s="239"/>
      <c r="T3883" s="239"/>
      <c r="U3883" s="240"/>
      <c r="V3883" s="240">
        <v>1200</v>
      </c>
      <c r="W3883" s="240"/>
      <c r="X3883" s="278"/>
      <c r="Y3883" s="237"/>
      <c r="Z3883" s="237"/>
      <c r="AA3883" s="279"/>
      <c r="AB3883" s="238" t="s">
        <v>26618</v>
      </c>
      <c r="AC3883" s="196">
        <f t="shared" si="915"/>
        <v>1200</v>
      </c>
      <c r="AD3883" s="196">
        <f t="shared" si="916"/>
        <v>1200</v>
      </c>
      <c r="AE3883" s="196">
        <f t="shared" si="917"/>
        <v>0</v>
      </c>
      <c r="AF3883" s="2">
        <f t="shared" si="918"/>
        <v>1200</v>
      </c>
      <c r="AG3883" s="2">
        <f t="shared" si="919"/>
        <v>0</v>
      </c>
    </row>
    <row r="3884" spans="1:33">
      <c r="A3884" s="20" t="s">
        <v>21848</v>
      </c>
      <c r="B3884" s="150"/>
      <c r="C3884" s="21" t="s">
        <v>21884</v>
      </c>
      <c r="D3884" s="109" t="s">
        <v>21885</v>
      </c>
      <c r="E3884" s="109" t="s">
        <v>21886</v>
      </c>
      <c r="F3884" s="391" t="s">
        <v>21888</v>
      </c>
      <c r="G3884" s="23" t="s">
        <v>15443</v>
      </c>
      <c r="H3884" s="23"/>
      <c r="I3884" s="23"/>
      <c r="J3884" s="23"/>
      <c r="K3884" s="23"/>
      <c r="L3884" s="375"/>
      <c r="M3884" s="351" t="s">
        <v>7787</v>
      </c>
      <c r="N3884" s="267">
        <f t="shared" si="913"/>
        <v>0</v>
      </c>
      <c r="O3884" s="268">
        <f t="shared" si="914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5"/>
        <v>0</v>
      </c>
      <c r="AD3884" s="196">
        <f t="shared" si="916"/>
        <v>0</v>
      </c>
      <c r="AE3884" s="196">
        <f t="shared" si="917"/>
        <v>0</v>
      </c>
      <c r="AF3884" s="2">
        <f t="shared" si="918"/>
        <v>0</v>
      </c>
      <c r="AG3884" s="2">
        <f t="shared" si="919"/>
        <v>0</v>
      </c>
    </row>
    <row r="3885" spans="1:33">
      <c r="A3885" s="20" t="s">
        <v>22215</v>
      </c>
      <c r="B3885" s="150"/>
      <c r="C3885" s="21" t="s">
        <v>22294</v>
      </c>
      <c r="D3885" s="109" t="s">
        <v>3096</v>
      </c>
      <c r="E3885" s="109" t="s">
        <v>22607</v>
      </c>
      <c r="F3885" s="391" t="s">
        <v>22821</v>
      </c>
      <c r="G3885" s="23" t="s">
        <v>22328</v>
      </c>
      <c r="H3885" s="23"/>
      <c r="I3885" s="23"/>
      <c r="J3885" s="23"/>
      <c r="K3885" s="23"/>
      <c r="L3885" s="375" t="s">
        <v>7787</v>
      </c>
      <c r="M3885" s="351" t="s">
        <v>7787</v>
      </c>
      <c r="N3885" s="267">
        <f t="shared" si="913"/>
        <v>0</v>
      </c>
      <c r="O3885" s="268">
        <f t="shared" si="914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5"/>
        <v>0</v>
      </c>
      <c r="AD3885" s="196">
        <f t="shared" si="916"/>
        <v>0</v>
      </c>
      <c r="AE3885" s="196">
        <f t="shared" si="917"/>
        <v>0</v>
      </c>
      <c r="AF3885" s="2">
        <f t="shared" si="918"/>
        <v>0</v>
      </c>
      <c r="AG3885" s="2">
        <f t="shared" si="919"/>
        <v>0</v>
      </c>
    </row>
    <row r="3886" spans="1:33">
      <c r="A3886" s="20" t="s">
        <v>22771</v>
      </c>
      <c r="B3886" s="150"/>
      <c r="C3886" s="21" t="s">
        <v>22294</v>
      </c>
      <c r="D3886" s="109" t="s">
        <v>3102</v>
      </c>
      <c r="E3886" s="109"/>
      <c r="F3886" s="391" t="s">
        <v>22821</v>
      </c>
      <c r="G3886" s="23" t="s">
        <v>13581</v>
      </c>
      <c r="H3886" s="23"/>
      <c r="I3886" s="23"/>
      <c r="J3886" s="23"/>
      <c r="K3886" s="23"/>
      <c r="L3886" s="375" t="s">
        <v>7787</v>
      </c>
      <c r="M3886" s="351" t="s">
        <v>7787</v>
      </c>
      <c r="N3886" s="267">
        <f t="shared" si="913"/>
        <v>0</v>
      </c>
      <c r="O3886" s="268">
        <f t="shared" si="914"/>
        <v>0</v>
      </c>
      <c r="P3886" s="239"/>
      <c r="Q3886" s="239"/>
      <c r="R3886" s="239"/>
      <c r="S3886" s="239"/>
      <c r="T3886" s="239"/>
      <c r="U3886" s="240"/>
      <c r="V3886" s="240"/>
      <c r="W3886" s="240"/>
      <c r="X3886" s="278"/>
      <c r="Y3886" s="237"/>
      <c r="Z3886" s="237"/>
      <c r="AA3886" s="279"/>
      <c r="AB3886" s="238"/>
      <c r="AC3886" s="196">
        <f t="shared" si="915"/>
        <v>0</v>
      </c>
      <c r="AD3886" s="196">
        <f t="shared" si="916"/>
        <v>0</v>
      </c>
      <c r="AE3886" s="196">
        <f t="shared" si="917"/>
        <v>0</v>
      </c>
      <c r="AF3886" s="2">
        <f t="shared" si="918"/>
        <v>0</v>
      </c>
      <c r="AG3886" s="2">
        <f t="shared" si="919"/>
        <v>0</v>
      </c>
    </row>
    <row r="3887" spans="1:33">
      <c r="A3887" s="20" t="s">
        <v>22089</v>
      </c>
      <c r="B3887" s="150"/>
      <c r="C3887" s="21" t="s">
        <v>22067</v>
      </c>
      <c r="D3887" s="109" t="s">
        <v>5979</v>
      </c>
      <c r="E3887" s="109" t="s">
        <v>22068</v>
      </c>
      <c r="F3887" s="391" t="s">
        <v>22111</v>
      </c>
      <c r="G3887" s="23" t="s">
        <v>22066</v>
      </c>
      <c r="H3887" s="23" t="s">
        <v>13240</v>
      </c>
      <c r="I3887" s="23"/>
      <c r="J3887" s="23"/>
      <c r="K3887" s="23"/>
      <c r="L3887" s="375"/>
      <c r="M3887" s="351" t="s">
        <v>45</v>
      </c>
      <c r="N3887" s="267">
        <f t="shared" si="913"/>
        <v>0</v>
      </c>
      <c r="O3887" s="268">
        <f t="shared" si="914"/>
        <v>0</v>
      </c>
      <c r="P3887" s="239"/>
      <c r="Q3887" s="239"/>
      <c r="R3887" s="239"/>
      <c r="S3887" s="239"/>
      <c r="T3887" s="239"/>
      <c r="U3887" s="240"/>
      <c r="V3887" s="240"/>
      <c r="W3887" s="240"/>
      <c r="X3887" s="278"/>
      <c r="Y3887" s="237"/>
      <c r="Z3887" s="237"/>
      <c r="AA3887" s="279"/>
      <c r="AB3887" s="238"/>
      <c r="AC3887" s="196">
        <f t="shared" si="915"/>
        <v>0</v>
      </c>
      <c r="AD3887" s="196">
        <f t="shared" si="916"/>
        <v>0</v>
      </c>
      <c r="AE3887" s="196">
        <f t="shared" si="917"/>
        <v>0</v>
      </c>
      <c r="AF3887" s="2">
        <f t="shared" si="918"/>
        <v>0</v>
      </c>
      <c r="AG3887" s="2">
        <f t="shared" si="919"/>
        <v>0</v>
      </c>
    </row>
    <row r="3888" spans="1:33">
      <c r="A3888" s="20" t="s">
        <v>23681</v>
      </c>
      <c r="B3888" s="150"/>
      <c r="C3888" s="21" t="s">
        <v>23713</v>
      </c>
      <c r="D3888" s="109" t="s">
        <v>20994</v>
      </c>
      <c r="E3888" s="109" t="s">
        <v>23714</v>
      </c>
      <c r="F3888" s="391" t="s">
        <v>23715</v>
      </c>
      <c r="G3888" s="23" t="s">
        <v>13942</v>
      </c>
      <c r="H3888" s="23" t="s">
        <v>25131</v>
      </c>
      <c r="I3888" s="23"/>
      <c r="J3888" s="23"/>
      <c r="K3888" s="23"/>
      <c r="L3888" s="375" t="s">
        <v>27849</v>
      </c>
      <c r="M3888" s="351" t="s">
        <v>45</v>
      </c>
      <c r="N3888" s="267">
        <f t="shared" si="913"/>
        <v>0</v>
      </c>
      <c r="O3888" s="268">
        <f t="shared" si="914"/>
        <v>3650</v>
      </c>
      <c r="P3888" s="239"/>
      <c r="Q3888" s="239"/>
      <c r="R3888" s="239"/>
      <c r="S3888" s="239"/>
      <c r="T3888" s="239"/>
      <c r="U3888" s="240">
        <f>1600+3000+5550+3300+4000+2750+7600+900-2000-2500-1000-1000-500-1500-1000-1000-1000-6000-2000-2000-2000-1000+5150+800-1000-1500-4000</f>
        <v>3650</v>
      </c>
      <c r="V3888" s="240"/>
      <c r="W3888" s="240"/>
      <c r="X3888" s="278"/>
      <c r="Y3888" s="237"/>
      <c r="Z3888" s="237"/>
      <c r="AA3888" s="279"/>
      <c r="AB3888" s="238" t="s">
        <v>27848</v>
      </c>
      <c r="AC3888" s="196">
        <f t="shared" si="915"/>
        <v>3650</v>
      </c>
      <c r="AD3888" s="196">
        <f t="shared" si="916"/>
        <v>3650</v>
      </c>
      <c r="AE3888" s="196">
        <f t="shared" si="917"/>
        <v>0</v>
      </c>
      <c r="AF3888" s="2">
        <f t="shared" si="918"/>
        <v>3650</v>
      </c>
      <c r="AG3888" s="2">
        <f t="shared" si="919"/>
        <v>0</v>
      </c>
    </row>
    <row r="3889" spans="1:33">
      <c r="A3889" s="20" t="s">
        <v>23479</v>
      </c>
      <c r="B3889" s="150"/>
      <c r="C3889" s="21" t="s">
        <v>23507</v>
      </c>
      <c r="D3889" s="109" t="s">
        <v>7960</v>
      </c>
      <c r="E3889" s="109" t="s">
        <v>19998</v>
      </c>
      <c r="F3889" s="391" t="s">
        <v>23534</v>
      </c>
      <c r="G3889" s="23" t="s">
        <v>13581</v>
      </c>
      <c r="H3889" s="23"/>
      <c r="I3889" s="23"/>
      <c r="J3889" s="23"/>
      <c r="K3889" s="23"/>
      <c r="L3889" s="375"/>
      <c r="M3889" s="351" t="s">
        <v>7787</v>
      </c>
      <c r="N3889" s="267">
        <f t="shared" si="913"/>
        <v>0</v>
      </c>
      <c r="O3889" s="268">
        <f t="shared" si="914"/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ref="AC3889:AC3956" si="936">SUM(P3889:AA3889)</f>
        <v>0</v>
      </c>
      <c r="AD3889" s="196">
        <f t="shared" ref="AD3889:AD3956" si="937">SUM(P3889:AB3889)</f>
        <v>0</v>
      </c>
      <c r="AE3889" s="196">
        <f t="shared" ref="AE3889:AE3956" si="938">SUM(AC3889-AD3889)</f>
        <v>0</v>
      </c>
      <c r="AF3889" s="2">
        <f t="shared" ref="AF3889:AF3956" si="939">+AC3889</f>
        <v>0</v>
      </c>
      <c r="AG3889" s="2">
        <f t="shared" ref="AG3889:AG3956" si="940">+AC3889-AF3889</f>
        <v>0</v>
      </c>
    </row>
    <row r="3890" spans="1:33">
      <c r="A3890" s="20" t="s">
        <v>23899</v>
      </c>
      <c r="B3890" s="150"/>
      <c r="C3890" s="21" t="s">
        <v>23507</v>
      </c>
      <c r="D3890" s="109" t="s">
        <v>7960</v>
      </c>
      <c r="E3890" s="109" t="s">
        <v>23726</v>
      </c>
      <c r="F3890" s="391" t="s">
        <v>23534</v>
      </c>
      <c r="G3890" s="23" t="s">
        <v>13581</v>
      </c>
      <c r="H3890" s="23"/>
      <c r="I3890" s="23"/>
      <c r="J3890" s="23"/>
      <c r="K3890" s="23"/>
      <c r="L3890" s="375" t="s">
        <v>7787</v>
      </c>
      <c r="M3890" s="351">
        <v>200</v>
      </c>
      <c r="N3890" s="267">
        <f t="shared" si="913"/>
        <v>200</v>
      </c>
      <c r="O3890" s="268">
        <f t="shared" si="914"/>
        <v>0</v>
      </c>
      <c r="P3890" s="239"/>
      <c r="Q3890" s="239"/>
      <c r="R3890" s="239"/>
      <c r="S3890" s="239"/>
      <c r="T3890" s="239"/>
      <c r="U3890" s="240"/>
      <c r="V3890" s="240"/>
      <c r="W3890" s="240"/>
      <c r="X3890" s="278"/>
      <c r="Y3890" s="237"/>
      <c r="Z3890" s="237"/>
      <c r="AA3890" s="279"/>
      <c r="AB3890" s="238"/>
      <c r="AC3890" s="196">
        <f t="shared" si="936"/>
        <v>0</v>
      </c>
      <c r="AD3890" s="196">
        <f t="shared" si="937"/>
        <v>0</v>
      </c>
      <c r="AE3890" s="196">
        <f t="shared" si="938"/>
        <v>0</v>
      </c>
      <c r="AF3890" s="2">
        <f t="shared" si="939"/>
        <v>0</v>
      </c>
      <c r="AG3890" s="2">
        <f t="shared" si="940"/>
        <v>0</v>
      </c>
    </row>
    <row r="3891" spans="1:33">
      <c r="A3891" s="20" t="s">
        <v>24250</v>
      </c>
      <c r="B3891" s="150"/>
      <c r="C3891" s="21" t="s">
        <v>23507</v>
      </c>
      <c r="D3891" s="109" t="s">
        <v>18336</v>
      </c>
      <c r="E3891" s="109"/>
      <c r="F3891" s="391" t="s">
        <v>23534</v>
      </c>
      <c r="G3891" s="23" t="s">
        <v>13581</v>
      </c>
      <c r="H3891" s="23"/>
      <c r="I3891" s="23"/>
      <c r="J3891" s="23"/>
      <c r="K3891" s="23"/>
      <c r="L3891" s="375" t="s">
        <v>7787</v>
      </c>
      <c r="M3891" s="351"/>
      <c r="N3891" s="267">
        <f t="shared" ref="N3891" si="941">SUM(L3891:M3891)</f>
        <v>0</v>
      </c>
      <c r="O3891" s="268">
        <f t="shared" ref="O3891" si="942">SUM(P3891:Z3891)</f>
        <v>0</v>
      </c>
      <c r="P3891" s="239"/>
      <c r="Q3891" s="239"/>
      <c r="R3891" s="239"/>
      <c r="S3891" s="239"/>
      <c r="T3891" s="239"/>
      <c r="U3891" s="240"/>
      <c r="V3891" s="240"/>
      <c r="W3891" s="240"/>
      <c r="X3891" s="278"/>
      <c r="Y3891" s="237"/>
      <c r="Z3891" s="237"/>
      <c r="AA3891" s="279"/>
      <c r="AB3891" s="238"/>
      <c r="AC3891" s="196">
        <f t="shared" si="936"/>
        <v>0</v>
      </c>
      <c r="AD3891" s="196">
        <f t="shared" si="937"/>
        <v>0</v>
      </c>
      <c r="AE3891" s="196">
        <f t="shared" si="938"/>
        <v>0</v>
      </c>
      <c r="AF3891" s="2">
        <f t="shared" si="939"/>
        <v>0</v>
      </c>
      <c r="AG3891" s="2">
        <f t="shared" si="940"/>
        <v>0</v>
      </c>
    </row>
    <row r="3892" spans="1:33">
      <c r="A3892" s="20" t="s">
        <v>21921</v>
      </c>
      <c r="B3892" s="150"/>
      <c r="C3892" s="21" t="s">
        <v>22027</v>
      </c>
      <c r="D3892" s="109" t="s">
        <v>22028</v>
      </c>
      <c r="E3892" s="109"/>
      <c r="F3892" s="391" t="s">
        <v>22041</v>
      </c>
      <c r="G3892" s="23" t="s">
        <v>13934</v>
      </c>
      <c r="H3892" s="23" t="s">
        <v>6133</v>
      </c>
      <c r="I3892" s="23" t="s">
        <v>24066</v>
      </c>
      <c r="J3892" s="23" t="s">
        <v>24520</v>
      </c>
      <c r="K3892" s="23" t="s">
        <v>24868</v>
      </c>
      <c r="L3892" s="375" t="s">
        <v>45</v>
      </c>
      <c r="M3892" s="351" t="s">
        <v>45</v>
      </c>
      <c r="N3892" s="267">
        <f t="shared" ref="N3892:N3960" si="943">SUM(L3892:M3892)</f>
        <v>0</v>
      </c>
      <c r="O3892" s="268">
        <f t="shared" ref="O3892:O3960" si="944">SUM(P3892:Z3892)</f>
        <v>350</v>
      </c>
      <c r="P3892" s="239"/>
      <c r="Q3892" s="239">
        <f>950+100-500-300-200+1350-200-850</f>
        <v>350</v>
      </c>
      <c r="R3892" s="239"/>
      <c r="S3892" s="239"/>
      <c r="T3892" s="239"/>
      <c r="U3892" s="240"/>
      <c r="V3892" s="240"/>
      <c r="W3892" s="240"/>
      <c r="X3892" s="278"/>
      <c r="Y3892" s="239"/>
      <c r="Z3892" s="237"/>
      <c r="AA3892" s="239"/>
      <c r="AB3892" s="238" t="s">
        <v>25722</v>
      </c>
      <c r="AC3892" s="196">
        <f t="shared" si="936"/>
        <v>350</v>
      </c>
      <c r="AD3892" s="196">
        <f t="shared" si="937"/>
        <v>350</v>
      </c>
      <c r="AE3892" s="196">
        <f t="shared" si="938"/>
        <v>0</v>
      </c>
      <c r="AF3892" s="2">
        <f t="shared" si="939"/>
        <v>350</v>
      </c>
      <c r="AG3892" s="2">
        <f t="shared" si="940"/>
        <v>0</v>
      </c>
    </row>
    <row r="3893" spans="1:33">
      <c r="A3893" s="20" t="s">
        <v>21923</v>
      </c>
      <c r="B3893" s="150"/>
      <c r="C3893" s="21" t="s">
        <v>23037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 t="s">
        <v>27585</v>
      </c>
      <c r="M3893" s="351" t="s">
        <v>7787</v>
      </c>
      <c r="N3893" s="267">
        <f t="shared" si="943"/>
        <v>0</v>
      </c>
      <c r="O3893" s="268">
        <f t="shared" si="944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6"/>
        <v>0</v>
      </c>
      <c r="AD3893" s="196">
        <f t="shared" si="937"/>
        <v>0</v>
      </c>
      <c r="AE3893" s="196">
        <f t="shared" si="938"/>
        <v>0</v>
      </c>
      <c r="AF3893" s="2">
        <f t="shared" si="939"/>
        <v>0</v>
      </c>
      <c r="AG3893" s="2">
        <f t="shared" si="940"/>
        <v>0</v>
      </c>
    </row>
    <row r="3894" spans="1:33">
      <c r="A3894" s="20" t="s">
        <v>23002</v>
      </c>
      <c r="B3894" s="150"/>
      <c r="C3894" s="21" t="s">
        <v>23038</v>
      </c>
      <c r="D3894" s="109" t="s">
        <v>5979</v>
      </c>
      <c r="E3894" s="109"/>
      <c r="F3894" s="391" t="s">
        <v>22043</v>
      </c>
      <c r="G3894" s="23" t="s">
        <v>13565</v>
      </c>
      <c r="H3894" s="23" t="s">
        <v>18203</v>
      </c>
      <c r="I3894" s="23"/>
      <c r="J3894" s="23"/>
      <c r="K3894" s="23"/>
      <c r="L3894" s="375"/>
      <c r="M3894" s="351" t="s">
        <v>7787</v>
      </c>
      <c r="N3894" s="267">
        <f t="shared" si="943"/>
        <v>0</v>
      </c>
      <c r="O3894" s="268">
        <f t="shared" si="944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6"/>
        <v>0</v>
      </c>
      <c r="AD3894" s="196">
        <f t="shared" si="937"/>
        <v>0</v>
      </c>
      <c r="AE3894" s="196">
        <f t="shared" si="938"/>
        <v>0</v>
      </c>
      <c r="AF3894" s="2">
        <f t="shared" si="939"/>
        <v>0</v>
      </c>
      <c r="AG3894" s="2">
        <f t="shared" si="940"/>
        <v>0</v>
      </c>
    </row>
    <row r="3895" spans="1:33">
      <c r="A3895" s="20" t="s">
        <v>23003</v>
      </c>
      <c r="B3895" s="150"/>
      <c r="C3895" s="21" t="s">
        <v>23041</v>
      </c>
      <c r="D3895" s="109" t="s">
        <v>5979</v>
      </c>
      <c r="E3895" s="109"/>
      <c r="F3895" s="391" t="s">
        <v>22043</v>
      </c>
      <c r="G3895" s="23" t="s">
        <v>13565</v>
      </c>
      <c r="H3895" s="23" t="s">
        <v>18203</v>
      </c>
      <c r="I3895" s="23"/>
      <c r="J3895" s="23"/>
      <c r="K3895" s="23"/>
      <c r="L3895" s="375" t="s">
        <v>7787</v>
      </c>
      <c r="M3895" s="351" t="s">
        <v>7787</v>
      </c>
      <c r="N3895" s="267">
        <f t="shared" si="943"/>
        <v>0</v>
      </c>
      <c r="O3895" s="268">
        <f t="shared" si="944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37"/>
      <c r="Z3895" s="237"/>
      <c r="AA3895" s="279"/>
      <c r="AB3895" s="238"/>
      <c r="AC3895" s="196">
        <f t="shared" si="936"/>
        <v>0</v>
      </c>
      <c r="AD3895" s="196">
        <f t="shared" si="937"/>
        <v>0</v>
      </c>
      <c r="AE3895" s="196">
        <f t="shared" si="938"/>
        <v>0</v>
      </c>
      <c r="AF3895" s="2">
        <f t="shared" si="939"/>
        <v>0</v>
      </c>
      <c r="AG3895" s="2">
        <f t="shared" si="940"/>
        <v>0</v>
      </c>
    </row>
    <row r="3896" spans="1:33">
      <c r="A3896" s="20" t="s">
        <v>23074</v>
      </c>
      <c r="B3896" s="150"/>
      <c r="C3896" s="21" t="s">
        <v>23094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 t="s">
        <v>7787</v>
      </c>
      <c r="N3896" s="267">
        <f t="shared" si="943"/>
        <v>0</v>
      </c>
      <c r="O3896" s="268">
        <f t="shared" si="944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37"/>
      <c r="Z3896" s="237"/>
      <c r="AA3896" s="279"/>
      <c r="AB3896" s="238"/>
      <c r="AC3896" s="196">
        <f t="shared" si="936"/>
        <v>0</v>
      </c>
      <c r="AD3896" s="196">
        <f t="shared" si="937"/>
        <v>0</v>
      </c>
      <c r="AE3896" s="196">
        <f t="shared" si="938"/>
        <v>0</v>
      </c>
      <c r="AF3896" s="2">
        <f t="shared" si="939"/>
        <v>0</v>
      </c>
      <c r="AG3896" s="2">
        <f t="shared" si="940"/>
        <v>0</v>
      </c>
    </row>
    <row r="3897" spans="1:33">
      <c r="A3897" s="20" t="s">
        <v>23346</v>
      </c>
      <c r="B3897" s="150"/>
      <c r="C3897" s="21" t="s">
        <v>23330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 t="s">
        <v>7787</v>
      </c>
      <c r="N3897" s="267">
        <f t="shared" si="943"/>
        <v>0</v>
      </c>
      <c r="O3897" s="268">
        <f t="shared" si="944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40"/>
      <c r="Z3897" s="237"/>
      <c r="AA3897" s="279"/>
      <c r="AB3897" s="238"/>
      <c r="AC3897" s="196">
        <f t="shared" si="936"/>
        <v>0</v>
      </c>
      <c r="AD3897" s="196">
        <f t="shared" si="937"/>
        <v>0</v>
      </c>
      <c r="AE3897" s="196">
        <f t="shared" si="938"/>
        <v>0</v>
      </c>
      <c r="AF3897" s="2">
        <f t="shared" si="939"/>
        <v>0</v>
      </c>
      <c r="AG3897" s="2">
        <f t="shared" si="940"/>
        <v>0</v>
      </c>
    </row>
    <row r="3898" spans="1:33">
      <c r="A3898" s="20" t="s">
        <v>23347</v>
      </c>
      <c r="B3898" s="150"/>
      <c r="C3898" s="21" t="s">
        <v>23331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7787</v>
      </c>
      <c r="M3898" s="351"/>
      <c r="N3898" s="267">
        <f t="shared" si="943"/>
        <v>0</v>
      </c>
      <c r="O3898" s="268">
        <f t="shared" si="944"/>
        <v>0</v>
      </c>
      <c r="P3898" s="239"/>
      <c r="Q3898" s="239"/>
      <c r="R3898" s="239"/>
      <c r="S3898" s="239"/>
      <c r="T3898" s="239"/>
      <c r="U3898" s="240"/>
      <c r="V3898" s="240"/>
      <c r="W3898" s="240"/>
      <c r="X3898" s="278"/>
      <c r="Y3898" s="240"/>
      <c r="Z3898" s="237"/>
      <c r="AA3898" s="279"/>
      <c r="AB3898" s="238"/>
      <c r="AC3898" s="196">
        <f t="shared" si="936"/>
        <v>0</v>
      </c>
      <c r="AD3898" s="196">
        <f t="shared" si="937"/>
        <v>0</v>
      </c>
      <c r="AE3898" s="196">
        <f t="shared" si="938"/>
        <v>0</v>
      </c>
      <c r="AF3898" s="2">
        <f t="shared" si="939"/>
        <v>0</v>
      </c>
      <c r="AG3898" s="2">
        <f t="shared" si="940"/>
        <v>0</v>
      </c>
    </row>
    <row r="3899" spans="1:33">
      <c r="A3899" s="20" t="s">
        <v>23348</v>
      </c>
      <c r="B3899" s="150"/>
      <c r="C3899" s="21" t="s">
        <v>23332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7787</v>
      </c>
      <c r="M3899" s="351" t="s">
        <v>7787</v>
      </c>
      <c r="N3899" s="267">
        <f t="shared" si="943"/>
        <v>0</v>
      </c>
      <c r="O3899" s="268">
        <f t="shared" si="944"/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6"/>
        <v>0</v>
      </c>
      <c r="AD3899" s="196">
        <f t="shared" si="937"/>
        <v>0</v>
      </c>
      <c r="AE3899" s="196">
        <f t="shared" si="938"/>
        <v>0</v>
      </c>
      <c r="AF3899" s="2">
        <f t="shared" si="939"/>
        <v>0</v>
      </c>
      <c r="AG3899" s="2">
        <f t="shared" si="940"/>
        <v>0</v>
      </c>
    </row>
    <row r="3900" spans="1:33">
      <c r="A3900" s="20" t="s">
        <v>23634</v>
      </c>
      <c r="B3900" s="150"/>
      <c r="C3900" s="21" t="s">
        <v>23658</v>
      </c>
      <c r="D3900" s="109" t="s">
        <v>5979</v>
      </c>
      <c r="E3900" s="109"/>
      <c r="F3900" s="391" t="s">
        <v>22043</v>
      </c>
      <c r="G3900" s="23" t="s">
        <v>13565</v>
      </c>
      <c r="H3900" s="23"/>
      <c r="I3900" s="23"/>
      <c r="J3900" s="23"/>
      <c r="K3900" s="23"/>
      <c r="L3900" s="375" t="s">
        <v>45</v>
      </c>
      <c r="M3900" s="351" t="s">
        <v>45</v>
      </c>
      <c r="N3900" s="267">
        <f t="shared" si="943"/>
        <v>0</v>
      </c>
      <c r="O3900" s="268">
        <f t="shared" si="944"/>
        <v>0</v>
      </c>
      <c r="P3900" s="239"/>
      <c r="Q3900" s="239"/>
      <c r="R3900" s="239"/>
      <c r="S3900" s="239"/>
      <c r="T3900" s="239"/>
      <c r="U3900" s="240"/>
      <c r="V3900" s="240"/>
      <c r="W3900" s="240"/>
      <c r="X3900" s="278"/>
      <c r="Y3900" s="237"/>
      <c r="Z3900" s="237"/>
      <c r="AA3900" s="279"/>
      <c r="AB3900" s="238"/>
      <c r="AC3900" s="196">
        <f t="shared" si="936"/>
        <v>0</v>
      </c>
      <c r="AD3900" s="196">
        <f t="shared" si="937"/>
        <v>0</v>
      </c>
      <c r="AE3900" s="196">
        <f t="shared" si="938"/>
        <v>0</v>
      </c>
      <c r="AF3900" s="2">
        <f t="shared" si="939"/>
        <v>0</v>
      </c>
      <c r="AG3900" s="2">
        <f t="shared" si="940"/>
        <v>0</v>
      </c>
    </row>
    <row r="3901" spans="1:33">
      <c r="A3901" s="20" t="s">
        <v>27095</v>
      </c>
      <c r="B3901" s="150"/>
      <c r="C3901" s="21" t="s">
        <v>25576</v>
      </c>
      <c r="D3901" s="109" t="s">
        <v>5979</v>
      </c>
      <c r="E3901" s="109"/>
      <c r="F3901" s="391" t="s">
        <v>22043</v>
      </c>
      <c r="G3901" s="23" t="s">
        <v>13565</v>
      </c>
      <c r="H3901" s="23"/>
      <c r="I3901" s="23"/>
      <c r="J3901" s="23"/>
      <c r="K3901" s="23"/>
      <c r="L3901" s="375" t="s">
        <v>45</v>
      </c>
      <c r="M3901" s="351" t="s">
        <v>45</v>
      </c>
      <c r="N3901" s="267">
        <f t="shared" ref="N3901" si="945">SUM(L3901:M3901)</f>
        <v>0</v>
      </c>
      <c r="O3901" s="268">
        <f t="shared" ref="O3901" si="946">SUM(P3901:Z3901)</f>
        <v>0</v>
      </c>
      <c r="P3901" s="239"/>
      <c r="Q3901" s="239"/>
      <c r="R3901" s="239"/>
      <c r="S3901" s="239"/>
      <c r="T3901" s="239"/>
      <c r="U3901" s="240"/>
      <c r="V3901" s="240"/>
      <c r="W3901" s="240"/>
      <c r="X3901" s="278"/>
      <c r="Y3901" s="237"/>
      <c r="Z3901" s="237"/>
      <c r="AA3901" s="279"/>
      <c r="AB3901" s="238"/>
      <c r="AC3901" s="196">
        <f t="shared" si="936"/>
        <v>0</v>
      </c>
      <c r="AD3901" s="196">
        <f t="shared" si="937"/>
        <v>0</v>
      </c>
      <c r="AE3901" s="196">
        <f t="shared" si="938"/>
        <v>0</v>
      </c>
      <c r="AF3901" s="2">
        <f t="shared" si="939"/>
        <v>0</v>
      </c>
      <c r="AG3901" s="2">
        <f t="shared" si="940"/>
        <v>0</v>
      </c>
    </row>
    <row r="3902" spans="1:33">
      <c r="A3902" s="20"/>
      <c r="B3902" s="150"/>
      <c r="C3902" s="21" t="s">
        <v>27833</v>
      </c>
      <c r="D3902" s="109" t="s">
        <v>20994</v>
      </c>
      <c r="E3902" s="109"/>
      <c r="F3902" s="391" t="s">
        <v>27832</v>
      </c>
      <c r="G3902" s="23" t="s">
        <v>24786</v>
      </c>
      <c r="H3902" s="23"/>
      <c r="I3902" s="23"/>
      <c r="J3902" s="23"/>
      <c r="K3902" s="23"/>
      <c r="L3902" s="375" t="s">
        <v>7787</v>
      </c>
      <c r="M3902" s="351" t="s">
        <v>7787</v>
      </c>
      <c r="N3902" s="267">
        <f t="shared" ref="N3902" si="947">SUM(L3902:M3902)</f>
        <v>0</v>
      </c>
      <c r="O3902" s="268">
        <f t="shared" ref="O3902" si="948">SUM(P3902:Z3902)</f>
        <v>20000</v>
      </c>
      <c r="P3902" s="239"/>
      <c r="Q3902" s="239"/>
      <c r="R3902" s="239"/>
      <c r="S3902" s="239"/>
      <c r="T3902" s="239"/>
      <c r="U3902" s="240"/>
      <c r="V3902" s="240">
        <f>3000+3000-3000+3600+3100+3400+3400+3200+3600+3900-3600-3600</f>
        <v>20000</v>
      </c>
      <c r="W3902" s="240"/>
      <c r="X3902" s="278"/>
      <c r="Y3902" s="237"/>
      <c r="Z3902" s="237"/>
      <c r="AA3902" s="279"/>
      <c r="AB3902" s="238" t="s">
        <v>27970</v>
      </c>
      <c r="AC3902" s="196">
        <f t="shared" ref="AC3902" si="949">SUM(P3902:AA3902)</f>
        <v>20000</v>
      </c>
      <c r="AD3902" s="196">
        <f t="shared" ref="AD3902" si="950">SUM(P3902:AB3902)</f>
        <v>20000</v>
      </c>
      <c r="AE3902" s="196">
        <f t="shared" ref="AE3902" si="951">SUM(AC3902-AD3902)</f>
        <v>0</v>
      </c>
      <c r="AF3902" s="2">
        <f t="shared" ref="AF3902" si="952">+AC3902</f>
        <v>20000</v>
      </c>
      <c r="AG3902" s="2">
        <f t="shared" ref="AG3902" si="953">+AC3902-AF3902</f>
        <v>0</v>
      </c>
    </row>
    <row r="3903" spans="1:33">
      <c r="A3903" s="20"/>
      <c r="B3903" s="150"/>
      <c r="C3903" s="21" t="s">
        <v>27871</v>
      </c>
      <c r="D3903" s="109" t="s">
        <v>20994</v>
      </c>
      <c r="E3903" s="109"/>
      <c r="F3903" s="391" t="s">
        <v>27832</v>
      </c>
      <c r="G3903" s="23" t="s">
        <v>24786</v>
      </c>
      <c r="H3903" s="23"/>
      <c r="I3903" s="23"/>
      <c r="J3903" s="23"/>
      <c r="K3903" s="23"/>
      <c r="L3903" s="375">
        <v>1210</v>
      </c>
      <c r="M3903" s="351"/>
      <c r="N3903" s="267">
        <f t="shared" ref="N3903" si="954">SUM(L3903:M3903)</f>
        <v>1210</v>
      </c>
      <c r="O3903" s="268">
        <f t="shared" ref="O3903" si="955">SUM(P3903:Z3903)</f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37"/>
      <c r="Z3903" s="237"/>
      <c r="AA3903" s="279"/>
      <c r="AB3903" s="238"/>
      <c r="AC3903" s="196"/>
      <c r="AD3903" s="196"/>
      <c r="AE3903" s="196"/>
    </row>
    <row r="3904" spans="1:33">
      <c r="A3904" s="20"/>
      <c r="B3904" s="150"/>
      <c r="C3904" s="21" t="s">
        <v>28055</v>
      </c>
      <c r="D3904" s="109" t="s">
        <v>20994</v>
      </c>
      <c r="E3904" s="109"/>
      <c r="F3904" s="391"/>
      <c r="G3904" s="23"/>
      <c r="H3904" s="23"/>
      <c r="I3904" s="23"/>
      <c r="J3904" s="23"/>
      <c r="K3904" s="23"/>
      <c r="L3904" s="375">
        <f>910+2820</f>
        <v>3730</v>
      </c>
      <c r="M3904" s="351"/>
      <c r="N3904" s="267">
        <f t="shared" ref="N3904" si="956">SUM(L3904:M3904)</f>
        <v>3730</v>
      </c>
      <c r="O3904" s="268">
        <f t="shared" ref="O3904" si="957">SUM(P3904:Z3904)</f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37"/>
      <c r="Z3904" s="237"/>
      <c r="AA3904" s="279"/>
      <c r="AB3904" s="238"/>
      <c r="AC3904" s="196"/>
      <c r="AD3904" s="196"/>
      <c r="AE3904" s="196"/>
    </row>
    <row r="3905" spans="1:33">
      <c r="A3905" s="20" t="s">
        <v>2889</v>
      </c>
      <c r="B3905" s="150"/>
      <c r="C3905" s="21" t="s">
        <v>661</v>
      </c>
      <c r="D3905" s="109" t="s">
        <v>16886</v>
      </c>
      <c r="E3905" s="109"/>
      <c r="F3905" s="391" t="s">
        <v>16887</v>
      </c>
      <c r="G3905" s="23" t="s">
        <v>16888</v>
      </c>
      <c r="H3905" s="23"/>
      <c r="I3905" s="23"/>
      <c r="J3905" s="23"/>
      <c r="K3905" s="23"/>
      <c r="L3905" s="350"/>
      <c r="M3905" s="351"/>
      <c r="N3905" s="267">
        <f t="shared" si="943"/>
        <v>0</v>
      </c>
      <c r="O3905" s="268">
        <f t="shared" si="944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37"/>
      <c r="Z3905" s="237"/>
      <c r="AA3905" s="279"/>
      <c r="AB3905" s="238"/>
      <c r="AC3905" s="196">
        <f t="shared" si="936"/>
        <v>0</v>
      </c>
      <c r="AD3905" s="196">
        <f t="shared" si="937"/>
        <v>0</v>
      </c>
      <c r="AE3905" s="196">
        <f t="shared" si="938"/>
        <v>0</v>
      </c>
      <c r="AF3905" s="2">
        <f t="shared" si="939"/>
        <v>0</v>
      </c>
      <c r="AG3905" s="2">
        <f t="shared" si="940"/>
        <v>0</v>
      </c>
    </row>
    <row r="3906" spans="1:33">
      <c r="A3906" s="20" t="s">
        <v>2890</v>
      </c>
      <c r="B3906" s="150"/>
      <c r="C3906" s="21" t="s">
        <v>662</v>
      </c>
      <c r="D3906" s="109" t="s">
        <v>16376</v>
      </c>
      <c r="E3906" s="109" t="s">
        <v>15965</v>
      </c>
      <c r="F3906" s="391" t="s">
        <v>16889</v>
      </c>
      <c r="G3906" s="23"/>
      <c r="H3906" s="23"/>
      <c r="I3906" s="23"/>
      <c r="J3906" s="23"/>
      <c r="K3906" s="23"/>
      <c r="L3906" s="350"/>
      <c r="M3906" s="351"/>
      <c r="N3906" s="267">
        <f t="shared" si="943"/>
        <v>0</v>
      </c>
      <c r="O3906" s="268">
        <f t="shared" si="944"/>
        <v>0</v>
      </c>
      <c r="P3906" s="239"/>
      <c r="Q3906" s="239"/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/>
      <c r="AC3906" s="196">
        <f t="shared" si="936"/>
        <v>0</v>
      </c>
      <c r="AD3906" s="196">
        <f t="shared" si="937"/>
        <v>0</v>
      </c>
      <c r="AE3906" s="196">
        <f t="shared" si="938"/>
        <v>0</v>
      </c>
      <c r="AF3906" s="2">
        <f t="shared" si="939"/>
        <v>0</v>
      </c>
      <c r="AG3906" s="2">
        <f t="shared" si="940"/>
        <v>0</v>
      </c>
    </row>
    <row r="3907" spans="1:33">
      <c r="A3907" s="20" t="s">
        <v>22101</v>
      </c>
      <c r="B3907" s="150"/>
      <c r="C3907" s="21" t="s">
        <v>22152</v>
      </c>
      <c r="D3907" s="109" t="s">
        <v>5979</v>
      </c>
      <c r="E3907" s="109"/>
      <c r="F3907" s="391" t="s">
        <v>22163</v>
      </c>
      <c r="G3907" s="23" t="s">
        <v>13565</v>
      </c>
      <c r="H3907" s="23"/>
      <c r="I3907" s="23"/>
      <c r="J3907" s="23"/>
      <c r="K3907" s="23"/>
      <c r="L3907" s="375"/>
      <c r="M3907" s="351" t="s">
        <v>7787</v>
      </c>
      <c r="N3907" s="267">
        <f t="shared" si="943"/>
        <v>0</v>
      </c>
      <c r="O3907" s="268">
        <f t="shared" si="944"/>
        <v>0</v>
      </c>
      <c r="P3907" s="239"/>
      <c r="Q3907" s="239"/>
      <c r="R3907" s="239"/>
      <c r="S3907" s="239"/>
      <c r="T3907" s="239"/>
      <c r="U3907" s="240"/>
      <c r="V3907" s="240"/>
      <c r="W3907" s="240"/>
      <c r="X3907" s="278"/>
      <c r="Y3907" s="242"/>
      <c r="Z3907" s="237"/>
      <c r="AA3907" s="279"/>
      <c r="AB3907" s="238"/>
      <c r="AC3907" s="196">
        <f t="shared" si="936"/>
        <v>0</v>
      </c>
      <c r="AD3907" s="196">
        <f t="shared" si="937"/>
        <v>0</v>
      </c>
      <c r="AE3907" s="196">
        <f t="shared" si="938"/>
        <v>0</v>
      </c>
      <c r="AF3907" s="2">
        <f t="shared" si="939"/>
        <v>0</v>
      </c>
      <c r="AG3907" s="2">
        <f t="shared" si="940"/>
        <v>0</v>
      </c>
    </row>
    <row r="3908" spans="1:33">
      <c r="A3908" s="20" t="s">
        <v>22216</v>
      </c>
      <c r="B3908" s="150"/>
      <c r="C3908" s="21" t="s">
        <v>22152</v>
      </c>
      <c r="D3908" s="109" t="s">
        <v>5979</v>
      </c>
      <c r="E3908" s="109" t="s">
        <v>22319</v>
      </c>
      <c r="F3908" s="391" t="s">
        <v>22163</v>
      </c>
      <c r="G3908" s="23" t="s">
        <v>13565</v>
      </c>
      <c r="H3908" s="23"/>
      <c r="I3908" s="23"/>
      <c r="J3908" s="23"/>
      <c r="K3908" s="23"/>
      <c r="L3908" s="375" t="s">
        <v>7787</v>
      </c>
      <c r="M3908" s="351"/>
      <c r="N3908" s="267">
        <f t="shared" si="943"/>
        <v>0</v>
      </c>
      <c r="O3908" s="268">
        <f t="shared" si="944"/>
        <v>0</v>
      </c>
      <c r="P3908" s="239"/>
      <c r="Q3908" s="239"/>
      <c r="R3908" s="239"/>
      <c r="S3908" s="239"/>
      <c r="T3908" s="239"/>
      <c r="U3908" s="240"/>
      <c r="V3908" s="240"/>
      <c r="W3908" s="240"/>
      <c r="X3908" s="278"/>
      <c r="Y3908" s="242"/>
      <c r="Z3908" s="237"/>
      <c r="AA3908" s="279"/>
      <c r="AB3908" s="238"/>
      <c r="AC3908" s="196">
        <f t="shared" si="936"/>
        <v>0</v>
      </c>
      <c r="AD3908" s="196">
        <f t="shared" si="937"/>
        <v>0</v>
      </c>
      <c r="AE3908" s="196">
        <f t="shared" si="938"/>
        <v>0</v>
      </c>
      <c r="AF3908" s="2">
        <f t="shared" si="939"/>
        <v>0</v>
      </c>
      <c r="AG3908" s="2">
        <f t="shared" si="940"/>
        <v>0</v>
      </c>
    </row>
    <row r="3909" spans="1:33">
      <c r="A3909" s="20" t="s">
        <v>22699</v>
      </c>
      <c r="B3909" s="150"/>
      <c r="C3909" s="21" t="s">
        <v>22720</v>
      </c>
      <c r="D3909" s="109" t="s">
        <v>3137</v>
      </c>
      <c r="E3909" s="109"/>
      <c r="F3909" s="391" t="s">
        <v>21684</v>
      </c>
      <c r="G3909" s="23" t="s">
        <v>6133</v>
      </c>
      <c r="H3909" s="23" t="s">
        <v>23880</v>
      </c>
      <c r="I3909" s="23" t="s">
        <v>24809</v>
      </c>
      <c r="J3909" s="23"/>
      <c r="K3909" s="23"/>
      <c r="L3909" s="375" t="s">
        <v>27847</v>
      </c>
      <c r="M3909" s="351" t="s">
        <v>27493</v>
      </c>
      <c r="N3909" s="267">
        <f t="shared" si="943"/>
        <v>0</v>
      </c>
      <c r="O3909" s="268">
        <f t="shared" si="944"/>
        <v>950</v>
      </c>
      <c r="P3909" s="239"/>
      <c r="Q3909" s="239">
        <f>4000-2500+2050-750-350-1500</f>
        <v>950</v>
      </c>
      <c r="R3909" s="239"/>
      <c r="S3909" s="239"/>
      <c r="T3909" s="239"/>
      <c r="U3909" s="240"/>
      <c r="V3909" s="240"/>
      <c r="W3909" s="240"/>
      <c r="X3909" s="278"/>
      <c r="Y3909" s="242"/>
      <c r="Z3909" s="237"/>
      <c r="AA3909" s="279"/>
      <c r="AB3909" s="238" t="s">
        <v>27842</v>
      </c>
      <c r="AC3909" s="196">
        <f t="shared" si="936"/>
        <v>950</v>
      </c>
      <c r="AD3909" s="196">
        <f t="shared" si="937"/>
        <v>950</v>
      </c>
      <c r="AE3909" s="196">
        <f t="shared" si="938"/>
        <v>0</v>
      </c>
      <c r="AF3909" s="2">
        <f t="shared" si="939"/>
        <v>950</v>
      </c>
      <c r="AG3909" s="2">
        <f t="shared" si="940"/>
        <v>0</v>
      </c>
    </row>
    <row r="3910" spans="1:33">
      <c r="A3910" s="20"/>
      <c r="B3910" s="150"/>
      <c r="C3910" s="21" t="s">
        <v>27782</v>
      </c>
      <c r="D3910" s="109" t="s">
        <v>4070</v>
      </c>
      <c r="E3910" s="109" t="s">
        <v>27784</v>
      </c>
      <c r="F3910" s="391" t="s">
        <v>27783</v>
      </c>
      <c r="G3910" s="23" t="s">
        <v>24860</v>
      </c>
      <c r="H3910" s="23"/>
      <c r="I3910" s="23"/>
      <c r="J3910" s="23"/>
      <c r="K3910" s="23"/>
      <c r="L3910" s="375" t="s">
        <v>7787</v>
      </c>
      <c r="M3910" s="351" t="s">
        <v>7787</v>
      </c>
      <c r="N3910" s="267">
        <f t="shared" ref="N3910" si="958">SUM(L3910:M3910)</f>
        <v>0</v>
      </c>
      <c r="O3910" s="268">
        <f t="shared" ref="O3910" si="959">SUM(P3910:Z3910)</f>
        <v>1600</v>
      </c>
      <c r="P3910" s="239"/>
      <c r="Q3910" s="239"/>
      <c r="R3910" s="239"/>
      <c r="S3910" s="239"/>
      <c r="T3910" s="239">
        <f>5000-600-600-2200</f>
        <v>1600</v>
      </c>
      <c r="U3910" s="240"/>
      <c r="V3910" s="240"/>
      <c r="W3910" s="240"/>
      <c r="X3910" s="278"/>
      <c r="Y3910" s="242"/>
      <c r="Z3910" s="237"/>
      <c r="AA3910" s="279"/>
      <c r="AB3910" s="238" t="s">
        <v>27785</v>
      </c>
      <c r="AC3910" s="196">
        <f t="shared" ref="AC3910" si="960">SUM(P3910:AA3910)</f>
        <v>1600</v>
      </c>
      <c r="AD3910" s="196">
        <f t="shared" ref="AD3910" si="961">SUM(P3910:AB3910)</f>
        <v>1600</v>
      </c>
      <c r="AE3910" s="196">
        <f t="shared" ref="AE3910" si="962">SUM(AC3910-AD3910)</f>
        <v>0</v>
      </c>
      <c r="AF3910" s="2">
        <f t="shared" ref="AF3910" si="963">+AC3910</f>
        <v>1600</v>
      </c>
      <c r="AG3910" s="2">
        <f t="shared" ref="AG3910" si="964">+AC3910-AF3910</f>
        <v>0</v>
      </c>
    </row>
    <row r="3911" spans="1:33">
      <c r="A3911" s="20" t="s">
        <v>2895</v>
      </c>
      <c r="B3911" s="152"/>
      <c r="C3911" s="21" t="s">
        <v>663</v>
      </c>
      <c r="D3911" s="109" t="s">
        <v>16073</v>
      </c>
      <c r="E3911" s="109"/>
      <c r="F3911" s="391" t="s">
        <v>16890</v>
      </c>
      <c r="G3911" s="23" t="s">
        <v>23320</v>
      </c>
      <c r="H3911" s="23" t="s">
        <v>15163</v>
      </c>
      <c r="I3911" s="23" t="s">
        <v>16291</v>
      </c>
      <c r="J3911" s="23" t="s">
        <v>13339</v>
      </c>
      <c r="K3911" s="23" t="s">
        <v>26325</v>
      </c>
      <c r="L3911" s="375" t="s">
        <v>7787</v>
      </c>
      <c r="M3911" s="359"/>
      <c r="N3911" s="267">
        <f t="shared" si="943"/>
        <v>0</v>
      </c>
      <c r="O3911" s="268">
        <f t="shared" si="944"/>
        <v>1000</v>
      </c>
      <c r="P3911" s="239"/>
      <c r="Q3911" s="240"/>
      <c r="R3911" s="239"/>
      <c r="S3911" s="239"/>
      <c r="T3911" s="239"/>
      <c r="U3911" s="240">
        <f>2400+3000+2900+2950-10800+3200-1000+3200+3300+1450-9600</f>
        <v>1000</v>
      </c>
      <c r="V3911" s="240"/>
      <c r="W3911" s="240"/>
      <c r="X3911" s="278"/>
      <c r="Y3911" s="242"/>
      <c r="Z3911" s="237"/>
      <c r="AA3911" s="279"/>
      <c r="AB3911" s="238" t="s">
        <v>26660</v>
      </c>
      <c r="AC3911" s="196">
        <f t="shared" si="936"/>
        <v>1000</v>
      </c>
      <c r="AD3911" s="196">
        <f t="shared" si="937"/>
        <v>1000</v>
      </c>
      <c r="AE3911" s="196">
        <f t="shared" si="938"/>
        <v>0</v>
      </c>
      <c r="AF3911" s="2">
        <f t="shared" si="939"/>
        <v>1000</v>
      </c>
      <c r="AG3911" s="2">
        <f t="shared" si="940"/>
        <v>0</v>
      </c>
    </row>
    <row r="3912" spans="1:33">
      <c r="A3912" s="20" t="s">
        <v>2896</v>
      </c>
      <c r="B3912" s="162"/>
      <c r="C3912" s="21" t="s">
        <v>663</v>
      </c>
      <c r="D3912" s="109" t="s">
        <v>4070</v>
      </c>
      <c r="E3912" s="109"/>
      <c r="F3912" s="391" t="s">
        <v>16891</v>
      </c>
      <c r="G3912" s="23" t="s">
        <v>23320</v>
      </c>
      <c r="H3912" s="23" t="s">
        <v>5334</v>
      </c>
      <c r="I3912" s="23" t="s">
        <v>16291</v>
      </c>
      <c r="J3912" s="23"/>
      <c r="K3912" s="23"/>
      <c r="L3912" s="350"/>
      <c r="M3912" s="351"/>
      <c r="N3912" s="267">
        <f t="shared" si="943"/>
        <v>0</v>
      </c>
      <c r="O3912" s="268">
        <f t="shared" si="944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0"/>
      <c r="Z3912" s="237"/>
      <c r="AA3912" s="279"/>
      <c r="AB3912" s="238"/>
      <c r="AC3912" s="196">
        <f t="shared" si="936"/>
        <v>0</v>
      </c>
      <c r="AD3912" s="196">
        <f t="shared" si="937"/>
        <v>0</v>
      </c>
      <c r="AE3912" s="196">
        <f t="shared" si="938"/>
        <v>0</v>
      </c>
      <c r="AF3912" s="2">
        <f t="shared" si="939"/>
        <v>0</v>
      </c>
      <c r="AG3912" s="2">
        <f t="shared" si="940"/>
        <v>0</v>
      </c>
    </row>
    <row r="3913" spans="1:33">
      <c r="A3913" s="20" t="s">
        <v>2897</v>
      </c>
      <c r="B3913" s="150"/>
      <c r="C3913" s="21" t="s">
        <v>663</v>
      </c>
      <c r="D3913" s="109" t="s">
        <v>15161</v>
      </c>
      <c r="E3913" s="109"/>
      <c r="F3913" s="391" t="s">
        <v>16890</v>
      </c>
      <c r="G3913" s="23" t="s">
        <v>16291</v>
      </c>
      <c r="H3913" s="23" t="s">
        <v>16221</v>
      </c>
      <c r="I3913" s="23" t="s">
        <v>16141</v>
      </c>
      <c r="J3913" s="23"/>
      <c r="K3913" s="23"/>
      <c r="L3913" s="350"/>
      <c r="M3913" s="351"/>
      <c r="N3913" s="267">
        <f t="shared" si="943"/>
        <v>0</v>
      </c>
      <c r="O3913" s="268">
        <f t="shared" si="944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37"/>
      <c r="Z3913" s="237"/>
      <c r="AA3913" s="279"/>
      <c r="AB3913" s="238"/>
      <c r="AC3913" s="196">
        <f t="shared" si="936"/>
        <v>0</v>
      </c>
      <c r="AD3913" s="196">
        <f t="shared" si="937"/>
        <v>0</v>
      </c>
      <c r="AE3913" s="196">
        <f t="shared" si="938"/>
        <v>0</v>
      </c>
      <c r="AF3913" s="2">
        <f t="shared" si="939"/>
        <v>0</v>
      </c>
      <c r="AG3913" s="2">
        <f t="shared" si="940"/>
        <v>0</v>
      </c>
    </row>
    <row r="3914" spans="1:33">
      <c r="A3914" s="20" t="s">
        <v>2898</v>
      </c>
      <c r="B3914" s="161"/>
      <c r="C3914" s="21" t="s">
        <v>663</v>
      </c>
      <c r="D3914" s="109" t="s">
        <v>15161</v>
      </c>
      <c r="E3914" s="109"/>
      <c r="F3914" s="391" t="s">
        <v>16892</v>
      </c>
      <c r="G3914" s="23" t="s">
        <v>16291</v>
      </c>
      <c r="H3914" s="23" t="s">
        <v>16221</v>
      </c>
      <c r="I3914" s="23" t="s">
        <v>16141</v>
      </c>
      <c r="J3914" s="23"/>
      <c r="K3914" s="23"/>
      <c r="L3914" s="350"/>
      <c r="M3914" s="351"/>
      <c r="N3914" s="267">
        <f t="shared" si="943"/>
        <v>0</v>
      </c>
      <c r="O3914" s="268">
        <f t="shared" si="944"/>
        <v>0</v>
      </c>
      <c r="P3914" s="239"/>
      <c r="Q3914" s="239"/>
      <c r="R3914" s="239"/>
      <c r="S3914" s="239"/>
      <c r="T3914" s="239"/>
      <c r="U3914" s="240"/>
      <c r="V3914" s="240"/>
      <c r="W3914" s="240"/>
      <c r="X3914" s="278"/>
      <c r="Y3914" s="248"/>
      <c r="Z3914" s="237"/>
      <c r="AA3914" s="279"/>
      <c r="AB3914" s="238"/>
      <c r="AC3914" s="196">
        <f t="shared" si="936"/>
        <v>0</v>
      </c>
      <c r="AD3914" s="196">
        <f t="shared" si="937"/>
        <v>0</v>
      </c>
      <c r="AE3914" s="196">
        <f t="shared" si="938"/>
        <v>0</v>
      </c>
      <c r="AF3914" s="2">
        <f t="shared" si="939"/>
        <v>0</v>
      </c>
      <c r="AG3914" s="2">
        <f t="shared" si="940"/>
        <v>0</v>
      </c>
    </row>
    <row r="3915" spans="1:33">
      <c r="A3915" s="20" t="s">
        <v>2894</v>
      </c>
      <c r="B3915" s="150"/>
      <c r="C3915" s="21" t="s">
        <v>16893</v>
      </c>
      <c r="D3915" s="109" t="s">
        <v>4059</v>
      </c>
      <c r="E3915" s="109" t="s">
        <v>16894</v>
      </c>
      <c r="F3915" s="391" t="s">
        <v>16890</v>
      </c>
      <c r="G3915" s="23" t="s">
        <v>5333</v>
      </c>
      <c r="H3915" s="23"/>
      <c r="I3915" s="23"/>
      <c r="J3915" s="23"/>
      <c r="K3915" s="23"/>
      <c r="L3915" s="350"/>
      <c r="M3915" s="350"/>
      <c r="N3915" s="267">
        <f t="shared" si="943"/>
        <v>0</v>
      </c>
      <c r="O3915" s="268">
        <f t="shared" si="944"/>
        <v>0</v>
      </c>
      <c r="P3915" s="239"/>
      <c r="Q3915" s="239"/>
      <c r="R3915" s="239"/>
      <c r="S3915" s="239"/>
      <c r="T3915" s="239"/>
      <c r="U3915" s="240"/>
      <c r="V3915" s="240"/>
      <c r="W3915" s="240"/>
      <c r="X3915" s="278"/>
      <c r="Y3915" s="248"/>
      <c r="Z3915" s="237"/>
      <c r="AA3915" s="279"/>
      <c r="AB3915" s="238"/>
      <c r="AC3915" s="196">
        <f t="shared" si="936"/>
        <v>0</v>
      </c>
      <c r="AD3915" s="196">
        <f t="shared" si="937"/>
        <v>0</v>
      </c>
      <c r="AE3915" s="196">
        <f t="shared" si="938"/>
        <v>0</v>
      </c>
      <c r="AF3915" s="2">
        <f t="shared" si="939"/>
        <v>0</v>
      </c>
      <c r="AG3915" s="2">
        <f t="shared" si="940"/>
        <v>0</v>
      </c>
    </row>
    <row r="3916" spans="1:33">
      <c r="A3916" s="20" t="s">
        <v>2893</v>
      </c>
      <c r="B3916" s="156" t="s">
        <v>16895</v>
      </c>
      <c r="C3916" s="21" t="s">
        <v>16896</v>
      </c>
      <c r="D3916" s="109" t="s">
        <v>15167</v>
      </c>
      <c r="E3916" s="109" t="s">
        <v>16818</v>
      </c>
      <c r="F3916" s="391" t="s">
        <v>16892</v>
      </c>
      <c r="G3916" s="23" t="s">
        <v>15621</v>
      </c>
      <c r="H3916" s="23" t="s">
        <v>16141</v>
      </c>
      <c r="I3916" s="23" t="s">
        <v>16370</v>
      </c>
      <c r="J3916" s="23"/>
      <c r="K3916" s="23"/>
      <c r="L3916" s="350"/>
      <c r="M3916" s="351"/>
      <c r="N3916" s="267">
        <f t="shared" si="943"/>
        <v>0</v>
      </c>
      <c r="O3916" s="268">
        <f t="shared" si="944"/>
        <v>0</v>
      </c>
      <c r="P3916" s="239"/>
      <c r="Q3916" s="239"/>
      <c r="R3916" s="239"/>
      <c r="S3916" s="239"/>
      <c r="T3916" s="239"/>
      <c r="U3916" s="240"/>
      <c r="V3916" s="240"/>
      <c r="W3916" s="240"/>
      <c r="X3916" s="278"/>
      <c r="Y3916" s="237"/>
      <c r="Z3916" s="237"/>
      <c r="AA3916" s="248"/>
      <c r="AB3916" s="238"/>
      <c r="AC3916" s="196">
        <f t="shared" si="936"/>
        <v>0</v>
      </c>
      <c r="AD3916" s="196">
        <f t="shared" si="937"/>
        <v>0</v>
      </c>
      <c r="AE3916" s="196">
        <f t="shared" si="938"/>
        <v>0</v>
      </c>
      <c r="AF3916" s="2">
        <f t="shared" si="939"/>
        <v>0</v>
      </c>
      <c r="AG3916" s="2">
        <f t="shared" si="940"/>
        <v>0</v>
      </c>
    </row>
    <row r="3917" spans="1:33">
      <c r="A3917" s="20" t="s">
        <v>6896</v>
      </c>
      <c r="B3917" s="156"/>
      <c r="C3917" s="21" t="s">
        <v>16897</v>
      </c>
      <c r="D3917" s="109" t="s">
        <v>15167</v>
      </c>
      <c r="E3917" s="109" t="s">
        <v>16894</v>
      </c>
      <c r="F3917" s="391" t="s">
        <v>16890</v>
      </c>
      <c r="G3917" s="23" t="s">
        <v>16141</v>
      </c>
      <c r="H3917" s="23" t="s">
        <v>15802</v>
      </c>
      <c r="I3917" s="23" t="s">
        <v>17561</v>
      </c>
      <c r="J3917" s="23" t="s">
        <v>13249</v>
      </c>
      <c r="K3917" s="23" t="s">
        <v>21150</v>
      </c>
      <c r="L3917" s="375" t="s">
        <v>7787</v>
      </c>
      <c r="M3917" s="351" t="s">
        <v>7787</v>
      </c>
      <c r="N3917" s="267">
        <f t="shared" si="943"/>
        <v>0</v>
      </c>
      <c r="O3917" s="268">
        <f t="shared" si="944"/>
        <v>0</v>
      </c>
      <c r="P3917" s="239"/>
      <c r="Q3917" s="248"/>
      <c r="R3917" s="239"/>
      <c r="S3917" s="239"/>
      <c r="T3917" s="239"/>
      <c r="U3917" s="240"/>
      <c r="V3917" s="240"/>
      <c r="W3917" s="240"/>
      <c r="X3917" s="278"/>
      <c r="Y3917" s="248"/>
      <c r="Z3917" s="237"/>
      <c r="AA3917" s="248"/>
      <c r="AB3917" s="238"/>
      <c r="AC3917" s="196">
        <f t="shared" si="936"/>
        <v>0</v>
      </c>
      <c r="AD3917" s="196">
        <f t="shared" si="937"/>
        <v>0</v>
      </c>
      <c r="AE3917" s="196">
        <f t="shared" si="938"/>
        <v>0</v>
      </c>
      <c r="AF3917" s="2">
        <f t="shared" si="939"/>
        <v>0</v>
      </c>
      <c r="AG3917" s="2">
        <f t="shared" si="940"/>
        <v>0</v>
      </c>
    </row>
    <row r="3918" spans="1:33">
      <c r="A3918" s="20" t="s">
        <v>2892</v>
      </c>
      <c r="B3918" s="150"/>
      <c r="C3918" s="21" t="s">
        <v>16897</v>
      </c>
      <c r="D3918" s="109" t="s">
        <v>15167</v>
      </c>
      <c r="E3918" s="109" t="s">
        <v>16818</v>
      </c>
      <c r="F3918" s="391" t="s">
        <v>16890</v>
      </c>
      <c r="G3918" s="23" t="s">
        <v>15621</v>
      </c>
      <c r="H3918" s="23" t="s">
        <v>16141</v>
      </c>
      <c r="I3918" s="23" t="s">
        <v>16370</v>
      </c>
      <c r="J3918" s="23"/>
      <c r="K3918" s="23"/>
      <c r="L3918" s="375" t="s">
        <v>7787</v>
      </c>
      <c r="M3918" s="351"/>
      <c r="N3918" s="267">
        <f t="shared" si="943"/>
        <v>0</v>
      </c>
      <c r="O3918" s="268">
        <f t="shared" si="944"/>
        <v>0</v>
      </c>
      <c r="P3918" s="239"/>
      <c r="Q3918" s="239"/>
      <c r="R3918" s="239"/>
      <c r="S3918" s="239"/>
      <c r="T3918" s="239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6"/>
        <v>0</v>
      </c>
      <c r="AD3918" s="196">
        <f t="shared" si="937"/>
        <v>0</v>
      </c>
      <c r="AE3918" s="196">
        <f t="shared" si="938"/>
        <v>0</v>
      </c>
      <c r="AF3918" s="2">
        <f t="shared" si="939"/>
        <v>0</v>
      </c>
      <c r="AG3918" s="2">
        <f t="shared" si="940"/>
        <v>0</v>
      </c>
    </row>
    <row r="3919" spans="1:33">
      <c r="A3919" s="20" t="s">
        <v>2891</v>
      </c>
      <c r="B3919" s="150"/>
      <c r="C3919" s="21" t="s">
        <v>663</v>
      </c>
      <c r="D3919" s="109" t="s">
        <v>16869</v>
      </c>
      <c r="E3919" s="109"/>
      <c r="F3919" s="391" t="s">
        <v>16890</v>
      </c>
      <c r="G3919" s="23" t="s">
        <v>16884</v>
      </c>
      <c r="H3919" s="23" t="s">
        <v>16285</v>
      </c>
      <c r="I3919" s="23" t="s">
        <v>16898</v>
      </c>
      <c r="J3919" s="23" t="s">
        <v>21150</v>
      </c>
      <c r="K3919" s="23"/>
      <c r="L3919" s="375" t="s">
        <v>7787</v>
      </c>
      <c r="M3919" s="351" t="s">
        <v>7787</v>
      </c>
      <c r="N3919" s="267">
        <f t="shared" si="943"/>
        <v>0</v>
      </c>
      <c r="O3919" s="268">
        <f t="shared" si="944"/>
        <v>0</v>
      </c>
      <c r="P3919" s="243"/>
      <c r="Q3919" s="243"/>
      <c r="R3919" s="243"/>
      <c r="S3919" s="243"/>
      <c r="T3919" s="243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6"/>
        <v>0</v>
      </c>
      <c r="AD3919" s="196">
        <f t="shared" si="937"/>
        <v>0</v>
      </c>
      <c r="AE3919" s="196">
        <f t="shared" si="938"/>
        <v>0</v>
      </c>
      <c r="AF3919" s="2">
        <f t="shared" si="939"/>
        <v>0</v>
      </c>
      <c r="AG3919" s="2">
        <f t="shared" si="940"/>
        <v>0</v>
      </c>
    </row>
    <row r="3920" spans="1:33">
      <c r="A3920" s="20" t="s">
        <v>7110</v>
      </c>
      <c r="B3920" s="150"/>
      <c r="C3920" s="21" t="s">
        <v>663</v>
      </c>
      <c r="D3920" s="109" t="s">
        <v>16670</v>
      </c>
      <c r="E3920" s="109" t="s">
        <v>16818</v>
      </c>
      <c r="F3920" s="391" t="s">
        <v>16890</v>
      </c>
      <c r="G3920" s="23" t="s">
        <v>16884</v>
      </c>
      <c r="H3920" s="23"/>
      <c r="I3920" s="23"/>
      <c r="J3920" s="23"/>
      <c r="K3920" s="23"/>
      <c r="L3920" s="350"/>
      <c r="M3920" s="351"/>
      <c r="N3920" s="267">
        <f t="shared" si="943"/>
        <v>0</v>
      </c>
      <c r="O3920" s="268">
        <f t="shared" si="944"/>
        <v>0</v>
      </c>
      <c r="P3920" s="243"/>
      <c r="Q3920" s="243"/>
      <c r="R3920" s="243"/>
      <c r="S3920" s="243"/>
      <c r="T3920" s="243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6"/>
        <v>0</v>
      </c>
      <c r="AD3920" s="196">
        <f t="shared" si="937"/>
        <v>0</v>
      </c>
      <c r="AE3920" s="196">
        <f t="shared" si="938"/>
        <v>0</v>
      </c>
      <c r="AF3920" s="2">
        <f t="shared" si="939"/>
        <v>0</v>
      </c>
      <c r="AG3920" s="2">
        <f t="shared" si="940"/>
        <v>0</v>
      </c>
    </row>
    <row r="3921" spans="1:33">
      <c r="A3921" s="20" t="s">
        <v>22090</v>
      </c>
      <c r="B3921" s="150"/>
      <c r="C3921" s="21" t="s">
        <v>22072</v>
      </c>
      <c r="D3921" s="109" t="s">
        <v>3137</v>
      </c>
      <c r="E3921" s="109"/>
      <c r="F3921" s="391" t="s">
        <v>22073</v>
      </c>
      <c r="G3921" s="23" t="s">
        <v>13888</v>
      </c>
      <c r="H3921" s="23"/>
      <c r="I3921" s="23"/>
      <c r="J3921" s="23"/>
      <c r="K3921" s="23"/>
      <c r="L3921" s="375" t="s">
        <v>7787</v>
      </c>
      <c r="M3921" s="351" t="s">
        <v>7787</v>
      </c>
      <c r="N3921" s="267">
        <f t="shared" si="943"/>
        <v>0</v>
      </c>
      <c r="O3921" s="268">
        <f t="shared" si="944"/>
        <v>0</v>
      </c>
      <c r="P3921" s="243"/>
      <c r="Q3921" s="243"/>
      <c r="R3921" s="240"/>
      <c r="S3921" s="240"/>
      <c r="T3921" s="243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6"/>
        <v>0</v>
      </c>
      <c r="AD3921" s="196">
        <f t="shared" si="937"/>
        <v>0</v>
      </c>
      <c r="AE3921" s="196">
        <f t="shared" si="938"/>
        <v>0</v>
      </c>
      <c r="AF3921" s="2">
        <f t="shared" si="939"/>
        <v>0</v>
      </c>
      <c r="AG3921" s="2">
        <f t="shared" si="940"/>
        <v>0</v>
      </c>
    </row>
    <row r="3922" spans="1:33">
      <c r="A3922" s="20" t="s">
        <v>2899</v>
      </c>
      <c r="B3922" s="150"/>
      <c r="C3922" s="21" t="s">
        <v>664</v>
      </c>
      <c r="D3922" s="109" t="s">
        <v>15161</v>
      </c>
      <c r="E3922" s="109"/>
      <c r="F3922" s="391" t="s">
        <v>16899</v>
      </c>
      <c r="G3922" s="23" t="s">
        <v>16544</v>
      </c>
      <c r="H3922" s="23"/>
      <c r="I3922" s="23"/>
      <c r="J3922" s="23"/>
      <c r="K3922" s="23"/>
      <c r="L3922" s="350"/>
      <c r="M3922" s="351"/>
      <c r="N3922" s="267">
        <f t="shared" si="943"/>
        <v>0</v>
      </c>
      <c r="O3922" s="268">
        <f t="shared" si="944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6"/>
        <v>0</v>
      </c>
      <c r="AD3922" s="196">
        <f t="shared" si="937"/>
        <v>0</v>
      </c>
      <c r="AE3922" s="196">
        <f t="shared" si="938"/>
        <v>0</v>
      </c>
      <c r="AF3922" s="2">
        <f t="shared" si="939"/>
        <v>0</v>
      </c>
      <c r="AG3922" s="2">
        <f t="shared" si="940"/>
        <v>0</v>
      </c>
    </row>
    <row r="3923" spans="1:33">
      <c r="A3923" s="20" t="s">
        <v>21551</v>
      </c>
      <c r="B3923" s="150"/>
      <c r="C3923" s="21" t="s">
        <v>664</v>
      </c>
      <c r="D3923" s="109" t="s">
        <v>20840</v>
      </c>
      <c r="E3923" s="109" t="s">
        <v>3128</v>
      </c>
      <c r="F3923" s="391" t="s">
        <v>5236</v>
      </c>
      <c r="G3923" s="23" t="s">
        <v>20012</v>
      </c>
      <c r="H3923" s="23"/>
      <c r="I3923" s="23"/>
      <c r="J3923" s="23"/>
      <c r="K3923" s="23"/>
      <c r="L3923" s="350"/>
      <c r="M3923" s="351"/>
      <c r="N3923" s="267">
        <f t="shared" si="943"/>
        <v>0</v>
      </c>
      <c r="O3923" s="268">
        <f t="shared" si="944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6"/>
        <v>0</v>
      </c>
      <c r="AD3923" s="196">
        <f t="shared" si="937"/>
        <v>0</v>
      </c>
      <c r="AE3923" s="196">
        <f t="shared" si="938"/>
        <v>0</v>
      </c>
      <c r="AF3923" s="2">
        <f t="shared" si="939"/>
        <v>0</v>
      </c>
      <c r="AG3923" s="2">
        <f t="shared" si="940"/>
        <v>0</v>
      </c>
    </row>
    <row r="3924" spans="1:33">
      <c r="A3924" s="20" t="s">
        <v>2900</v>
      </c>
      <c r="B3924" s="150"/>
      <c r="C3924" s="21" t="s">
        <v>665</v>
      </c>
      <c r="D3924" s="109" t="s">
        <v>15161</v>
      </c>
      <c r="E3924" s="109"/>
      <c r="F3924" s="391" t="s">
        <v>16900</v>
      </c>
      <c r="G3924" s="23" t="s">
        <v>16142</v>
      </c>
      <c r="H3924" s="23"/>
      <c r="I3924" s="23"/>
      <c r="J3924" s="23"/>
      <c r="K3924" s="23"/>
      <c r="L3924" s="375" t="s">
        <v>7787</v>
      </c>
      <c r="M3924" s="351" t="s">
        <v>7787</v>
      </c>
      <c r="N3924" s="267">
        <f t="shared" si="943"/>
        <v>0</v>
      </c>
      <c r="O3924" s="268">
        <f t="shared" si="944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6"/>
        <v>0</v>
      </c>
      <c r="AD3924" s="196">
        <f t="shared" si="937"/>
        <v>0</v>
      </c>
      <c r="AE3924" s="196">
        <f t="shared" si="938"/>
        <v>0</v>
      </c>
      <c r="AF3924" s="2">
        <f t="shared" si="939"/>
        <v>0</v>
      </c>
      <c r="AG3924" s="2">
        <f t="shared" si="940"/>
        <v>0</v>
      </c>
    </row>
    <row r="3925" spans="1:33">
      <c r="A3925" s="20" t="s">
        <v>23900</v>
      </c>
      <c r="B3925" s="150"/>
      <c r="C3925" s="21" t="s">
        <v>665</v>
      </c>
      <c r="D3925" s="109" t="s">
        <v>3102</v>
      </c>
      <c r="E3925" s="109"/>
      <c r="F3925" s="391" t="s">
        <v>5237</v>
      </c>
      <c r="G3925" s="23" t="s">
        <v>20012</v>
      </c>
      <c r="H3925" s="23"/>
      <c r="I3925" s="23"/>
      <c r="J3925" s="23"/>
      <c r="K3925" s="23"/>
      <c r="L3925" s="375" t="s">
        <v>7787</v>
      </c>
      <c r="M3925" s="351"/>
      <c r="N3925" s="267">
        <f t="shared" si="943"/>
        <v>0</v>
      </c>
      <c r="O3925" s="268">
        <f t="shared" si="944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6"/>
        <v>0</v>
      </c>
      <c r="AD3925" s="196">
        <f t="shared" si="937"/>
        <v>0</v>
      </c>
      <c r="AE3925" s="196">
        <f t="shared" si="938"/>
        <v>0</v>
      </c>
      <c r="AF3925" s="2">
        <f t="shared" si="939"/>
        <v>0</v>
      </c>
      <c r="AG3925" s="2">
        <f t="shared" si="940"/>
        <v>0</v>
      </c>
    </row>
    <row r="3926" spans="1:33">
      <c r="A3926" s="20" t="s">
        <v>22102</v>
      </c>
      <c r="B3926" s="150"/>
      <c r="C3926" s="21" t="s">
        <v>22165</v>
      </c>
      <c r="D3926" s="109" t="s">
        <v>22166</v>
      </c>
      <c r="E3926" s="109" t="s">
        <v>22455</v>
      </c>
      <c r="F3926" s="391" t="s">
        <v>20642</v>
      </c>
      <c r="G3926" s="23" t="s">
        <v>6133</v>
      </c>
      <c r="H3926" s="23" t="s">
        <v>17522</v>
      </c>
      <c r="I3926" s="23"/>
      <c r="J3926" s="23"/>
      <c r="K3926" s="23"/>
      <c r="L3926" s="375"/>
      <c r="M3926" s="351"/>
      <c r="N3926" s="267">
        <f t="shared" si="943"/>
        <v>0</v>
      </c>
      <c r="O3926" s="268">
        <f t="shared" si="944"/>
        <v>0</v>
      </c>
      <c r="P3926" s="239"/>
      <c r="Q3926" s="239"/>
      <c r="R3926" s="239"/>
      <c r="S3926" s="239"/>
      <c r="T3926" s="239"/>
      <c r="U3926" s="240"/>
      <c r="V3926" s="240"/>
      <c r="W3926" s="240"/>
      <c r="X3926" s="278"/>
      <c r="Y3926" s="237"/>
      <c r="Z3926" s="237"/>
      <c r="AA3926" s="279"/>
      <c r="AB3926" s="238"/>
      <c r="AC3926" s="196">
        <f t="shared" si="936"/>
        <v>0</v>
      </c>
      <c r="AD3926" s="196">
        <f t="shared" si="937"/>
        <v>0</v>
      </c>
      <c r="AE3926" s="196">
        <f t="shared" si="938"/>
        <v>0</v>
      </c>
      <c r="AF3926" s="2">
        <f t="shared" si="939"/>
        <v>0</v>
      </c>
      <c r="AG3926" s="2">
        <f t="shared" si="940"/>
        <v>0</v>
      </c>
    </row>
    <row r="3927" spans="1:33">
      <c r="A3927" s="20" t="s">
        <v>22102</v>
      </c>
      <c r="B3927" s="150"/>
      <c r="C3927" s="21" t="s">
        <v>22165</v>
      </c>
      <c r="D3927" s="109" t="s">
        <v>7960</v>
      </c>
      <c r="E3927" s="202" t="s">
        <v>22456</v>
      </c>
      <c r="F3927" s="391" t="s">
        <v>20642</v>
      </c>
      <c r="G3927" s="23" t="s">
        <v>6133</v>
      </c>
      <c r="H3927" s="23" t="s">
        <v>17522</v>
      </c>
      <c r="I3927" s="23"/>
      <c r="J3927" s="23"/>
      <c r="K3927" s="23"/>
      <c r="L3927" s="375"/>
      <c r="M3927" s="351"/>
      <c r="N3927" s="267">
        <f t="shared" si="943"/>
        <v>0</v>
      </c>
      <c r="O3927" s="268">
        <f t="shared" si="944"/>
        <v>0</v>
      </c>
      <c r="P3927" s="239"/>
      <c r="Q3927" s="239"/>
      <c r="R3927" s="239"/>
      <c r="S3927" s="239"/>
      <c r="T3927" s="239"/>
      <c r="U3927" s="240"/>
      <c r="V3927" s="240"/>
      <c r="W3927" s="240"/>
      <c r="X3927" s="278"/>
      <c r="Y3927" s="237"/>
      <c r="Z3927" s="237"/>
      <c r="AA3927" s="279"/>
      <c r="AB3927" s="238"/>
      <c r="AC3927" s="196">
        <f t="shared" si="936"/>
        <v>0</v>
      </c>
      <c r="AD3927" s="196">
        <f t="shared" si="937"/>
        <v>0</v>
      </c>
      <c r="AE3927" s="196">
        <f t="shared" si="938"/>
        <v>0</v>
      </c>
      <c r="AF3927" s="2">
        <f t="shared" si="939"/>
        <v>0</v>
      </c>
      <c r="AG3927" s="2">
        <f t="shared" si="940"/>
        <v>0</v>
      </c>
    </row>
    <row r="3928" spans="1:33">
      <c r="A3928" s="20" t="s">
        <v>2902</v>
      </c>
      <c r="B3928" s="150"/>
      <c r="C3928" s="21" t="s">
        <v>849</v>
      </c>
      <c r="D3928" s="109" t="s">
        <v>16231</v>
      </c>
      <c r="E3928" s="109"/>
      <c r="F3928" s="391" t="s">
        <v>16901</v>
      </c>
      <c r="G3928" s="23"/>
      <c r="H3928" s="23"/>
      <c r="I3928" s="23"/>
      <c r="J3928" s="23"/>
      <c r="K3928" s="23"/>
      <c r="L3928" s="350"/>
      <c r="M3928" s="351"/>
      <c r="N3928" s="267">
        <f t="shared" si="943"/>
        <v>0</v>
      </c>
      <c r="O3928" s="268">
        <f t="shared" si="944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79"/>
      <c r="AB3928" s="238"/>
      <c r="AC3928" s="196">
        <f t="shared" si="936"/>
        <v>0</v>
      </c>
      <c r="AD3928" s="196">
        <f t="shared" si="937"/>
        <v>0</v>
      </c>
      <c r="AE3928" s="196">
        <f t="shared" si="938"/>
        <v>0</v>
      </c>
      <c r="AF3928" s="2">
        <f t="shared" si="939"/>
        <v>0</v>
      </c>
      <c r="AG3928" s="2">
        <f t="shared" si="940"/>
        <v>0</v>
      </c>
    </row>
    <row r="3929" spans="1:33">
      <c r="A3929" s="20" t="s">
        <v>22091</v>
      </c>
      <c r="B3929" s="150"/>
      <c r="C3929" s="21" t="s">
        <v>22078</v>
      </c>
      <c r="D3929" s="109" t="s">
        <v>3137</v>
      </c>
      <c r="E3929" s="109"/>
      <c r="F3929" s="391" t="s">
        <v>22112</v>
      </c>
      <c r="G3929" s="23" t="s">
        <v>17522</v>
      </c>
      <c r="H3929" s="23" t="s">
        <v>13934</v>
      </c>
      <c r="I3929" s="23" t="s">
        <v>13942</v>
      </c>
      <c r="J3929" s="23"/>
      <c r="K3929" s="23"/>
      <c r="L3929" s="375" t="s">
        <v>7787</v>
      </c>
      <c r="M3929" s="351" t="s">
        <v>7787</v>
      </c>
      <c r="N3929" s="267">
        <f t="shared" si="943"/>
        <v>0</v>
      </c>
      <c r="O3929" s="268">
        <f t="shared" si="944"/>
        <v>0</v>
      </c>
      <c r="P3929" s="239"/>
      <c r="Q3929" s="240"/>
      <c r="R3929" s="240"/>
      <c r="S3929" s="239"/>
      <c r="T3929" s="239"/>
      <c r="U3929" s="240"/>
      <c r="V3929" s="240"/>
      <c r="W3929" s="240"/>
      <c r="X3929" s="278"/>
      <c r="Y3929" s="237"/>
      <c r="Z3929" s="237"/>
      <c r="AA3929" s="297"/>
      <c r="AB3929" s="238"/>
      <c r="AC3929" s="196">
        <f t="shared" si="936"/>
        <v>0</v>
      </c>
      <c r="AD3929" s="196">
        <f t="shared" si="937"/>
        <v>0</v>
      </c>
      <c r="AE3929" s="196">
        <f t="shared" si="938"/>
        <v>0</v>
      </c>
      <c r="AF3929" s="2">
        <f t="shared" si="939"/>
        <v>0</v>
      </c>
      <c r="AG3929" s="2">
        <f t="shared" si="940"/>
        <v>0</v>
      </c>
    </row>
    <row r="3930" spans="1:33">
      <c r="A3930" s="20" t="s">
        <v>2901</v>
      </c>
      <c r="B3930" s="150"/>
      <c r="C3930" s="21" t="s">
        <v>666</v>
      </c>
      <c r="D3930" s="109" t="s">
        <v>15167</v>
      </c>
      <c r="E3930" s="109"/>
      <c r="F3930" s="391" t="s">
        <v>16902</v>
      </c>
      <c r="G3930" s="23" t="s">
        <v>16454</v>
      </c>
      <c r="H3930" s="23"/>
      <c r="I3930" s="23"/>
      <c r="J3930" s="23"/>
      <c r="K3930" s="23"/>
      <c r="L3930" s="375" t="s">
        <v>7787</v>
      </c>
      <c r="M3930" s="351" t="s">
        <v>7787</v>
      </c>
      <c r="N3930" s="267">
        <f t="shared" si="943"/>
        <v>0</v>
      </c>
      <c r="O3930" s="268">
        <f t="shared" si="944"/>
        <v>0</v>
      </c>
      <c r="P3930" s="239"/>
      <c r="Q3930" s="239"/>
      <c r="R3930" s="239"/>
      <c r="S3930" s="239"/>
      <c r="T3930" s="239"/>
      <c r="U3930" s="240"/>
      <c r="V3930" s="240"/>
      <c r="W3930" s="240"/>
      <c r="X3930" s="278"/>
      <c r="Y3930" s="237"/>
      <c r="Z3930" s="237"/>
      <c r="AA3930" s="239"/>
      <c r="AB3930" s="238"/>
      <c r="AC3930" s="196">
        <f t="shared" si="936"/>
        <v>0</v>
      </c>
      <c r="AD3930" s="196">
        <f t="shared" si="937"/>
        <v>0</v>
      </c>
      <c r="AE3930" s="196">
        <f t="shared" si="938"/>
        <v>0</v>
      </c>
      <c r="AF3930" s="2">
        <f t="shared" si="939"/>
        <v>0</v>
      </c>
      <c r="AG3930" s="2">
        <f t="shared" si="940"/>
        <v>0</v>
      </c>
    </row>
    <row r="3931" spans="1:33">
      <c r="A3931" s="20" t="s">
        <v>21769</v>
      </c>
      <c r="B3931" s="150"/>
      <c r="C3931" s="21" t="s">
        <v>21786</v>
      </c>
      <c r="D3931" s="109" t="s">
        <v>3096</v>
      </c>
      <c r="E3931" s="109" t="s">
        <v>21787</v>
      </c>
      <c r="F3931" s="391" t="s">
        <v>21794</v>
      </c>
      <c r="G3931" s="23" t="s">
        <v>20012</v>
      </c>
      <c r="H3931" s="23"/>
      <c r="I3931" s="23"/>
      <c r="J3931" s="23"/>
      <c r="K3931" s="23"/>
      <c r="L3931" s="375" t="s">
        <v>7787</v>
      </c>
      <c r="M3931" s="351"/>
      <c r="N3931" s="267">
        <f t="shared" si="943"/>
        <v>0</v>
      </c>
      <c r="O3931" s="268">
        <f t="shared" si="944"/>
        <v>0</v>
      </c>
      <c r="P3931" s="239"/>
      <c r="Q3931" s="239"/>
      <c r="R3931" s="239"/>
      <c r="S3931" s="239"/>
      <c r="T3931" s="239"/>
      <c r="U3931" s="240"/>
      <c r="V3931" s="240"/>
      <c r="W3931" s="240"/>
      <c r="X3931" s="278"/>
      <c r="Y3931" s="237"/>
      <c r="Z3931" s="237"/>
      <c r="AA3931" s="247"/>
      <c r="AB3931" s="238"/>
      <c r="AC3931" s="196">
        <f t="shared" si="936"/>
        <v>0</v>
      </c>
      <c r="AD3931" s="196">
        <f t="shared" si="937"/>
        <v>0</v>
      </c>
      <c r="AE3931" s="196">
        <f t="shared" si="938"/>
        <v>0</v>
      </c>
      <c r="AF3931" s="2">
        <f t="shared" si="939"/>
        <v>0</v>
      </c>
      <c r="AG3931" s="2">
        <f t="shared" si="940"/>
        <v>0</v>
      </c>
    </row>
    <row r="3932" spans="1:33">
      <c r="A3932" s="20" t="s">
        <v>21924</v>
      </c>
      <c r="B3932" s="150"/>
      <c r="C3932" s="21" t="s">
        <v>22044</v>
      </c>
      <c r="D3932" s="109" t="s">
        <v>3137</v>
      </c>
      <c r="E3932" s="109"/>
      <c r="F3932" s="391" t="s">
        <v>22046</v>
      </c>
      <c r="G3932" s="23" t="s">
        <v>22045</v>
      </c>
      <c r="H3932" s="23" t="s">
        <v>13888</v>
      </c>
      <c r="I3932" s="23"/>
      <c r="J3932" s="23"/>
      <c r="K3932" s="23"/>
      <c r="L3932" s="375" t="s">
        <v>7787</v>
      </c>
      <c r="M3932" s="351"/>
      <c r="N3932" s="267">
        <f t="shared" si="943"/>
        <v>0</v>
      </c>
      <c r="O3932" s="268">
        <f t="shared" si="944"/>
        <v>0</v>
      </c>
      <c r="P3932" s="239"/>
      <c r="Q3932" s="239"/>
      <c r="R3932" s="239"/>
      <c r="S3932" s="239"/>
      <c r="T3932" s="239"/>
      <c r="U3932" s="240"/>
      <c r="V3932" s="240"/>
      <c r="W3932" s="240"/>
      <c r="X3932" s="278"/>
      <c r="Y3932" s="237"/>
      <c r="Z3932" s="237"/>
      <c r="AA3932" s="247"/>
      <c r="AB3932" s="238"/>
      <c r="AC3932" s="196">
        <f t="shared" si="936"/>
        <v>0</v>
      </c>
      <c r="AD3932" s="196">
        <f t="shared" si="937"/>
        <v>0</v>
      </c>
      <c r="AE3932" s="196">
        <f t="shared" si="938"/>
        <v>0</v>
      </c>
      <c r="AF3932" s="2">
        <f t="shared" si="939"/>
        <v>0</v>
      </c>
      <c r="AG3932" s="2">
        <f t="shared" si="940"/>
        <v>0</v>
      </c>
    </row>
    <row r="3933" spans="1:33">
      <c r="A3933" s="20" t="s">
        <v>22103</v>
      </c>
      <c r="B3933" s="150"/>
      <c r="C3933" s="21" t="s">
        <v>22168</v>
      </c>
      <c r="D3933" s="109" t="s">
        <v>3137</v>
      </c>
      <c r="E3933" s="109" t="s">
        <v>19998</v>
      </c>
      <c r="F3933" s="391" t="s">
        <v>21033</v>
      </c>
      <c r="G3933" s="23" t="s">
        <v>13888</v>
      </c>
      <c r="H3933" s="23"/>
      <c r="I3933" s="23"/>
      <c r="J3933" s="23"/>
      <c r="K3933" s="23"/>
      <c r="L3933" s="375" t="s">
        <v>27912</v>
      </c>
      <c r="M3933" s="351" t="s">
        <v>45</v>
      </c>
      <c r="N3933" s="267">
        <f t="shared" si="943"/>
        <v>0</v>
      </c>
      <c r="O3933" s="268">
        <f t="shared" si="944"/>
        <v>3750</v>
      </c>
      <c r="P3933" s="239"/>
      <c r="Q3933" s="239"/>
      <c r="R3933" s="239"/>
      <c r="S3933" s="239"/>
      <c r="T3933" s="239"/>
      <c r="U3933" s="240">
        <f>8050-3000+1700-4000+2500-1500</f>
        <v>3750</v>
      </c>
      <c r="V3933" s="239"/>
      <c r="W3933" s="240"/>
      <c r="X3933" s="278"/>
      <c r="Y3933" s="237"/>
      <c r="Z3933" s="237"/>
      <c r="AA3933" s="247"/>
      <c r="AB3933" s="238" t="s">
        <v>27908</v>
      </c>
      <c r="AC3933" s="196">
        <f t="shared" si="936"/>
        <v>3750</v>
      </c>
      <c r="AD3933" s="196">
        <f t="shared" si="937"/>
        <v>3750</v>
      </c>
      <c r="AE3933" s="196">
        <f t="shared" si="938"/>
        <v>0</v>
      </c>
      <c r="AF3933" s="2">
        <f t="shared" si="939"/>
        <v>3750</v>
      </c>
      <c r="AG3933" s="2">
        <f t="shared" si="940"/>
        <v>0</v>
      </c>
    </row>
    <row r="3934" spans="1:33">
      <c r="A3934" s="20" t="s">
        <v>22208</v>
      </c>
      <c r="B3934" s="150"/>
      <c r="C3934" s="21" t="s">
        <v>22274</v>
      </c>
      <c r="D3934" s="109" t="s">
        <v>22275</v>
      </c>
      <c r="E3934" s="109"/>
      <c r="F3934" s="391" t="s">
        <v>22284</v>
      </c>
      <c r="G3934" s="23" t="s">
        <v>22276</v>
      </c>
      <c r="H3934" s="23" t="s">
        <v>22277</v>
      </c>
      <c r="I3934" s="23"/>
      <c r="J3934" s="23"/>
      <c r="K3934" s="23"/>
      <c r="L3934" s="375"/>
      <c r="M3934" s="351" t="s">
        <v>7787</v>
      </c>
      <c r="N3934" s="267">
        <f t="shared" si="943"/>
        <v>0</v>
      </c>
      <c r="O3934" s="268">
        <f t="shared" si="944"/>
        <v>0</v>
      </c>
      <c r="P3934" s="239"/>
      <c r="Q3934" s="239"/>
      <c r="R3934" s="239"/>
      <c r="S3934" s="239"/>
      <c r="T3934" s="239"/>
      <c r="U3934" s="240"/>
      <c r="V3934" s="239"/>
      <c r="W3934" s="240"/>
      <c r="X3934" s="278"/>
      <c r="Y3934" s="237"/>
      <c r="Z3934" s="237"/>
      <c r="AA3934" s="247"/>
      <c r="AB3934" s="238"/>
      <c r="AC3934" s="196">
        <f t="shared" si="936"/>
        <v>0</v>
      </c>
      <c r="AD3934" s="196">
        <f t="shared" si="937"/>
        <v>0</v>
      </c>
      <c r="AE3934" s="196">
        <f t="shared" si="938"/>
        <v>0</v>
      </c>
      <c r="AF3934" s="2">
        <f t="shared" si="939"/>
        <v>0</v>
      </c>
      <c r="AG3934" s="2">
        <f t="shared" si="940"/>
        <v>0</v>
      </c>
    </row>
    <row r="3935" spans="1:33">
      <c r="A3935" s="20" t="s">
        <v>22213</v>
      </c>
      <c r="B3935" s="150"/>
      <c r="C3935" s="21" t="s">
        <v>22293</v>
      </c>
      <c r="D3935" s="109" t="s">
        <v>3137</v>
      </c>
      <c r="E3935" s="109"/>
      <c r="F3935" s="391" t="s">
        <v>22309</v>
      </c>
      <c r="G3935" s="23" t="s">
        <v>14782</v>
      </c>
      <c r="H3935" s="23" t="s">
        <v>6133</v>
      </c>
      <c r="I3935" s="23" t="s">
        <v>13888</v>
      </c>
      <c r="J3935" s="23"/>
      <c r="K3935" s="23"/>
      <c r="L3935" s="375" t="s">
        <v>45</v>
      </c>
      <c r="M3935" s="351" t="s">
        <v>45</v>
      </c>
      <c r="N3935" s="267">
        <f t="shared" si="943"/>
        <v>0</v>
      </c>
      <c r="O3935" s="268">
        <f t="shared" si="944"/>
        <v>200</v>
      </c>
      <c r="P3935" s="239"/>
      <c r="Q3935" s="239"/>
      <c r="R3935" s="239"/>
      <c r="S3935" s="239"/>
      <c r="T3935" s="239"/>
      <c r="U3935" s="239">
        <f>1700+700-300-600-400-500-400</f>
        <v>200</v>
      </c>
      <c r="V3935" s="239"/>
      <c r="W3935" s="240"/>
      <c r="X3935" s="278"/>
      <c r="Y3935" s="237"/>
      <c r="Z3935" s="237"/>
      <c r="AA3935" s="247"/>
      <c r="AB3935" s="238" t="s">
        <v>27308</v>
      </c>
      <c r="AC3935" s="196">
        <f t="shared" si="936"/>
        <v>200</v>
      </c>
      <c r="AD3935" s="196">
        <f t="shared" si="937"/>
        <v>200</v>
      </c>
      <c r="AE3935" s="196">
        <f t="shared" si="938"/>
        <v>0</v>
      </c>
      <c r="AF3935" s="2">
        <f t="shared" si="939"/>
        <v>200</v>
      </c>
      <c r="AG3935" s="2">
        <f t="shared" si="940"/>
        <v>0</v>
      </c>
    </row>
    <row r="3936" spans="1:33">
      <c r="A3936" s="20" t="s">
        <v>2871</v>
      </c>
      <c r="B3936" s="150"/>
      <c r="C3936" s="21" t="s">
        <v>653</v>
      </c>
      <c r="D3936" s="109" t="s">
        <v>4059</v>
      </c>
      <c r="E3936" s="109"/>
      <c r="F3936" s="391" t="s">
        <v>24349</v>
      </c>
      <c r="G3936" s="23" t="s">
        <v>11432</v>
      </c>
      <c r="H3936" s="23"/>
      <c r="I3936" s="23"/>
      <c r="J3936" s="23"/>
      <c r="K3936" s="23"/>
      <c r="L3936" s="375" t="s">
        <v>7787</v>
      </c>
      <c r="M3936" s="351" t="s">
        <v>7787</v>
      </c>
      <c r="N3936" s="267">
        <f t="shared" ref="N3936" si="965">SUM(L3936:M3936)</f>
        <v>0</v>
      </c>
      <c r="O3936" s="268">
        <f t="shared" ref="O3936" si="966">SUM(P3936:Z3936)</f>
        <v>0</v>
      </c>
      <c r="P3936" s="239"/>
      <c r="Q3936" s="239"/>
      <c r="R3936" s="239"/>
      <c r="S3936" s="239"/>
      <c r="T3936" s="239"/>
      <c r="U3936" s="239"/>
      <c r="V3936" s="239"/>
      <c r="W3936" s="240"/>
      <c r="X3936" s="278"/>
      <c r="Y3936" s="243"/>
      <c r="Z3936" s="237"/>
      <c r="AA3936" s="247"/>
      <c r="AB3936" s="238"/>
      <c r="AC3936" s="196">
        <f t="shared" si="936"/>
        <v>0</v>
      </c>
      <c r="AD3936" s="196">
        <f t="shared" si="937"/>
        <v>0</v>
      </c>
      <c r="AE3936" s="196">
        <f t="shared" si="938"/>
        <v>0</v>
      </c>
      <c r="AF3936" s="2">
        <f t="shared" si="939"/>
        <v>0</v>
      </c>
      <c r="AG3936" s="2">
        <f t="shared" si="940"/>
        <v>0</v>
      </c>
    </row>
    <row r="3937" spans="1:33">
      <c r="A3937" s="20" t="s">
        <v>22368</v>
      </c>
      <c r="B3937" s="150"/>
      <c r="C3937" s="21" t="s">
        <v>22457</v>
      </c>
      <c r="D3937" s="109" t="s">
        <v>3137</v>
      </c>
      <c r="E3937" s="109"/>
      <c r="F3937" s="391" t="s">
        <v>21091</v>
      </c>
      <c r="G3937" s="23" t="s">
        <v>6133</v>
      </c>
      <c r="H3937" s="23" t="s">
        <v>25804</v>
      </c>
      <c r="I3937" s="23"/>
      <c r="J3937" s="23"/>
      <c r="K3937" s="23"/>
      <c r="L3937" s="375" t="s">
        <v>27870</v>
      </c>
      <c r="M3937" s="351" t="s">
        <v>7787</v>
      </c>
      <c r="N3937" s="267">
        <f t="shared" si="943"/>
        <v>0</v>
      </c>
      <c r="O3937" s="268">
        <f t="shared" si="944"/>
        <v>1000</v>
      </c>
      <c r="P3937" s="239"/>
      <c r="Q3937" s="239">
        <v>1000</v>
      </c>
      <c r="R3937" s="239"/>
      <c r="S3937" s="239"/>
      <c r="T3937" s="239"/>
      <c r="U3937" s="240"/>
      <c r="V3937" s="239"/>
      <c r="W3937" s="240"/>
      <c r="X3937" s="278"/>
      <c r="Y3937" s="239"/>
      <c r="Z3937" s="237"/>
      <c r="AA3937" s="247"/>
      <c r="AB3937" s="238" t="s">
        <v>28018</v>
      </c>
      <c r="AC3937" s="196">
        <f t="shared" si="936"/>
        <v>1000</v>
      </c>
      <c r="AD3937" s="196">
        <f t="shared" si="937"/>
        <v>1000</v>
      </c>
      <c r="AE3937" s="196">
        <f t="shared" si="938"/>
        <v>0</v>
      </c>
      <c r="AF3937" s="2">
        <f t="shared" si="939"/>
        <v>1000</v>
      </c>
      <c r="AG3937" s="2">
        <f t="shared" si="940"/>
        <v>0</v>
      </c>
    </row>
    <row r="3938" spans="1:33">
      <c r="A3938" s="20" t="s">
        <v>22349</v>
      </c>
      <c r="B3938" s="150"/>
      <c r="C3938" s="21" t="s">
        <v>22400</v>
      </c>
      <c r="D3938" s="109" t="s">
        <v>3137</v>
      </c>
      <c r="E3938" s="109"/>
      <c r="F3938" s="391" t="s">
        <v>22407</v>
      </c>
      <c r="G3938" s="23" t="s">
        <v>22401</v>
      </c>
      <c r="H3938" s="23" t="s">
        <v>22393</v>
      </c>
      <c r="I3938" s="23"/>
      <c r="J3938" s="23"/>
      <c r="K3938" s="23"/>
      <c r="L3938" s="375" t="s">
        <v>45</v>
      </c>
      <c r="M3938" s="351" t="s">
        <v>45</v>
      </c>
      <c r="N3938" s="267">
        <f t="shared" si="943"/>
        <v>0</v>
      </c>
      <c r="O3938" s="268">
        <f t="shared" si="944"/>
        <v>250</v>
      </c>
      <c r="P3938" s="239"/>
      <c r="Q3938" s="239"/>
      <c r="R3938" s="239"/>
      <c r="S3938" s="239"/>
      <c r="T3938" s="239"/>
      <c r="U3938" s="240">
        <f>950-300-200-200+1000-300-400-200-100</f>
        <v>250</v>
      </c>
      <c r="V3938" s="239"/>
      <c r="W3938" s="240"/>
      <c r="X3938" s="278"/>
      <c r="Y3938" s="237"/>
      <c r="Z3938" s="237"/>
      <c r="AA3938" s="247"/>
      <c r="AB3938" s="238" t="s">
        <v>26216</v>
      </c>
      <c r="AC3938" s="196">
        <f t="shared" si="936"/>
        <v>250</v>
      </c>
      <c r="AD3938" s="196">
        <f t="shared" si="937"/>
        <v>250</v>
      </c>
      <c r="AE3938" s="196">
        <f t="shared" si="938"/>
        <v>0</v>
      </c>
      <c r="AF3938" s="2">
        <f t="shared" si="939"/>
        <v>250</v>
      </c>
      <c r="AG3938" s="2">
        <f t="shared" si="940"/>
        <v>0</v>
      </c>
    </row>
    <row r="3939" spans="1:33">
      <c r="A3939" s="20" t="s">
        <v>22472</v>
      </c>
      <c r="B3939" s="150"/>
      <c r="C3939" s="21" t="s">
        <v>22508</v>
      </c>
      <c r="D3939" s="109" t="s">
        <v>22509</v>
      </c>
      <c r="E3939" s="109"/>
      <c r="F3939" s="391" t="s">
        <v>22523</v>
      </c>
      <c r="G3939" s="23" t="s">
        <v>13565</v>
      </c>
      <c r="H3939" s="23"/>
      <c r="I3939" s="23"/>
      <c r="J3939" s="23"/>
      <c r="K3939" s="23"/>
      <c r="L3939" s="375" t="s">
        <v>45</v>
      </c>
      <c r="M3939" s="351" t="s">
        <v>7787</v>
      </c>
      <c r="N3939" s="267">
        <f t="shared" si="943"/>
        <v>0</v>
      </c>
      <c r="O3939" s="268">
        <f t="shared" si="944"/>
        <v>1000</v>
      </c>
      <c r="P3939" s="239"/>
      <c r="Q3939" s="239"/>
      <c r="R3939" s="239"/>
      <c r="S3939" s="239"/>
      <c r="T3939" s="239"/>
      <c r="U3939" s="240"/>
      <c r="V3939" s="239">
        <f>900-800+900</f>
        <v>1000</v>
      </c>
      <c r="W3939" s="240"/>
      <c r="X3939" s="278"/>
      <c r="Y3939" s="237"/>
      <c r="Z3939" s="237"/>
      <c r="AA3939" s="247"/>
      <c r="AB3939" s="238" t="s">
        <v>25957</v>
      </c>
      <c r="AC3939" s="196">
        <f t="shared" si="936"/>
        <v>1000</v>
      </c>
      <c r="AD3939" s="196">
        <f t="shared" si="937"/>
        <v>1000</v>
      </c>
      <c r="AE3939" s="196">
        <f t="shared" si="938"/>
        <v>0</v>
      </c>
      <c r="AF3939" s="2">
        <f t="shared" si="939"/>
        <v>1000</v>
      </c>
      <c r="AG3939" s="2">
        <f t="shared" si="940"/>
        <v>0</v>
      </c>
    </row>
    <row r="3940" spans="1:33">
      <c r="A3940" s="20" t="s">
        <v>2911</v>
      </c>
      <c r="B3940" s="150"/>
      <c r="C3940" s="21" t="s">
        <v>702</v>
      </c>
      <c r="D3940" s="109" t="s">
        <v>16216</v>
      </c>
      <c r="E3940" s="109" t="s">
        <v>16880</v>
      </c>
      <c r="F3940" s="391" t="s">
        <v>16903</v>
      </c>
      <c r="G3940" s="23"/>
      <c r="H3940" s="23"/>
      <c r="I3940" s="23"/>
      <c r="J3940" s="23"/>
      <c r="K3940" s="23"/>
      <c r="L3940" s="350"/>
      <c r="M3940" s="351"/>
      <c r="N3940" s="267">
        <f t="shared" si="943"/>
        <v>0</v>
      </c>
      <c r="O3940" s="268">
        <f t="shared" si="944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6"/>
        <v>0</v>
      </c>
      <c r="AD3940" s="196">
        <f t="shared" si="937"/>
        <v>0</v>
      </c>
      <c r="AE3940" s="196">
        <f t="shared" si="938"/>
        <v>0</v>
      </c>
      <c r="AF3940" s="2">
        <f t="shared" si="939"/>
        <v>0</v>
      </c>
      <c r="AG3940" s="2">
        <f t="shared" si="940"/>
        <v>0</v>
      </c>
    </row>
    <row r="3941" spans="1:33">
      <c r="A3941" s="20" t="s">
        <v>2909</v>
      </c>
      <c r="B3941" s="150"/>
      <c r="C3941" s="21" t="s">
        <v>702</v>
      </c>
      <c r="D3941" s="109" t="s">
        <v>16376</v>
      </c>
      <c r="E3941" s="109" t="s">
        <v>16658</v>
      </c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43"/>
        <v>0</v>
      </c>
      <c r="O3941" s="268">
        <f t="shared" si="944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37"/>
      <c r="Z3941" s="237"/>
      <c r="AA3941" s="279"/>
      <c r="AB3941" s="238"/>
      <c r="AC3941" s="196">
        <f t="shared" si="936"/>
        <v>0</v>
      </c>
      <c r="AD3941" s="196">
        <f t="shared" si="937"/>
        <v>0</v>
      </c>
      <c r="AE3941" s="196">
        <f t="shared" si="938"/>
        <v>0</v>
      </c>
      <c r="AF3941" s="2">
        <f t="shared" si="939"/>
        <v>0</v>
      </c>
      <c r="AG3941" s="2">
        <f t="shared" si="940"/>
        <v>0</v>
      </c>
    </row>
    <row r="3942" spans="1:33">
      <c r="A3942" s="20" t="s">
        <v>2910</v>
      </c>
      <c r="B3942" s="150"/>
      <c r="C3942" s="21" t="s">
        <v>702</v>
      </c>
      <c r="D3942" s="109" t="s">
        <v>16376</v>
      </c>
      <c r="E3942" s="109" t="s">
        <v>15965</v>
      </c>
      <c r="F3942" s="391" t="s">
        <v>16903</v>
      </c>
      <c r="G3942" s="23" t="s">
        <v>16070</v>
      </c>
      <c r="H3942" s="23"/>
      <c r="I3942" s="23"/>
      <c r="J3942" s="23"/>
      <c r="K3942" s="23"/>
      <c r="L3942" s="350"/>
      <c r="M3942" s="351"/>
      <c r="N3942" s="267">
        <f t="shared" si="943"/>
        <v>0</v>
      </c>
      <c r="O3942" s="268">
        <f t="shared" si="944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37"/>
      <c r="Z3942" s="237"/>
      <c r="AA3942" s="279"/>
      <c r="AB3942" s="238"/>
      <c r="AC3942" s="196">
        <f t="shared" si="936"/>
        <v>0</v>
      </c>
      <c r="AD3942" s="196">
        <f t="shared" si="937"/>
        <v>0</v>
      </c>
      <c r="AE3942" s="196">
        <f t="shared" si="938"/>
        <v>0</v>
      </c>
      <c r="AF3942" s="2">
        <f t="shared" si="939"/>
        <v>0</v>
      </c>
      <c r="AG3942" s="2">
        <f t="shared" si="940"/>
        <v>0</v>
      </c>
    </row>
    <row r="3943" spans="1:33">
      <c r="A3943" s="20" t="s">
        <v>2903</v>
      </c>
      <c r="B3943" s="150"/>
      <c r="C3943" s="21" t="s">
        <v>702</v>
      </c>
      <c r="D3943" s="109" t="s">
        <v>16251</v>
      </c>
      <c r="E3943" s="109"/>
      <c r="F3943" s="391" t="s">
        <v>16903</v>
      </c>
      <c r="G3943" s="23"/>
      <c r="H3943" s="23"/>
      <c r="I3943" s="23"/>
      <c r="J3943" s="23"/>
      <c r="K3943" s="23"/>
      <c r="L3943" s="350"/>
      <c r="M3943" s="351"/>
      <c r="N3943" s="267">
        <f t="shared" si="943"/>
        <v>0</v>
      </c>
      <c r="O3943" s="268">
        <f t="shared" si="944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37"/>
      <c r="Z3943" s="237"/>
      <c r="AA3943" s="279"/>
      <c r="AB3943" s="238"/>
      <c r="AC3943" s="196">
        <f t="shared" si="936"/>
        <v>0</v>
      </c>
      <c r="AD3943" s="196">
        <f t="shared" si="937"/>
        <v>0</v>
      </c>
      <c r="AE3943" s="196">
        <f t="shared" si="938"/>
        <v>0</v>
      </c>
      <c r="AF3943" s="2">
        <f t="shared" si="939"/>
        <v>0</v>
      </c>
      <c r="AG3943" s="2">
        <f t="shared" si="940"/>
        <v>0</v>
      </c>
    </row>
    <row r="3944" spans="1:33">
      <c r="A3944" s="20" t="s">
        <v>2904</v>
      </c>
      <c r="B3944" s="150"/>
      <c r="C3944" s="21" t="s">
        <v>702</v>
      </c>
      <c r="D3944" s="109" t="s">
        <v>16851</v>
      </c>
      <c r="E3944" s="109"/>
      <c r="F3944" s="391" t="s">
        <v>16903</v>
      </c>
      <c r="G3944" s="23"/>
      <c r="H3944" s="23"/>
      <c r="I3944" s="23"/>
      <c r="J3944" s="23"/>
      <c r="K3944" s="23"/>
      <c r="L3944" s="350"/>
      <c r="M3944" s="351"/>
      <c r="N3944" s="267">
        <f t="shared" si="943"/>
        <v>0</v>
      </c>
      <c r="O3944" s="268">
        <f t="shared" si="944"/>
        <v>0</v>
      </c>
      <c r="P3944" s="239"/>
      <c r="Q3944" s="239"/>
      <c r="R3944" s="239"/>
      <c r="S3944" s="239"/>
      <c r="T3944" s="239"/>
      <c r="U3944" s="240"/>
      <c r="V3944" s="240"/>
      <c r="W3944" s="240"/>
      <c r="X3944" s="278"/>
      <c r="Y3944" s="243"/>
      <c r="Z3944" s="237"/>
      <c r="AA3944" s="279"/>
      <c r="AB3944" s="238"/>
      <c r="AC3944" s="196">
        <f t="shared" si="936"/>
        <v>0</v>
      </c>
      <c r="AD3944" s="196">
        <f t="shared" si="937"/>
        <v>0</v>
      </c>
      <c r="AE3944" s="196">
        <f t="shared" si="938"/>
        <v>0</v>
      </c>
      <c r="AF3944" s="2">
        <f t="shared" si="939"/>
        <v>0</v>
      </c>
      <c r="AG3944" s="2">
        <f t="shared" si="940"/>
        <v>0</v>
      </c>
    </row>
    <row r="3945" spans="1:33">
      <c r="A3945" s="20" t="s">
        <v>2905</v>
      </c>
      <c r="B3945" s="150"/>
      <c r="C3945" s="21" t="s">
        <v>702</v>
      </c>
      <c r="D3945" s="109" t="s">
        <v>15161</v>
      </c>
      <c r="E3945" s="109"/>
      <c r="F3945" s="391" t="s">
        <v>16903</v>
      </c>
      <c r="G3945" s="23" t="s">
        <v>16141</v>
      </c>
      <c r="H3945" s="23" t="s">
        <v>16454</v>
      </c>
      <c r="I3945" s="23"/>
      <c r="J3945" s="23"/>
      <c r="K3945" s="23"/>
      <c r="L3945" s="350"/>
      <c r="M3945" s="351"/>
      <c r="N3945" s="267">
        <f t="shared" si="943"/>
        <v>0</v>
      </c>
      <c r="O3945" s="268">
        <f t="shared" si="944"/>
        <v>0</v>
      </c>
      <c r="P3945" s="239"/>
      <c r="Q3945" s="239"/>
      <c r="R3945" s="239"/>
      <c r="S3945" s="239"/>
      <c r="T3945" s="239"/>
      <c r="U3945" s="240"/>
      <c r="V3945" s="240"/>
      <c r="W3945" s="240"/>
      <c r="X3945" s="278"/>
      <c r="Y3945" s="243"/>
      <c r="Z3945" s="237"/>
      <c r="AA3945" s="285"/>
      <c r="AB3945" s="238"/>
      <c r="AC3945" s="196">
        <f t="shared" si="936"/>
        <v>0</v>
      </c>
      <c r="AD3945" s="196">
        <f t="shared" si="937"/>
        <v>0</v>
      </c>
      <c r="AE3945" s="196">
        <f t="shared" si="938"/>
        <v>0</v>
      </c>
      <c r="AF3945" s="2">
        <f t="shared" si="939"/>
        <v>0</v>
      </c>
      <c r="AG3945" s="2">
        <f t="shared" si="940"/>
        <v>0</v>
      </c>
    </row>
    <row r="3946" spans="1:33">
      <c r="A3946" s="20" t="s">
        <v>2906</v>
      </c>
      <c r="B3946" s="156" t="s">
        <v>5895</v>
      </c>
      <c r="C3946" s="21" t="s">
        <v>702</v>
      </c>
      <c r="D3946" s="109" t="s">
        <v>15167</v>
      </c>
      <c r="E3946" s="109"/>
      <c r="F3946" s="391" t="s">
        <v>16904</v>
      </c>
      <c r="G3946" s="23" t="s">
        <v>16291</v>
      </c>
      <c r="H3946" s="23" t="s">
        <v>16183</v>
      </c>
      <c r="I3946" s="23" t="s">
        <v>16379</v>
      </c>
      <c r="J3946" s="23" t="s">
        <v>16557</v>
      </c>
      <c r="K3946" s="23"/>
      <c r="L3946" s="375" t="s">
        <v>7787</v>
      </c>
      <c r="M3946" s="351" t="s">
        <v>7787</v>
      </c>
      <c r="N3946" s="267">
        <f t="shared" si="943"/>
        <v>0</v>
      </c>
      <c r="O3946" s="268">
        <f t="shared" si="944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6"/>
        <v>0</v>
      </c>
      <c r="AD3946" s="196">
        <f t="shared" si="937"/>
        <v>0</v>
      </c>
      <c r="AE3946" s="196">
        <f t="shared" si="938"/>
        <v>0</v>
      </c>
      <c r="AF3946" s="2">
        <f t="shared" si="939"/>
        <v>0</v>
      </c>
      <c r="AG3946" s="2">
        <f t="shared" si="940"/>
        <v>0</v>
      </c>
    </row>
    <row r="3947" spans="1:33">
      <c r="A3947" s="20" t="s">
        <v>2912</v>
      </c>
      <c r="B3947" s="150"/>
      <c r="C3947" s="21" t="s">
        <v>702</v>
      </c>
      <c r="D3947" s="109" t="s">
        <v>15167</v>
      </c>
      <c r="E3947" s="109"/>
      <c r="F3947" s="391" t="s">
        <v>16903</v>
      </c>
      <c r="G3947" s="23"/>
      <c r="H3947" s="23"/>
      <c r="I3947" s="23"/>
      <c r="J3947" s="23"/>
      <c r="K3947" s="23"/>
      <c r="L3947" s="350"/>
      <c r="M3947" s="351"/>
      <c r="N3947" s="267">
        <f t="shared" si="943"/>
        <v>0</v>
      </c>
      <c r="O3947" s="268">
        <f t="shared" si="944"/>
        <v>0</v>
      </c>
      <c r="P3947" s="242"/>
      <c r="Q3947" s="242"/>
      <c r="R3947" s="242"/>
      <c r="S3947" s="242"/>
      <c r="T3947" s="242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6"/>
        <v>0</v>
      </c>
      <c r="AD3947" s="196">
        <f t="shared" si="937"/>
        <v>0</v>
      </c>
      <c r="AE3947" s="196">
        <f t="shared" si="938"/>
        <v>0</v>
      </c>
      <c r="AF3947" s="2">
        <f t="shared" si="939"/>
        <v>0</v>
      </c>
      <c r="AG3947" s="2">
        <f t="shared" si="940"/>
        <v>0</v>
      </c>
    </row>
    <row r="3948" spans="1:33">
      <c r="A3948" s="20" t="s">
        <v>2908</v>
      </c>
      <c r="B3948" s="150"/>
      <c r="C3948" s="21" t="s">
        <v>702</v>
      </c>
      <c r="D3948" s="109" t="s">
        <v>16363</v>
      </c>
      <c r="E3948" s="109"/>
      <c r="F3948" s="391" t="s">
        <v>16903</v>
      </c>
      <c r="G3948" s="23"/>
      <c r="H3948" s="23"/>
      <c r="I3948" s="23"/>
      <c r="J3948" s="23"/>
      <c r="K3948" s="23"/>
      <c r="L3948" s="350"/>
      <c r="M3948" s="351"/>
      <c r="N3948" s="267">
        <f t="shared" si="943"/>
        <v>0</v>
      </c>
      <c r="O3948" s="268">
        <f t="shared" si="944"/>
        <v>0</v>
      </c>
      <c r="P3948" s="239"/>
      <c r="Q3948" s="239"/>
      <c r="R3948" s="239"/>
      <c r="S3948" s="239"/>
      <c r="T3948" s="239"/>
      <c r="U3948" s="240"/>
      <c r="V3948" s="240"/>
      <c r="W3948" s="240"/>
      <c r="X3948" s="278"/>
      <c r="Y3948" s="237"/>
      <c r="Z3948" s="237"/>
      <c r="AA3948" s="279"/>
      <c r="AB3948" s="238"/>
      <c r="AC3948" s="196">
        <f t="shared" si="936"/>
        <v>0</v>
      </c>
      <c r="AD3948" s="196">
        <f t="shared" si="937"/>
        <v>0</v>
      </c>
      <c r="AE3948" s="196">
        <f t="shared" si="938"/>
        <v>0</v>
      </c>
      <c r="AF3948" s="2">
        <f t="shared" si="939"/>
        <v>0</v>
      </c>
      <c r="AG3948" s="2">
        <f t="shared" si="940"/>
        <v>0</v>
      </c>
    </row>
    <row r="3949" spans="1:33">
      <c r="A3949" s="20" t="s">
        <v>2907</v>
      </c>
      <c r="B3949" s="161"/>
      <c r="C3949" s="21" t="s">
        <v>702</v>
      </c>
      <c r="D3949" s="109" t="s">
        <v>16458</v>
      </c>
      <c r="E3949" s="109"/>
      <c r="F3949" s="391" t="s">
        <v>16904</v>
      </c>
      <c r="G3949" s="23" t="s">
        <v>16070</v>
      </c>
      <c r="H3949" s="23"/>
      <c r="I3949" s="23"/>
      <c r="J3949" s="23"/>
      <c r="K3949" s="23"/>
      <c r="L3949" s="350"/>
      <c r="M3949" s="351"/>
      <c r="N3949" s="267">
        <f t="shared" si="943"/>
        <v>0</v>
      </c>
      <c r="O3949" s="268">
        <f t="shared" si="944"/>
        <v>0</v>
      </c>
      <c r="P3949" s="239"/>
      <c r="Q3949" s="239"/>
      <c r="R3949" s="239"/>
      <c r="S3949" s="239"/>
      <c r="T3949" s="239"/>
      <c r="U3949" s="240"/>
      <c r="V3949" s="240"/>
      <c r="W3949" s="240"/>
      <c r="X3949" s="278"/>
      <c r="Y3949" s="237"/>
      <c r="Z3949" s="237"/>
      <c r="AA3949" s="279"/>
      <c r="AB3949" s="238"/>
      <c r="AC3949" s="196">
        <f t="shared" si="936"/>
        <v>0</v>
      </c>
      <c r="AD3949" s="196">
        <f t="shared" si="937"/>
        <v>0</v>
      </c>
      <c r="AE3949" s="196">
        <f t="shared" si="938"/>
        <v>0</v>
      </c>
      <c r="AF3949" s="2">
        <f t="shared" si="939"/>
        <v>0</v>
      </c>
      <c r="AG3949" s="2">
        <f t="shared" si="940"/>
        <v>0</v>
      </c>
    </row>
    <row r="3950" spans="1:33">
      <c r="A3950" s="20" t="s">
        <v>2913</v>
      </c>
      <c r="B3950" s="161"/>
      <c r="C3950" s="21" t="s">
        <v>850</v>
      </c>
      <c r="D3950" s="109" t="s">
        <v>15161</v>
      </c>
      <c r="E3950" s="109"/>
      <c r="F3950" s="391" t="s">
        <v>16905</v>
      </c>
      <c r="G3950" s="23"/>
      <c r="H3950" s="23"/>
      <c r="I3950" s="23"/>
      <c r="J3950" s="23"/>
      <c r="K3950" s="23"/>
      <c r="L3950" s="350"/>
      <c r="M3950" s="351"/>
      <c r="N3950" s="267">
        <f t="shared" si="943"/>
        <v>0</v>
      </c>
      <c r="O3950" s="268">
        <f t="shared" si="944"/>
        <v>0</v>
      </c>
      <c r="P3950" s="239"/>
      <c r="Q3950" s="239"/>
      <c r="R3950" s="239"/>
      <c r="S3950" s="239"/>
      <c r="T3950" s="239"/>
      <c r="U3950" s="240"/>
      <c r="V3950" s="240"/>
      <c r="W3950" s="240"/>
      <c r="X3950" s="278"/>
      <c r="Y3950" s="237"/>
      <c r="Z3950" s="237"/>
      <c r="AA3950" s="279"/>
      <c r="AB3950" s="238"/>
      <c r="AC3950" s="196">
        <f t="shared" si="936"/>
        <v>0</v>
      </c>
      <c r="AD3950" s="196">
        <f t="shared" si="937"/>
        <v>0</v>
      </c>
      <c r="AE3950" s="196">
        <f t="shared" si="938"/>
        <v>0</v>
      </c>
      <c r="AF3950" s="2">
        <f t="shared" si="939"/>
        <v>0</v>
      </c>
      <c r="AG3950" s="2">
        <f t="shared" si="940"/>
        <v>0</v>
      </c>
    </row>
    <row r="3951" spans="1:33">
      <c r="A3951" s="20" t="s">
        <v>22786</v>
      </c>
      <c r="B3951" s="161"/>
      <c r="C3951" s="21" t="s">
        <v>22877</v>
      </c>
      <c r="D3951" s="109" t="s">
        <v>22878</v>
      </c>
      <c r="E3951" s="109" t="s">
        <v>23125</v>
      </c>
      <c r="F3951" s="391" t="s">
        <v>22879</v>
      </c>
      <c r="G3951" s="23" t="s">
        <v>25332</v>
      </c>
      <c r="H3951" s="23"/>
      <c r="I3951" s="23"/>
      <c r="J3951" s="23"/>
      <c r="K3951" s="23"/>
      <c r="L3951" s="375" t="s">
        <v>45</v>
      </c>
      <c r="M3951" s="351" t="s">
        <v>45</v>
      </c>
      <c r="N3951" s="267">
        <f t="shared" si="943"/>
        <v>0</v>
      </c>
      <c r="O3951" s="268">
        <f t="shared" si="944"/>
        <v>100</v>
      </c>
      <c r="P3951" s="239"/>
      <c r="Q3951" s="239"/>
      <c r="R3951" s="239"/>
      <c r="S3951" s="239"/>
      <c r="T3951" s="239"/>
      <c r="U3951" s="240">
        <f>1400-1000-300</f>
        <v>100</v>
      </c>
      <c r="V3951" s="240"/>
      <c r="W3951" s="240"/>
      <c r="X3951" s="278"/>
      <c r="Y3951" s="237"/>
      <c r="Z3951" s="237"/>
      <c r="AA3951" s="279"/>
      <c r="AB3951" s="238" t="s">
        <v>25333</v>
      </c>
      <c r="AC3951" s="196">
        <f t="shared" si="936"/>
        <v>100</v>
      </c>
      <c r="AD3951" s="196">
        <f t="shared" si="937"/>
        <v>100</v>
      </c>
      <c r="AE3951" s="196">
        <f t="shared" si="938"/>
        <v>0</v>
      </c>
      <c r="AF3951" s="2">
        <f t="shared" si="939"/>
        <v>100</v>
      </c>
      <c r="AG3951" s="2">
        <f t="shared" si="940"/>
        <v>0</v>
      </c>
    </row>
    <row r="3952" spans="1:33">
      <c r="A3952" s="20" t="s">
        <v>2868</v>
      </c>
      <c r="B3952" s="161"/>
      <c r="C3952" s="21" t="s">
        <v>651</v>
      </c>
      <c r="D3952" s="109" t="s">
        <v>15161</v>
      </c>
      <c r="E3952" s="109"/>
      <c r="F3952" s="391" t="s">
        <v>25292</v>
      </c>
      <c r="G3952" s="23" t="s">
        <v>17297</v>
      </c>
      <c r="H3952" s="23"/>
      <c r="I3952" s="23"/>
      <c r="J3952" s="23"/>
      <c r="K3952" s="23"/>
      <c r="L3952" s="375" t="s">
        <v>45</v>
      </c>
      <c r="M3952" s="351"/>
      <c r="N3952" s="267">
        <f t="shared" si="943"/>
        <v>0</v>
      </c>
      <c r="O3952" s="268">
        <f t="shared" si="944"/>
        <v>100</v>
      </c>
      <c r="P3952" s="239"/>
      <c r="Q3952" s="239"/>
      <c r="R3952" s="239"/>
      <c r="S3952" s="239">
        <f>400+200-500</f>
        <v>100</v>
      </c>
      <c r="T3952" s="239"/>
      <c r="U3952" s="240"/>
      <c r="V3952" s="240"/>
      <c r="W3952" s="240"/>
      <c r="X3952" s="278"/>
      <c r="Y3952" s="237"/>
      <c r="Z3952" s="237"/>
      <c r="AA3952" s="279"/>
      <c r="AB3952" s="238" t="s">
        <v>25297</v>
      </c>
      <c r="AC3952" s="196">
        <f t="shared" si="936"/>
        <v>100</v>
      </c>
      <c r="AD3952" s="196">
        <f t="shared" si="937"/>
        <v>100</v>
      </c>
      <c r="AE3952" s="196">
        <f t="shared" si="938"/>
        <v>0</v>
      </c>
      <c r="AF3952" s="2">
        <f t="shared" si="939"/>
        <v>100</v>
      </c>
      <c r="AG3952" s="2">
        <f t="shared" si="940"/>
        <v>0</v>
      </c>
    </row>
    <row r="3953" spans="1:33">
      <c r="A3953" s="20" t="s">
        <v>7307</v>
      </c>
      <c r="B3953" s="150"/>
      <c r="C3953" s="21" t="s">
        <v>651</v>
      </c>
      <c r="D3953" s="109" t="s">
        <v>15167</v>
      </c>
      <c r="E3953" s="109"/>
      <c r="F3953" s="391" t="s">
        <v>16906</v>
      </c>
      <c r="G3953" s="23" t="s">
        <v>16907</v>
      </c>
      <c r="H3953" s="23"/>
      <c r="I3953" s="23"/>
      <c r="J3953" s="23"/>
      <c r="K3953" s="23"/>
      <c r="L3953" s="350"/>
      <c r="M3953" s="351"/>
      <c r="N3953" s="267">
        <f t="shared" si="943"/>
        <v>0</v>
      </c>
      <c r="O3953" s="268">
        <f t="shared" si="944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6"/>
        <v>0</v>
      </c>
      <c r="AD3953" s="196">
        <f t="shared" si="937"/>
        <v>0</v>
      </c>
      <c r="AE3953" s="196">
        <f t="shared" si="938"/>
        <v>0</v>
      </c>
      <c r="AF3953" s="2">
        <f t="shared" si="939"/>
        <v>0</v>
      </c>
      <c r="AG3953" s="2">
        <f t="shared" si="940"/>
        <v>0</v>
      </c>
    </row>
    <row r="3954" spans="1:33">
      <c r="A3954" s="20" t="s">
        <v>2869</v>
      </c>
      <c r="B3954" s="150"/>
      <c r="C3954" s="21" t="s">
        <v>651</v>
      </c>
      <c r="D3954" s="109" t="s">
        <v>16363</v>
      </c>
      <c r="E3954" s="109"/>
      <c r="F3954" s="391" t="s">
        <v>16908</v>
      </c>
      <c r="G3954" s="23" t="s">
        <v>20012</v>
      </c>
      <c r="H3954" s="23"/>
      <c r="I3954" s="23"/>
      <c r="J3954" s="23"/>
      <c r="K3954" s="23"/>
      <c r="L3954" s="375" t="s">
        <v>7787</v>
      </c>
      <c r="M3954" s="351" t="s">
        <v>7787</v>
      </c>
      <c r="N3954" s="267">
        <f t="shared" si="943"/>
        <v>0</v>
      </c>
      <c r="O3954" s="268">
        <f t="shared" si="944"/>
        <v>0</v>
      </c>
      <c r="P3954" s="239"/>
      <c r="Q3954" s="239"/>
      <c r="R3954" s="239"/>
      <c r="S3954" s="239"/>
      <c r="T3954" s="239"/>
      <c r="U3954" s="240"/>
      <c r="V3954" s="240"/>
      <c r="W3954" s="240"/>
      <c r="X3954" s="278"/>
      <c r="Y3954" s="237"/>
      <c r="Z3954" s="237"/>
      <c r="AA3954" s="279"/>
      <c r="AB3954" s="238"/>
      <c r="AC3954" s="196">
        <f t="shared" si="936"/>
        <v>0</v>
      </c>
      <c r="AD3954" s="196">
        <f t="shared" si="937"/>
        <v>0</v>
      </c>
      <c r="AE3954" s="196">
        <f t="shared" si="938"/>
        <v>0</v>
      </c>
      <c r="AF3954" s="2">
        <f t="shared" si="939"/>
        <v>0</v>
      </c>
      <c r="AG3954" s="2">
        <f t="shared" si="940"/>
        <v>0</v>
      </c>
    </row>
    <row r="3955" spans="1:33">
      <c r="A3955" s="20" t="s">
        <v>22565</v>
      </c>
      <c r="B3955" s="150"/>
      <c r="C3955" s="21" t="s">
        <v>22603</v>
      </c>
      <c r="D3955" s="109" t="s">
        <v>5979</v>
      </c>
      <c r="E3955" s="109"/>
      <c r="F3955" s="391" t="s">
        <v>22605</v>
      </c>
      <c r="G3955" s="23" t="s">
        <v>13565</v>
      </c>
      <c r="H3955" s="23"/>
      <c r="I3955" s="23"/>
      <c r="J3955" s="23"/>
      <c r="K3955" s="23"/>
      <c r="L3955" s="375" t="s">
        <v>7787</v>
      </c>
      <c r="M3955" s="351"/>
      <c r="N3955" s="267">
        <f t="shared" si="943"/>
        <v>0</v>
      </c>
      <c r="O3955" s="268">
        <f t="shared" si="944"/>
        <v>0</v>
      </c>
      <c r="P3955" s="239"/>
      <c r="Q3955" s="239"/>
      <c r="R3955" s="239"/>
      <c r="S3955" s="239"/>
      <c r="T3955" s="239"/>
      <c r="U3955" s="240"/>
      <c r="V3955" s="240"/>
      <c r="W3955" s="240"/>
      <c r="X3955" s="278"/>
      <c r="Y3955" s="237"/>
      <c r="Z3955" s="237"/>
      <c r="AA3955" s="279"/>
      <c r="AB3955" s="238"/>
      <c r="AC3955" s="196">
        <f t="shared" si="936"/>
        <v>0</v>
      </c>
      <c r="AD3955" s="196">
        <f t="shared" si="937"/>
        <v>0</v>
      </c>
      <c r="AE3955" s="196">
        <f t="shared" si="938"/>
        <v>0</v>
      </c>
      <c r="AF3955" s="2">
        <f t="shared" si="939"/>
        <v>0</v>
      </c>
      <c r="AG3955" s="2">
        <f t="shared" si="940"/>
        <v>0</v>
      </c>
    </row>
    <row r="3956" spans="1:33">
      <c r="A3956" s="20" t="s">
        <v>22566</v>
      </c>
      <c r="B3956" s="150"/>
      <c r="C3956" s="21" t="s">
        <v>22591</v>
      </c>
      <c r="D3956" s="109" t="s">
        <v>22593</v>
      </c>
      <c r="E3956" s="109" t="s">
        <v>22594</v>
      </c>
      <c r="F3956" s="391" t="s">
        <v>22605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/>
      <c r="N3956" s="267">
        <f t="shared" si="943"/>
        <v>0</v>
      </c>
      <c r="O3956" s="268">
        <f t="shared" si="944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36"/>
        <v>0</v>
      </c>
      <c r="AD3956" s="196">
        <f t="shared" si="937"/>
        <v>0</v>
      </c>
      <c r="AE3956" s="196">
        <f t="shared" si="938"/>
        <v>0</v>
      </c>
      <c r="AF3956" s="2">
        <f t="shared" si="939"/>
        <v>0</v>
      </c>
      <c r="AG3956" s="2">
        <f t="shared" si="940"/>
        <v>0</v>
      </c>
    </row>
    <row r="3957" spans="1:33">
      <c r="A3957" s="20" t="s">
        <v>22479</v>
      </c>
      <c r="B3957" s="150"/>
      <c r="C3957" s="21" t="s">
        <v>22555</v>
      </c>
      <c r="D3957" s="109" t="s">
        <v>22556</v>
      </c>
      <c r="E3957" s="109" t="s">
        <v>22557</v>
      </c>
      <c r="F3957" s="391" t="s">
        <v>22580</v>
      </c>
      <c r="G3957" s="23" t="s">
        <v>13565</v>
      </c>
      <c r="H3957" s="23"/>
      <c r="I3957" s="23"/>
      <c r="J3957" s="23"/>
      <c r="K3957" s="23"/>
      <c r="L3957" s="375" t="s">
        <v>27429</v>
      </c>
      <c r="M3957" s="351" t="s">
        <v>45</v>
      </c>
      <c r="N3957" s="267">
        <f t="shared" si="943"/>
        <v>0</v>
      </c>
      <c r="O3957" s="268">
        <f t="shared" si="944"/>
        <v>200</v>
      </c>
      <c r="P3957" s="239"/>
      <c r="Q3957" s="239"/>
      <c r="R3957" s="239"/>
      <c r="S3957" s="239"/>
      <c r="T3957" s="239"/>
      <c r="U3957" s="240"/>
      <c r="V3957" s="240">
        <f>1900-1000+5100+1400-5400-900+2200-2000-1100</f>
        <v>200</v>
      </c>
      <c r="W3957" s="240"/>
      <c r="X3957" s="278"/>
      <c r="Y3957" s="237"/>
      <c r="Z3957" s="237"/>
      <c r="AA3957" s="279"/>
      <c r="AB3957" s="238" t="s">
        <v>27426</v>
      </c>
      <c r="AC3957" s="196">
        <f t="shared" ref="AC3957:AC4021" si="967">SUM(P3957:AA3957)</f>
        <v>200</v>
      </c>
      <c r="AD3957" s="196">
        <f t="shared" ref="AD3957:AD4021" si="968">SUM(P3957:AB3957)</f>
        <v>200</v>
      </c>
      <c r="AE3957" s="196">
        <f t="shared" ref="AE3957:AE4021" si="969">SUM(AC3957-AD3957)</f>
        <v>0</v>
      </c>
      <c r="AF3957" s="2">
        <f t="shared" ref="AF3957:AF4021" si="970">+AC3957</f>
        <v>200</v>
      </c>
      <c r="AG3957" s="2">
        <f t="shared" ref="AG3957:AG4021" si="971">+AC3957-AF3957</f>
        <v>0</v>
      </c>
    </row>
    <row r="3958" spans="1:33">
      <c r="A3958" s="20" t="s">
        <v>22567</v>
      </c>
      <c r="B3958" s="150"/>
      <c r="C3958" s="21" t="s">
        <v>22592</v>
      </c>
      <c r="D3958" s="109" t="s">
        <v>22593</v>
      </c>
      <c r="E3958" s="109" t="s">
        <v>22594</v>
      </c>
      <c r="F3958" s="391" t="s">
        <v>22580</v>
      </c>
      <c r="G3958" s="23" t="s">
        <v>13565</v>
      </c>
      <c r="H3958" s="23"/>
      <c r="I3958" s="23"/>
      <c r="J3958" s="23"/>
      <c r="K3958" s="23"/>
      <c r="L3958" s="375" t="s">
        <v>7787</v>
      </c>
      <c r="M3958" s="351"/>
      <c r="N3958" s="267">
        <f t="shared" si="943"/>
        <v>0</v>
      </c>
      <c r="O3958" s="268">
        <f t="shared" si="944"/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37"/>
      <c r="Z3958" s="237"/>
      <c r="AA3958" s="279"/>
      <c r="AB3958" s="238"/>
      <c r="AC3958" s="196">
        <f t="shared" si="967"/>
        <v>0</v>
      </c>
      <c r="AD3958" s="196">
        <f t="shared" si="968"/>
        <v>0</v>
      </c>
      <c r="AE3958" s="196">
        <f t="shared" si="969"/>
        <v>0</v>
      </c>
      <c r="AF3958" s="2">
        <f t="shared" si="970"/>
        <v>0</v>
      </c>
      <c r="AG3958" s="2">
        <f t="shared" si="971"/>
        <v>0</v>
      </c>
    </row>
    <row r="3959" spans="1:33">
      <c r="A3959" s="20" t="s">
        <v>22700</v>
      </c>
      <c r="B3959" s="150"/>
      <c r="C3959" s="21" t="s">
        <v>22734</v>
      </c>
      <c r="D3959" s="109" t="s">
        <v>5979</v>
      </c>
      <c r="E3959" s="109" t="s">
        <v>19998</v>
      </c>
      <c r="F3959" s="391" t="s">
        <v>22743</v>
      </c>
      <c r="G3959" s="23" t="s">
        <v>13565</v>
      </c>
      <c r="H3959" s="23"/>
      <c r="I3959" s="23"/>
      <c r="J3959" s="23"/>
      <c r="K3959" s="23"/>
      <c r="L3959" s="375" t="s">
        <v>7787</v>
      </c>
      <c r="M3959" s="351" t="s">
        <v>7787</v>
      </c>
      <c r="N3959" s="267">
        <f t="shared" si="943"/>
        <v>0</v>
      </c>
      <c r="O3959" s="268">
        <f t="shared" si="944"/>
        <v>0</v>
      </c>
      <c r="P3959" s="239"/>
      <c r="Q3959" s="239"/>
      <c r="R3959" s="239"/>
      <c r="S3959" s="239"/>
      <c r="T3959" s="239"/>
      <c r="U3959" s="240"/>
      <c r="V3959" s="240"/>
      <c r="W3959" s="240"/>
      <c r="X3959" s="278"/>
      <c r="Y3959" s="237"/>
      <c r="Z3959" s="237"/>
      <c r="AA3959" s="279"/>
      <c r="AB3959" s="238"/>
      <c r="AC3959" s="196">
        <f t="shared" si="967"/>
        <v>0</v>
      </c>
      <c r="AD3959" s="196">
        <f t="shared" si="968"/>
        <v>0</v>
      </c>
      <c r="AE3959" s="196">
        <f t="shared" si="969"/>
        <v>0</v>
      </c>
      <c r="AF3959" s="2">
        <f t="shared" si="970"/>
        <v>0</v>
      </c>
      <c r="AG3959" s="2">
        <f t="shared" si="971"/>
        <v>0</v>
      </c>
    </row>
    <row r="3960" spans="1:33">
      <c r="A3960" s="20" t="s">
        <v>23202</v>
      </c>
      <c r="B3960" s="150"/>
      <c r="C3960" s="21" t="s">
        <v>23233</v>
      </c>
      <c r="D3960" s="109" t="s">
        <v>5979</v>
      </c>
      <c r="E3960" s="109"/>
      <c r="F3960" s="391" t="s">
        <v>23246</v>
      </c>
      <c r="G3960" s="23" t="s">
        <v>13565</v>
      </c>
      <c r="H3960" s="23"/>
      <c r="I3960" s="23"/>
      <c r="J3960" s="23"/>
      <c r="K3960" s="23"/>
      <c r="L3960" s="375" t="s">
        <v>7787</v>
      </c>
      <c r="M3960" s="351" t="s">
        <v>7787</v>
      </c>
      <c r="N3960" s="267">
        <f t="shared" si="943"/>
        <v>0</v>
      </c>
      <c r="O3960" s="268">
        <f t="shared" si="944"/>
        <v>0</v>
      </c>
      <c r="P3960" s="239"/>
      <c r="Q3960" s="239"/>
      <c r="R3960" s="239"/>
      <c r="S3960" s="239"/>
      <c r="T3960" s="239"/>
      <c r="U3960" s="240"/>
      <c r="V3960" s="240"/>
      <c r="W3960" s="240"/>
      <c r="X3960" s="278"/>
      <c r="Y3960" s="240"/>
      <c r="Z3960" s="237"/>
      <c r="AA3960" s="279"/>
      <c r="AB3960" s="238"/>
      <c r="AC3960" s="196">
        <f t="shared" si="967"/>
        <v>0</v>
      </c>
      <c r="AD3960" s="196">
        <f t="shared" si="968"/>
        <v>0</v>
      </c>
      <c r="AE3960" s="196">
        <f t="shared" si="969"/>
        <v>0</v>
      </c>
      <c r="AF3960" s="2">
        <f t="shared" si="970"/>
        <v>0</v>
      </c>
      <c r="AG3960" s="2">
        <f t="shared" si="971"/>
        <v>0</v>
      </c>
    </row>
    <row r="3961" spans="1:33">
      <c r="A3961" s="20" t="s">
        <v>22709</v>
      </c>
      <c r="B3961" s="150"/>
      <c r="C3961" s="21" t="s">
        <v>22764</v>
      </c>
      <c r="D3961" s="109" t="s">
        <v>3137</v>
      </c>
      <c r="E3961" s="109"/>
      <c r="F3961" s="391" t="s">
        <v>22765</v>
      </c>
      <c r="G3961" s="23" t="s">
        <v>13942</v>
      </c>
      <c r="H3961" s="23"/>
      <c r="I3961" s="23"/>
      <c r="J3961" s="23"/>
      <c r="K3961" s="23"/>
      <c r="L3961" s="375" t="s">
        <v>7787</v>
      </c>
      <c r="M3961" s="351"/>
      <c r="N3961" s="267">
        <f t="shared" ref="N3961:N4036" si="972">SUM(L3961:M3961)</f>
        <v>0</v>
      </c>
      <c r="O3961" s="268">
        <f t="shared" ref="O3961:O4036" si="973">SUM(P3961:Z3961)</f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7"/>
        <v>0</v>
      </c>
      <c r="AD3961" s="196">
        <f t="shared" si="968"/>
        <v>0</v>
      </c>
      <c r="AE3961" s="196">
        <f t="shared" si="969"/>
        <v>0</v>
      </c>
      <c r="AF3961" s="2">
        <f t="shared" si="970"/>
        <v>0</v>
      </c>
      <c r="AG3961" s="2">
        <f t="shared" si="971"/>
        <v>0</v>
      </c>
    </row>
    <row r="3962" spans="1:33">
      <c r="A3962" s="20" t="s">
        <v>22695</v>
      </c>
      <c r="B3962" s="150"/>
      <c r="C3962" s="21" t="s">
        <v>22712</v>
      </c>
      <c r="D3962" s="109" t="s">
        <v>5979</v>
      </c>
      <c r="E3962" s="109" t="s">
        <v>19998</v>
      </c>
      <c r="F3962" s="391" t="s">
        <v>22716</v>
      </c>
      <c r="G3962" s="23" t="s">
        <v>13565</v>
      </c>
      <c r="H3962" s="23"/>
      <c r="I3962" s="23"/>
      <c r="J3962" s="23"/>
      <c r="K3962" s="23"/>
      <c r="L3962" s="375"/>
      <c r="M3962" s="351" t="s">
        <v>45</v>
      </c>
      <c r="N3962" s="267">
        <f t="shared" si="972"/>
        <v>0</v>
      </c>
      <c r="O3962" s="268">
        <f t="shared" si="973"/>
        <v>400</v>
      </c>
      <c r="P3962" s="239"/>
      <c r="Q3962" s="239"/>
      <c r="R3962" s="239"/>
      <c r="S3962" s="239"/>
      <c r="T3962" s="239"/>
      <c r="U3962" s="240"/>
      <c r="V3962" s="240">
        <f>1400-1300+1100-800+900-100+800-1800+200</f>
        <v>400</v>
      </c>
      <c r="W3962" s="240"/>
      <c r="X3962" s="278"/>
      <c r="Y3962" s="237"/>
      <c r="Z3962" s="237"/>
      <c r="AA3962" s="279"/>
      <c r="AB3962" s="238" t="s">
        <v>26336</v>
      </c>
      <c r="AC3962" s="196">
        <f t="shared" si="967"/>
        <v>400</v>
      </c>
      <c r="AD3962" s="196">
        <f t="shared" si="968"/>
        <v>400</v>
      </c>
      <c r="AE3962" s="196">
        <f t="shared" si="969"/>
        <v>0</v>
      </c>
      <c r="AF3962" s="2">
        <f t="shared" si="970"/>
        <v>400</v>
      </c>
      <c r="AG3962" s="2">
        <f t="shared" si="971"/>
        <v>0</v>
      </c>
    </row>
    <row r="3963" spans="1:33">
      <c r="A3963" s="20" t="s">
        <v>22994</v>
      </c>
      <c r="B3963" s="150"/>
      <c r="C3963" s="21" t="s">
        <v>22712</v>
      </c>
      <c r="D3963" s="109" t="s">
        <v>5979</v>
      </c>
      <c r="E3963" s="109" t="s">
        <v>22594</v>
      </c>
      <c r="F3963" s="391" t="s">
        <v>22716</v>
      </c>
      <c r="G3963" s="23" t="s">
        <v>13565</v>
      </c>
      <c r="H3963" s="23"/>
      <c r="I3963" s="23"/>
      <c r="J3963" s="23"/>
      <c r="K3963" s="23"/>
      <c r="L3963" s="375" t="s">
        <v>7787</v>
      </c>
      <c r="M3963" s="351"/>
      <c r="N3963" s="267">
        <f t="shared" si="972"/>
        <v>0</v>
      </c>
      <c r="O3963" s="268">
        <f t="shared" si="973"/>
        <v>0</v>
      </c>
      <c r="P3963" s="239"/>
      <c r="Q3963" s="239"/>
      <c r="R3963" s="239"/>
      <c r="S3963" s="239"/>
      <c r="T3963" s="239"/>
      <c r="U3963" s="240"/>
      <c r="V3963" s="240"/>
      <c r="W3963" s="240"/>
      <c r="X3963" s="278"/>
      <c r="Y3963" s="237"/>
      <c r="Z3963" s="237"/>
      <c r="AA3963" s="279"/>
      <c r="AB3963" s="238"/>
      <c r="AC3963" s="196">
        <f t="shared" si="967"/>
        <v>0</v>
      </c>
      <c r="AD3963" s="196">
        <f t="shared" si="968"/>
        <v>0</v>
      </c>
      <c r="AE3963" s="196">
        <f t="shared" si="969"/>
        <v>0</v>
      </c>
      <c r="AF3963" s="2">
        <f t="shared" si="970"/>
        <v>0</v>
      </c>
      <c r="AG3963" s="2">
        <f t="shared" si="971"/>
        <v>0</v>
      </c>
    </row>
    <row r="3964" spans="1:33">
      <c r="A3964" s="20" t="s">
        <v>22704</v>
      </c>
      <c r="B3964" s="150"/>
      <c r="C3964" s="21" t="s">
        <v>22752</v>
      </c>
      <c r="D3964" s="109" t="s">
        <v>3137</v>
      </c>
      <c r="E3964" s="109" t="s">
        <v>22753</v>
      </c>
      <c r="F3964" s="391" t="s">
        <v>22756</v>
      </c>
      <c r="G3964" s="23" t="s">
        <v>6133</v>
      </c>
      <c r="H3964" s="23"/>
      <c r="I3964" s="23"/>
      <c r="J3964" s="23"/>
      <c r="K3964" s="23"/>
      <c r="L3964" s="375" t="s">
        <v>7787</v>
      </c>
      <c r="M3964" s="351" t="s">
        <v>7787</v>
      </c>
      <c r="N3964" s="267">
        <f t="shared" si="972"/>
        <v>0</v>
      </c>
      <c r="O3964" s="268">
        <f t="shared" si="973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7"/>
        <v>0</v>
      </c>
      <c r="AD3964" s="196">
        <f t="shared" si="968"/>
        <v>0</v>
      </c>
      <c r="AE3964" s="196">
        <f t="shared" si="969"/>
        <v>0</v>
      </c>
      <c r="AF3964" s="2">
        <f t="shared" si="970"/>
        <v>0</v>
      </c>
      <c r="AG3964" s="2">
        <f t="shared" si="971"/>
        <v>0</v>
      </c>
    </row>
    <row r="3965" spans="1:33">
      <c r="A3965" s="20" t="s">
        <v>22701</v>
      </c>
      <c r="B3965" s="150"/>
      <c r="C3965" s="21" t="s">
        <v>22741</v>
      </c>
      <c r="D3965" s="109" t="s">
        <v>5979</v>
      </c>
      <c r="E3965" s="109" t="s">
        <v>19998</v>
      </c>
      <c r="F3965" s="391" t="s">
        <v>22744</v>
      </c>
      <c r="G3965" s="23" t="s">
        <v>13565</v>
      </c>
      <c r="H3965" s="23"/>
      <c r="I3965" s="23"/>
      <c r="J3965" s="23"/>
      <c r="K3965" s="23"/>
      <c r="L3965" s="375" t="s">
        <v>7787</v>
      </c>
      <c r="M3965" s="351" t="s">
        <v>7787</v>
      </c>
      <c r="N3965" s="267">
        <f t="shared" si="972"/>
        <v>0</v>
      </c>
      <c r="O3965" s="268">
        <f t="shared" si="973"/>
        <v>6500</v>
      </c>
      <c r="P3965" s="239"/>
      <c r="Q3965" s="239"/>
      <c r="R3965" s="239"/>
      <c r="S3965" s="239"/>
      <c r="T3965" s="239"/>
      <c r="U3965" s="240"/>
      <c r="V3965" s="240">
        <f>1700-1600+2200+2800-3600+1500+3500</f>
        <v>6500</v>
      </c>
      <c r="W3965" s="240"/>
      <c r="X3965" s="278"/>
      <c r="Y3965" s="237"/>
      <c r="Z3965" s="237"/>
      <c r="AA3965" s="279"/>
      <c r="AB3965" s="238" t="s">
        <v>25092</v>
      </c>
      <c r="AC3965" s="196">
        <f t="shared" si="967"/>
        <v>6500</v>
      </c>
      <c r="AD3965" s="196">
        <f t="shared" si="968"/>
        <v>6500</v>
      </c>
      <c r="AE3965" s="196">
        <f t="shared" si="969"/>
        <v>0</v>
      </c>
      <c r="AF3965" s="2">
        <f t="shared" si="970"/>
        <v>6500</v>
      </c>
      <c r="AG3965" s="2">
        <f t="shared" si="971"/>
        <v>0</v>
      </c>
    </row>
    <row r="3966" spans="1:33">
      <c r="A3966" s="20" t="s">
        <v>22900</v>
      </c>
      <c r="B3966" s="150"/>
      <c r="C3966" s="21" t="s">
        <v>22960</v>
      </c>
      <c r="D3966" s="109" t="s">
        <v>5979</v>
      </c>
      <c r="E3966" s="109"/>
      <c r="F3966" s="391" t="s">
        <v>22965</v>
      </c>
      <c r="G3966" s="23" t="s">
        <v>13565</v>
      </c>
      <c r="H3966" s="23"/>
      <c r="I3966" s="23"/>
      <c r="J3966" s="23"/>
      <c r="K3966" s="23"/>
      <c r="L3966" s="375"/>
      <c r="M3966" s="351"/>
      <c r="N3966" s="267">
        <f t="shared" si="972"/>
        <v>0</v>
      </c>
      <c r="O3966" s="268">
        <f t="shared" si="973"/>
        <v>0</v>
      </c>
      <c r="P3966" s="239"/>
      <c r="Q3966" s="239"/>
      <c r="R3966" s="239"/>
      <c r="S3966" s="239"/>
      <c r="T3966" s="239"/>
      <c r="U3966" s="240"/>
      <c r="V3966" s="240"/>
      <c r="W3966" s="240"/>
      <c r="X3966" s="278"/>
      <c r="Y3966" s="237"/>
      <c r="Z3966" s="237"/>
      <c r="AA3966" s="279"/>
      <c r="AB3966" s="238"/>
      <c r="AC3966" s="196">
        <f t="shared" si="967"/>
        <v>0</v>
      </c>
      <c r="AD3966" s="196">
        <f t="shared" si="968"/>
        <v>0</v>
      </c>
      <c r="AE3966" s="196">
        <f t="shared" si="969"/>
        <v>0</v>
      </c>
      <c r="AF3966" s="2">
        <f t="shared" si="970"/>
        <v>0</v>
      </c>
      <c r="AG3966" s="2">
        <f t="shared" si="971"/>
        <v>0</v>
      </c>
    </row>
    <row r="3967" spans="1:33">
      <c r="A3967" s="20" t="s">
        <v>2187</v>
      </c>
      <c r="B3967" s="150"/>
      <c r="C3967" s="21" t="s">
        <v>380</v>
      </c>
      <c r="D3967" s="109" t="s">
        <v>15161</v>
      </c>
      <c r="E3967" s="109"/>
      <c r="F3967" s="391" t="s">
        <v>16909</v>
      </c>
      <c r="G3967" s="23" t="s">
        <v>16142</v>
      </c>
      <c r="H3967" s="23"/>
      <c r="I3967" s="23"/>
      <c r="J3967" s="23"/>
      <c r="K3967" s="23"/>
      <c r="L3967" s="350"/>
      <c r="M3967" s="351"/>
      <c r="N3967" s="267">
        <f t="shared" si="972"/>
        <v>0</v>
      </c>
      <c r="O3967" s="268">
        <f t="shared" si="973"/>
        <v>0</v>
      </c>
      <c r="P3967" s="239"/>
      <c r="Q3967" s="239"/>
      <c r="R3967" s="239"/>
      <c r="S3967" s="239"/>
      <c r="T3967" s="239"/>
      <c r="U3967" s="240"/>
      <c r="V3967" s="240"/>
      <c r="W3967" s="240"/>
      <c r="X3967" s="278"/>
      <c r="Y3967" s="237"/>
      <c r="Z3967" s="237"/>
      <c r="AA3967" s="279"/>
      <c r="AB3967" s="238"/>
      <c r="AC3967" s="196">
        <f t="shared" si="967"/>
        <v>0</v>
      </c>
      <c r="AD3967" s="196">
        <f t="shared" si="968"/>
        <v>0</v>
      </c>
      <c r="AE3967" s="196">
        <f t="shared" si="969"/>
        <v>0</v>
      </c>
      <c r="AF3967" s="2">
        <f t="shared" si="970"/>
        <v>0</v>
      </c>
      <c r="AG3967" s="2">
        <f t="shared" si="971"/>
        <v>0</v>
      </c>
    </row>
    <row r="3968" spans="1:33">
      <c r="A3968" s="20" t="s">
        <v>22777</v>
      </c>
      <c r="B3968" s="150"/>
      <c r="C3968" s="21" t="s">
        <v>22836</v>
      </c>
      <c r="D3968" s="109" t="s">
        <v>5979</v>
      </c>
      <c r="E3968" s="109"/>
      <c r="F3968" s="391" t="s">
        <v>22838</v>
      </c>
      <c r="G3968" s="23" t="s">
        <v>22837</v>
      </c>
      <c r="H3968" s="23" t="s">
        <v>24934</v>
      </c>
      <c r="I3968" s="23"/>
      <c r="J3968" s="23"/>
      <c r="K3968" s="23"/>
      <c r="L3968" s="375" t="s">
        <v>27855</v>
      </c>
      <c r="M3968" s="351" t="s">
        <v>45</v>
      </c>
      <c r="N3968" s="267">
        <f t="shared" si="972"/>
        <v>0</v>
      </c>
      <c r="O3968" s="268">
        <f t="shared" si="973"/>
        <v>2550</v>
      </c>
      <c r="P3968" s="239"/>
      <c r="Q3968" s="239">
        <f>2000-250-100-150-150-100-100-1000+500+200+2800-900-600-400-100-400</f>
        <v>1250</v>
      </c>
      <c r="R3968" s="239"/>
      <c r="S3968" s="239"/>
      <c r="T3968" s="239"/>
      <c r="U3968" s="240">
        <f>1200-1100+2200-500-500</f>
        <v>1300</v>
      </c>
      <c r="V3968" s="240"/>
      <c r="W3968" s="240"/>
      <c r="X3968" s="278"/>
      <c r="Y3968" s="237"/>
      <c r="Z3968" s="237"/>
      <c r="AA3968" s="279"/>
      <c r="AB3968" s="238" t="s">
        <v>27852</v>
      </c>
      <c r="AC3968" s="196">
        <f t="shared" si="967"/>
        <v>2550</v>
      </c>
      <c r="AD3968" s="196">
        <f t="shared" si="968"/>
        <v>2550</v>
      </c>
      <c r="AE3968" s="196">
        <f t="shared" si="969"/>
        <v>0</v>
      </c>
      <c r="AF3968" s="2">
        <f t="shared" si="970"/>
        <v>2550</v>
      </c>
      <c r="AG3968" s="2">
        <f t="shared" si="971"/>
        <v>0</v>
      </c>
    </row>
    <row r="3969" spans="1:33">
      <c r="A3969" s="20" t="s">
        <v>23111</v>
      </c>
      <c r="B3969" s="150"/>
      <c r="C3969" s="21" t="s">
        <v>23127</v>
      </c>
      <c r="D3969" s="109" t="s">
        <v>7960</v>
      </c>
      <c r="E3969" s="109"/>
      <c r="F3969" s="391" t="s">
        <v>24776</v>
      </c>
      <c r="G3969" s="23" t="s">
        <v>23132</v>
      </c>
      <c r="H3969" s="23" t="s">
        <v>24046</v>
      </c>
      <c r="I3969" s="23" t="s">
        <v>25922</v>
      </c>
      <c r="J3969" s="23"/>
      <c r="K3969" s="23"/>
      <c r="L3969" s="375" t="s">
        <v>27824</v>
      </c>
      <c r="M3969" s="351" t="s">
        <v>45</v>
      </c>
      <c r="N3969" s="267">
        <f t="shared" si="972"/>
        <v>0</v>
      </c>
      <c r="O3969" s="268">
        <f t="shared" si="973"/>
        <v>47568</v>
      </c>
      <c r="P3969" s="239"/>
      <c r="Q3969" s="239"/>
      <c r="R3969" s="239"/>
      <c r="S3969" s="239"/>
      <c r="T3969" s="239"/>
      <c r="U3969" s="241">
        <f>4100+8900-2100+4500+4300+1500+4300+6600-4800-4800</f>
        <v>22500</v>
      </c>
      <c r="V3969" s="239">
        <f>2400+3000+2400+3000-3500-4800+3000+3200</f>
        <v>8700</v>
      </c>
      <c r="W3969" s="240"/>
      <c r="X3969" s="278"/>
      <c r="Y3969" s="237">
        <f>2700+2700+2700+2700+5568</f>
        <v>16368</v>
      </c>
      <c r="Z3969" s="237"/>
      <c r="AA3969" s="279"/>
      <c r="AB3969" s="238" t="s">
        <v>27794</v>
      </c>
      <c r="AC3969" s="196">
        <f t="shared" si="967"/>
        <v>47568</v>
      </c>
      <c r="AD3969" s="196">
        <f t="shared" si="968"/>
        <v>47568</v>
      </c>
      <c r="AE3969" s="196">
        <f t="shared" si="969"/>
        <v>0</v>
      </c>
      <c r="AF3969" s="2">
        <f t="shared" si="970"/>
        <v>47568</v>
      </c>
      <c r="AG3969" s="2">
        <f t="shared" si="971"/>
        <v>0</v>
      </c>
    </row>
    <row r="3970" spans="1:33">
      <c r="A3970" s="20" t="s">
        <v>23113</v>
      </c>
      <c r="B3970" s="150"/>
      <c r="C3970" s="21" t="s">
        <v>23140</v>
      </c>
      <c r="D3970" s="109" t="s">
        <v>7960</v>
      </c>
      <c r="E3970" s="109"/>
      <c r="F3970" s="391" t="s">
        <v>23141</v>
      </c>
      <c r="G3970" s="23" t="s">
        <v>15071</v>
      </c>
      <c r="H3970" s="23" t="s">
        <v>25239</v>
      </c>
      <c r="I3970" s="23" t="s">
        <v>25456</v>
      </c>
      <c r="J3970" s="23"/>
      <c r="K3970" s="23"/>
      <c r="L3970" s="375" t="s">
        <v>27530</v>
      </c>
      <c r="M3970" s="351" t="s">
        <v>45</v>
      </c>
      <c r="N3970" s="267">
        <f t="shared" si="972"/>
        <v>0</v>
      </c>
      <c r="O3970" s="268">
        <f t="shared" si="973"/>
        <v>2300</v>
      </c>
      <c r="P3970" s="239"/>
      <c r="Q3970" s="239"/>
      <c r="R3970" s="239"/>
      <c r="S3970" s="239"/>
      <c r="T3970" s="239"/>
      <c r="U3970" s="239"/>
      <c r="V3970" s="239">
        <f>3200-2400+6000-800-5200+1600-100</f>
        <v>2300</v>
      </c>
      <c r="W3970" s="240"/>
      <c r="X3970" s="278"/>
      <c r="Y3970" s="237"/>
      <c r="Z3970" s="237"/>
      <c r="AA3970" s="279"/>
      <c r="AB3970" s="238" t="s">
        <v>27405</v>
      </c>
      <c r="AC3970" s="196">
        <f t="shared" si="967"/>
        <v>2300</v>
      </c>
      <c r="AD3970" s="196">
        <f t="shared" si="968"/>
        <v>2300</v>
      </c>
      <c r="AE3970" s="196">
        <f t="shared" si="969"/>
        <v>0</v>
      </c>
      <c r="AF3970" s="2">
        <f t="shared" si="970"/>
        <v>2300</v>
      </c>
      <c r="AG3970" s="2">
        <f t="shared" si="971"/>
        <v>0</v>
      </c>
    </row>
    <row r="3971" spans="1:33">
      <c r="A3971" s="20" t="s">
        <v>22779</v>
      </c>
      <c r="B3971" s="150"/>
      <c r="C3971" s="21" t="s">
        <v>22843</v>
      </c>
      <c r="D3971" s="109" t="s">
        <v>3137</v>
      </c>
      <c r="E3971" s="109"/>
      <c r="F3971" s="391" t="s">
        <v>22849</v>
      </c>
      <c r="G3971" s="23" t="s">
        <v>22848</v>
      </c>
      <c r="H3971" s="23"/>
      <c r="I3971" s="23"/>
      <c r="J3971" s="23"/>
      <c r="K3971" s="23"/>
      <c r="L3971" s="375" t="s">
        <v>7787</v>
      </c>
      <c r="M3971" s="351"/>
      <c r="N3971" s="267">
        <f t="shared" si="972"/>
        <v>0</v>
      </c>
      <c r="O3971" s="268">
        <f t="shared" si="973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7"/>
        <v>0</v>
      </c>
      <c r="AD3971" s="196">
        <f t="shared" si="968"/>
        <v>0</v>
      </c>
      <c r="AE3971" s="196">
        <f t="shared" si="969"/>
        <v>0</v>
      </c>
      <c r="AF3971" s="2">
        <f t="shared" si="970"/>
        <v>0</v>
      </c>
      <c r="AG3971" s="2">
        <f t="shared" si="971"/>
        <v>0</v>
      </c>
    </row>
    <row r="3972" spans="1:33">
      <c r="A3972" s="20" t="s">
        <v>22903</v>
      </c>
      <c r="B3972" s="150"/>
      <c r="C3972" s="21" t="s">
        <v>22978</v>
      </c>
      <c r="D3972" s="109" t="s">
        <v>3137</v>
      </c>
      <c r="E3972" s="109"/>
      <c r="F3972" s="391" t="s">
        <v>22979</v>
      </c>
      <c r="G3972" s="23" t="s">
        <v>6133</v>
      </c>
      <c r="H3972" s="23"/>
      <c r="I3972" s="23"/>
      <c r="J3972" s="23"/>
      <c r="K3972" s="23"/>
      <c r="L3972" s="375" t="s">
        <v>7787</v>
      </c>
      <c r="M3972" s="351"/>
      <c r="N3972" s="267">
        <f t="shared" si="972"/>
        <v>0</v>
      </c>
      <c r="O3972" s="268">
        <f t="shared" si="973"/>
        <v>0</v>
      </c>
      <c r="P3972" s="239"/>
      <c r="Q3972" s="239"/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/>
      <c r="AC3972" s="196">
        <f t="shared" si="967"/>
        <v>0</v>
      </c>
      <c r="AD3972" s="196">
        <f t="shared" si="968"/>
        <v>0</v>
      </c>
      <c r="AE3972" s="196">
        <f t="shared" si="969"/>
        <v>0</v>
      </c>
      <c r="AF3972" s="2">
        <f t="shared" si="970"/>
        <v>0</v>
      </c>
      <c r="AG3972" s="2">
        <f t="shared" si="971"/>
        <v>0</v>
      </c>
    </row>
    <row r="3973" spans="1:33">
      <c r="A3973" s="20" t="s">
        <v>22997</v>
      </c>
      <c r="B3973" s="150"/>
      <c r="C3973" s="21" t="s">
        <v>23028</v>
      </c>
      <c r="D3973" s="109" t="s">
        <v>23029</v>
      </c>
      <c r="E3973" s="109"/>
      <c r="F3973" s="391" t="s">
        <v>23034</v>
      </c>
      <c r="G3973" s="23" t="s">
        <v>13565</v>
      </c>
      <c r="H3973" s="23"/>
      <c r="I3973" s="23"/>
      <c r="J3973" s="23"/>
      <c r="K3973" s="23"/>
      <c r="L3973" s="375"/>
      <c r="M3973" s="351"/>
      <c r="N3973" s="267">
        <f t="shared" si="972"/>
        <v>0</v>
      </c>
      <c r="O3973" s="268">
        <f t="shared" si="973"/>
        <v>0</v>
      </c>
      <c r="P3973" s="239"/>
      <c r="Q3973" s="239"/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/>
      <c r="AC3973" s="196">
        <f t="shared" si="967"/>
        <v>0</v>
      </c>
      <c r="AD3973" s="196">
        <f t="shared" si="968"/>
        <v>0</v>
      </c>
      <c r="AE3973" s="196">
        <f t="shared" si="969"/>
        <v>0</v>
      </c>
      <c r="AF3973" s="2">
        <f t="shared" si="970"/>
        <v>0</v>
      </c>
      <c r="AG3973" s="2">
        <f t="shared" si="971"/>
        <v>0</v>
      </c>
    </row>
    <row r="3974" spans="1:33">
      <c r="A3974" s="20" t="s">
        <v>22995</v>
      </c>
      <c r="B3974" s="150"/>
      <c r="C3974" s="21" t="s">
        <v>23017</v>
      </c>
      <c r="D3974" s="109" t="s">
        <v>23018</v>
      </c>
      <c r="E3974" s="109"/>
      <c r="F3974" s="391" t="s">
        <v>23027</v>
      </c>
      <c r="G3974" s="23" t="s">
        <v>13565</v>
      </c>
      <c r="H3974" s="23"/>
      <c r="I3974" s="23"/>
      <c r="J3974" s="23"/>
      <c r="K3974" s="23"/>
      <c r="L3974" s="375" t="s">
        <v>7787</v>
      </c>
      <c r="M3974" s="351" t="s">
        <v>7787</v>
      </c>
      <c r="N3974" s="267">
        <f t="shared" si="972"/>
        <v>0</v>
      </c>
      <c r="O3974" s="268">
        <f t="shared" si="973"/>
        <v>0</v>
      </c>
      <c r="P3974" s="239"/>
      <c r="Q3974" s="239"/>
      <c r="R3974" s="239"/>
      <c r="S3974" s="239"/>
      <c r="T3974" s="239"/>
      <c r="U3974" s="240"/>
      <c r="V3974" s="240"/>
      <c r="W3974" s="240"/>
      <c r="X3974" s="278"/>
      <c r="Y3974" s="237"/>
      <c r="Z3974" s="237"/>
      <c r="AA3974" s="279"/>
      <c r="AB3974" s="238"/>
      <c r="AC3974" s="196">
        <f t="shared" si="967"/>
        <v>0</v>
      </c>
      <c r="AD3974" s="196">
        <f t="shared" si="968"/>
        <v>0</v>
      </c>
      <c r="AE3974" s="196">
        <f t="shared" si="969"/>
        <v>0</v>
      </c>
      <c r="AF3974" s="2">
        <f t="shared" si="970"/>
        <v>0</v>
      </c>
      <c r="AG3974" s="2">
        <f t="shared" si="971"/>
        <v>0</v>
      </c>
    </row>
    <row r="3975" spans="1:33">
      <c r="A3975" s="20" t="s">
        <v>22998</v>
      </c>
      <c r="B3975" s="150"/>
      <c r="C3975" s="21" t="s">
        <v>23035</v>
      </c>
      <c r="D3975" s="109" t="s">
        <v>3137</v>
      </c>
      <c r="E3975" s="109"/>
      <c r="F3975" s="391" t="s">
        <v>23036</v>
      </c>
      <c r="G3975" s="23" t="s">
        <v>6133</v>
      </c>
      <c r="H3975" s="23" t="s">
        <v>23093</v>
      </c>
      <c r="I3975" s="23"/>
      <c r="J3975" s="23"/>
      <c r="K3975" s="23"/>
      <c r="L3975" s="375">
        <v>700</v>
      </c>
      <c r="M3975" s="351" t="s">
        <v>45</v>
      </c>
      <c r="N3975" s="267">
        <f t="shared" si="972"/>
        <v>700</v>
      </c>
      <c r="O3975" s="268">
        <f t="shared" si="973"/>
        <v>100</v>
      </c>
      <c r="P3975" s="239"/>
      <c r="Q3975" s="239">
        <f>700-200-400</f>
        <v>100</v>
      </c>
      <c r="R3975" s="239"/>
      <c r="S3975" s="239"/>
      <c r="T3975" s="239"/>
      <c r="U3975" s="240"/>
      <c r="V3975" s="240"/>
      <c r="W3975" s="240"/>
      <c r="X3975" s="278"/>
      <c r="Y3975" s="237"/>
      <c r="Z3975" s="237"/>
      <c r="AA3975" s="279"/>
      <c r="AB3975" s="238" t="s">
        <v>27583</v>
      </c>
      <c r="AC3975" s="196">
        <f t="shared" si="967"/>
        <v>100</v>
      </c>
      <c r="AD3975" s="196">
        <f t="shared" si="968"/>
        <v>100</v>
      </c>
      <c r="AE3975" s="196">
        <f t="shared" si="969"/>
        <v>0</v>
      </c>
      <c r="AF3975" s="2">
        <f t="shared" si="970"/>
        <v>100</v>
      </c>
      <c r="AG3975" s="2">
        <f t="shared" si="971"/>
        <v>0</v>
      </c>
    </row>
    <row r="3976" spans="1:33">
      <c r="A3976" s="20" t="s">
        <v>2914</v>
      </c>
      <c r="B3976" s="150"/>
      <c r="C3976" s="21" t="s">
        <v>16910</v>
      </c>
      <c r="D3976" s="109" t="s">
        <v>16795</v>
      </c>
      <c r="E3976" s="109"/>
      <c r="F3976" s="391" t="s">
        <v>16903</v>
      </c>
      <c r="G3976" s="23" t="s">
        <v>16911</v>
      </c>
      <c r="H3976" s="23"/>
      <c r="I3976" s="23"/>
      <c r="J3976" s="23"/>
      <c r="K3976" s="23"/>
      <c r="L3976" s="350"/>
      <c r="M3976" s="351"/>
      <c r="N3976" s="267">
        <f t="shared" si="972"/>
        <v>0</v>
      </c>
      <c r="O3976" s="268">
        <f t="shared" si="973"/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37"/>
      <c r="Z3976" s="237"/>
      <c r="AA3976" s="279"/>
      <c r="AB3976" s="238"/>
      <c r="AC3976" s="196">
        <f t="shared" si="967"/>
        <v>0</v>
      </c>
      <c r="AD3976" s="196">
        <f t="shared" si="968"/>
        <v>0</v>
      </c>
      <c r="AE3976" s="196">
        <f t="shared" si="969"/>
        <v>0</v>
      </c>
      <c r="AF3976" s="2">
        <f t="shared" si="970"/>
        <v>0</v>
      </c>
      <c r="AG3976" s="2">
        <f t="shared" si="971"/>
        <v>0</v>
      </c>
    </row>
    <row r="3977" spans="1:33">
      <c r="A3977" s="20" t="s">
        <v>23066</v>
      </c>
      <c r="B3977" s="150"/>
      <c r="C3977" s="21" t="s">
        <v>26223</v>
      </c>
      <c r="D3977" s="109" t="s">
        <v>23062</v>
      </c>
      <c r="E3977" s="109"/>
      <c r="F3977" s="391" t="s">
        <v>23076</v>
      </c>
      <c r="G3977" s="23" t="s">
        <v>15071</v>
      </c>
      <c r="H3977" s="23" t="s">
        <v>13565</v>
      </c>
      <c r="I3977" s="23"/>
      <c r="J3977" s="23"/>
      <c r="K3977" s="23"/>
      <c r="L3977" s="375" t="s">
        <v>45</v>
      </c>
      <c r="M3977" s="351" t="s">
        <v>45</v>
      </c>
      <c r="N3977" s="267">
        <f t="shared" si="972"/>
        <v>0</v>
      </c>
      <c r="O3977" s="268">
        <f t="shared" si="973"/>
        <v>17800</v>
      </c>
      <c r="P3977" s="239"/>
      <c r="Q3977" s="239"/>
      <c r="R3977" s="239"/>
      <c r="S3977" s="239"/>
      <c r="T3977" s="239"/>
      <c r="U3977" s="240"/>
      <c r="V3977" s="240">
        <f>2400+3000+2600-3600+2600+3000+3000+3000+3000+3000+3000-3600-3600</f>
        <v>17800</v>
      </c>
      <c r="W3977" s="240"/>
      <c r="X3977" s="278"/>
      <c r="Y3977" s="240"/>
      <c r="Z3977" s="237"/>
      <c r="AA3977" s="279"/>
      <c r="AB3977" s="238" t="s">
        <v>27658</v>
      </c>
      <c r="AC3977" s="196">
        <f t="shared" si="967"/>
        <v>17800</v>
      </c>
      <c r="AD3977" s="196">
        <f t="shared" si="968"/>
        <v>17800</v>
      </c>
      <c r="AE3977" s="196">
        <f t="shared" si="969"/>
        <v>0</v>
      </c>
      <c r="AF3977" s="2">
        <f t="shared" si="970"/>
        <v>17800</v>
      </c>
      <c r="AG3977" s="2">
        <f t="shared" si="971"/>
        <v>0</v>
      </c>
    </row>
    <row r="3978" spans="1:33">
      <c r="A3978" s="20" t="s">
        <v>27096</v>
      </c>
      <c r="B3978" s="150"/>
      <c r="C3978" s="21" t="s">
        <v>26410</v>
      </c>
      <c r="D3978" s="109" t="s">
        <v>11756</v>
      </c>
      <c r="E3978" s="109"/>
      <c r="F3978" s="391" t="s">
        <v>23076</v>
      </c>
      <c r="G3978" s="23" t="s">
        <v>15071</v>
      </c>
      <c r="H3978" s="23" t="s">
        <v>13565</v>
      </c>
      <c r="I3978" s="23"/>
      <c r="J3978" s="23"/>
      <c r="K3978" s="23"/>
      <c r="L3978" s="375" t="s">
        <v>45</v>
      </c>
      <c r="M3978" s="351" t="s">
        <v>45</v>
      </c>
      <c r="N3978" s="267">
        <f t="shared" ref="N3978" si="974">SUM(L3978:M3978)</f>
        <v>0</v>
      </c>
      <c r="O3978" s="268">
        <f t="shared" ref="O3978" si="975">SUM(P3978:Z3978)</f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44"/>
      <c r="Z3978" s="237"/>
      <c r="AA3978" s="279"/>
      <c r="AB3978" s="238"/>
      <c r="AC3978" s="196">
        <f t="shared" si="967"/>
        <v>0</v>
      </c>
      <c r="AD3978" s="196">
        <f t="shared" si="968"/>
        <v>0</v>
      </c>
      <c r="AE3978" s="196">
        <f t="shared" si="969"/>
        <v>0</v>
      </c>
      <c r="AF3978" s="2">
        <f t="shared" si="970"/>
        <v>0</v>
      </c>
      <c r="AG3978" s="2">
        <f t="shared" si="971"/>
        <v>0</v>
      </c>
    </row>
    <row r="3979" spans="1:33">
      <c r="A3979" s="20" t="s">
        <v>27132</v>
      </c>
      <c r="B3979" s="150"/>
      <c r="C3979" s="21" t="s">
        <v>27271</v>
      </c>
      <c r="D3979" s="109" t="s">
        <v>27268</v>
      </c>
      <c r="E3979" s="109"/>
      <c r="F3979" s="391" t="s">
        <v>27269</v>
      </c>
      <c r="G3979" s="23" t="s">
        <v>27270</v>
      </c>
      <c r="H3979" s="23" t="s">
        <v>24786</v>
      </c>
      <c r="I3979" s="23"/>
      <c r="J3979" s="23"/>
      <c r="K3979" s="23"/>
      <c r="L3979" s="375" t="s">
        <v>7787</v>
      </c>
      <c r="M3979" s="351" t="s">
        <v>7787</v>
      </c>
      <c r="N3979" s="267">
        <f t="shared" ref="N3979" si="976">SUM(L3979:M3979)</f>
        <v>0</v>
      </c>
      <c r="O3979" s="268">
        <f t="shared" ref="O3979" si="977">SUM(P3979:Z3979)</f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44"/>
      <c r="Z3979" s="237"/>
      <c r="AA3979" s="279"/>
      <c r="AB3979" s="238"/>
      <c r="AC3979" s="196">
        <f t="shared" ref="AC3979" si="978">SUM(P3979:AA3979)</f>
        <v>0</v>
      </c>
      <c r="AD3979" s="196">
        <f t="shared" ref="AD3979" si="979">SUM(P3979:AB3979)</f>
        <v>0</v>
      </c>
      <c r="AE3979" s="196">
        <f t="shared" ref="AE3979" si="980">SUM(AC3979-AD3979)</f>
        <v>0</v>
      </c>
      <c r="AF3979" s="2">
        <f t="shared" ref="AF3979" si="981">+AC3979</f>
        <v>0</v>
      </c>
      <c r="AG3979" s="2">
        <f t="shared" ref="AG3979" si="982">+AC3979-AF3979</f>
        <v>0</v>
      </c>
    </row>
    <row r="3980" spans="1:33">
      <c r="A3980" s="20" t="s">
        <v>23004</v>
      </c>
      <c r="B3980" s="150"/>
      <c r="C3980" s="21" t="s">
        <v>23058</v>
      </c>
      <c r="D3980" s="109" t="s">
        <v>3137</v>
      </c>
      <c r="E3980" s="109"/>
      <c r="F3980" s="391" t="s">
        <v>23059</v>
      </c>
      <c r="G3980" s="23" t="s">
        <v>23060</v>
      </c>
      <c r="H3980" s="23" t="s">
        <v>24153</v>
      </c>
      <c r="I3980" s="23"/>
      <c r="J3980" s="23"/>
      <c r="K3980" s="23"/>
      <c r="L3980" s="375"/>
      <c r="M3980" s="351" t="s">
        <v>7787</v>
      </c>
      <c r="N3980" s="267">
        <f t="shared" si="972"/>
        <v>0</v>
      </c>
      <c r="O3980" s="268">
        <f t="shared" si="973"/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43"/>
      <c r="Z3980" s="237"/>
      <c r="AA3980" s="279"/>
      <c r="AB3980" s="238"/>
      <c r="AC3980" s="196">
        <f t="shared" si="967"/>
        <v>0</v>
      </c>
      <c r="AD3980" s="196">
        <f t="shared" si="968"/>
        <v>0</v>
      </c>
      <c r="AE3980" s="196">
        <f t="shared" si="969"/>
        <v>0</v>
      </c>
      <c r="AF3980" s="2">
        <f t="shared" si="970"/>
        <v>0</v>
      </c>
      <c r="AG3980" s="2">
        <f t="shared" si="971"/>
        <v>0</v>
      </c>
    </row>
    <row r="3981" spans="1:33">
      <c r="A3981" s="20" t="s">
        <v>22466</v>
      </c>
      <c r="B3981" s="150"/>
      <c r="C3981" s="21" t="s">
        <v>22480</v>
      </c>
      <c r="D3981" s="109" t="s">
        <v>22482</v>
      </c>
      <c r="E3981" s="109" t="s">
        <v>3128</v>
      </c>
      <c r="F3981" s="391" t="s">
        <v>22483</v>
      </c>
      <c r="G3981" s="23" t="s">
        <v>22481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72"/>
        <v>0</v>
      </c>
      <c r="O3981" s="268">
        <f t="shared" si="973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9"/>
      <c r="Z3981" s="237"/>
      <c r="AA3981" s="279"/>
      <c r="AB3981" s="238"/>
      <c r="AC3981" s="196">
        <f t="shared" si="967"/>
        <v>0</v>
      </c>
      <c r="AD3981" s="196">
        <f t="shared" si="968"/>
        <v>0</v>
      </c>
      <c r="AE3981" s="196">
        <f t="shared" si="969"/>
        <v>0</v>
      </c>
      <c r="AF3981" s="2">
        <f t="shared" si="970"/>
        <v>0</v>
      </c>
      <c r="AG3981" s="2">
        <f t="shared" si="971"/>
        <v>0</v>
      </c>
    </row>
    <row r="3982" spans="1:33">
      <c r="A3982" s="20" t="s">
        <v>24836</v>
      </c>
      <c r="B3982" s="150"/>
      <c r="C3982" s="21" t="s">
        <v>22480</v>
      </c>
      <c r="D3982" s="109" t="s">
        <v>3133</v>
      </c>
      <c r="E3982" s="109" t="s">
        <v>23617</v>
      </c>
      <c r="F3982" s="391" t="s">
        <v>22483</v>
      </c>
      <c r="G3982" s="23" t="s">
        <v>21185</v>
      </c>
      <c r="H3982" s="23"/>
      <c r="I3982" s="23"/>
      <c r="J3982" s="23"/>
      <c r="K3982" s="23"/>
      <c r="L3982" s="375" t="s">
        <v>7787</v>
      </c>
      <c r="M3982" s="351" t="s">
        <v>7787</v>
      </c>
      <c r="N3982" s="267">
        <f t="shared" ref="N3982:N3983" si="983">SUM(L3982:M3982)</f>
        <v>0</v>
      </c>
      <c r="O3982" s="268">
        <f t="shared" ref="O3982:O3983" si="984">SUM(P3982:Z3982)</f>
        <v>0</v>
      </c>
      <c r="P3982" s="239"/>
      <c r="Q3982" s="239"/>
      <c r="R3982" s="239"/>
      <c r="S3982" s="239"/>
      <c r="T3982" s="239"/>
      <c r="U3982" s="240"/>
      <c r="V3982" s="240"/>
      <c r="W3982" s="240"/>
      <c r="X3982" s="278"/>
      <c r="Y3982" s="239"/>
      <c r="Z3982" s="237"/>
      <c r="AA3982" s="279"/>
      <c r="AB3982" s="238"/>
      <c r="AC3982" s="196">
        <f t="shared" si="967"/>
        <v>0</v>
      </c>
      <c r="AD3982" s="196">
        <f t="shared" si="968"/>
        <v>0</v>
      </c>
      <c r="AE3982" s="196">
        <f t="shared" si="969"/>
        <v>0</v>
      </c>
      <c r="AF3982" s="2">
        <f t="shared" si="970"/>
        <v>0</v>
      </c>
      <c r="AG3982" s="2">
        <f t="shared" si="971"/>
        <v>0</v>
      </c>
    </row>
    <row r="3983" spans="1:33">
      <c r="A3983" s="20" t="s">
        <v>24837</v>
      </c>
      <c r="B3983" s="150"/>
      <c r="C3983" s="21" t="s">
        <v>22480</v>
      </c>
      <c r="D3983" s="109" t="s">
        <v>3133</v>
      </c>
      <c r="E3983" s="109" t="s">
        <v>23618</v>
      </c>
      <c r="F3983" s="391" t="s">
        <v>22483</v>
      </c>
      <c r="G3983" s="23" t="s">
        <v>21185</v>
      </c>
      <c r="H3983" s="23"/>
      <c r="I3983" s="23"/>
      <c r="J3983" s="23"/>
      <c r="K3983" s="23"/>
      <c r="L3983" s="375" t="s">
        <v>7787</v>
      </c>
      <c r="M3983" s="351" t="s">
        <v>7787</v>
      </c>
      <c r="N3983" s="267">
        <f t="shared" si="983"/>
        <v>0</v>
      </c>
      <c r="O3983" s="268">
        <f t="shared" si="984"/>
        <v>0</v>
      </c>
      <c r="P3983" s="239"/>
      <c r="Q3983" s="239"/>
      <c r="R3983" s="239"/>
      <c r="S3983" s="239"/>
      <c r="T3983" s="239"/>
      <c r="U3983" s="240"/>
      <c r="V3983" s="240"/>
      <c r="W3983" s="240"/>
      <c r="X3983" s="278"/>
      <c r="Y3983" s="239"/>
      <c r="Z3983" s="237"/>
      <c r="AA3983" s="279"/>
      <c r="AB3983" s="238"/>
      <c r="AC3983" s="196">
        <f t="shared" si="967"/>
        <v>0</v>
      </c>
      <c r="AD3983" s="196">
        <f t="shared" si="968"/>
        <v>0</v>
      </c>
      <c r="AE3983" s="196">
        <f t="shared" si="969"/>
        <v>0</v>
      </c>
      <c r="AF3983" s="2">
        <f t="shared" si="970"/>
        <v>0</v>
      </c>
      <c r="AG3983" s="2">
        <f t="shared" si="971"/>
        <v>0</v>
      </c>
    </row>
    <row r="3984" spans="1:33">
      <c r="A3984" s="20" t="s">
        <v>22470</v>
      </c>
      <c r="B3984" s="150"/>
      <c r="C3984" s="21" t="s">
        <v>22505</v>
      </c>
      <c r="D3984" s="109" t="s">
        <v>7960</v>
      </c>
      <c r="E3984" s="109" t="s">
        <v>22506</v>
      </c>
      <c r="F3984" s="391" t="s">
        <v>22507</v>
      </c>
      <c r="G3984" s="23" t="s">
        <v>15025</v>
      </c>
      <c r="H3984" s="23"/>
      <c r="I3984" s="23"/>
      <c r="J3984" s="23"/>
      <c r="K3984" s="23"/>
      <c r="L3984" s="375" t="s">
        <v>7787</v>
      </c>
      <c r="M3984" s="351" t="s">
        <v>7787</v>
      </c>
      <c r="N3984" s="267">
        <f t="shared" si="972"/>
        <v>0</v>
      </c>
      <c r="O3984" s="268">
        <f t="shared" si="973"/>
        <v>0</v>
      </c>
      <c r="P3984" s="239"/>
      <c r="Q3984" s="239"/>
      <c r="R3984" s="239"/>
      <c r="S3984" s="239"/>
      <c r="T3984" s="239"/>
      <c r="U3984" s="240"/>
      <c r="V3984" s="240"/>
      <c r="W3984" s="240"/>
      <c r="X3984" s="278"/>
      <c r="Y3984" s="237"/>
      <c r="Z3984" s="237"/>
      <c r="AA3984" s="279"/>
      <c r="AB3984" s="238"/>
      <c r="AC3984" s="196">
        <f t="shared" si="967"/>
        <v>0</v>
      </c>
      <c r="AD3984" s="196">
        <f t="shared" si="968"/>
        <v>0</v>
      </c>
      <c r="AE3984" s="196">
        <f t="shared" si="969"/>
        <v>0</v>
      </c>
      <c r="AF3984" s="2">
        <f t="shared" si="970"/>
        <v>0</v>
      </c>
      <c r="AG3984" s="2">
        <f t="shared" si="971"/>
        <v>0</v>
      </c>
    </row>
    <row r="3985" spans="1:33">
      <c r="A3985" s="20" t="s">
        <v>23174</v>
      </c>
      <c r="B3985" s="150"/>
      <c r="C3985" s="21" t="s">
        <v>22505</v>
      </c>
      <c r="D3985" s="109" t="s">
        <v>23227</v>
      </c>
      <c r="E3985" s="109"/>
      <c r="F3985" s="391" t="s">
        <v>22507</v>
      </c>
      <c r="G3985" s="23" t="s">
        <v>23237</v>
      </c>
      <c r="H3985" s="23"/>
      <c r="I3985" s="23"/>
      <c r="J3985" s="23"/>
      <c r="K3985" s="23"/>
      <c r="L3985" s="375" t="s">
        <v>7787</v>
      </c>
      <c r="M3985" s="351"/>
      <c r="N3985" s="267">
        <f t="shared" si="972"/>
        <v>0</v>
      </c>
      <c r="O3985" s="268">
        <f t="shared" si="973"/>
        <v>0</v>
      </c>
      <c r="P3985" s="239"/>
      <c r="Q3985" s="239"/>
      <c r="R3985" s="239"/>
      <c r="S3985" s="239"/>
      <c r="T3985" s="239"/>
      <c r="U3985" s="244"/>
      <c r="V3985" s="240"/>
      <c r="W3985" s="240"/>
      <c r="X3985" s="278"/>
      <c r="Y3985" s="237"/>
      <c r="Z3985" s="237"/>
      <c r="AA3985" s="279"/>
      <c r="AB3985" s="238"/>
      <c r="AC3985" s="196">
        <f t="shared" si="967"/>
        <v>0</v>
      </c>
      <c r="AD3985" s="196">
        <f t="shared" si="968"/>
        <v>0</v>
      </c>
      <c r="AE3985" s="196">
        <f t="shared" si="969"/>
        <v>0</v>
      </c>
      <c r="AF3985" s="2">
        <f t="shared" si="970"/>
        <v>0</v>
      </c>
      <c r="AG3985" s="2">
        <f t="shared" si="971"/>
        <v>0</v>
      </c>
    </row>
    <row r="3986" spans="1:33">
      <c r="A3986" s="20" t="s">
        <v>22348</v>
      </c>
      <c r="B3986" s="150"/>
      <c r="C3986" s="21" t="s">
        <v>22376</v>
      </c>
      <c r="D3986" s="109" t="s">
        <v>3137</v>
      </c>
      <c r="E3986" s="109"/>
      <c r="F3986" s="391" t="s">
        <v>22392</v>
      </c>
      <c r="G3986" s="23" t="s">
        <v>14782</v>
      </c>
      <c r="H3986" s="23" t="s">
        <v>13942</v>
      </c>
      <c r="I3986" s="23"/>
      <c r="J3986" s="23"/>
      <c r="K3986" s="23"/>
      <c r="L3986" s="375" t="s">
        <v>7787</v>
      </c>
      <c r="M3986" s="351" t="s">
        <v>7787</v>
      </c>
      <c r="N3986" s="267">
        <f t="shared" si="972"/>
        <v>0</v>
      </c>
      <c r="O3986" s="268">
        <f t="shared" si="973"/>
        <v>600</v>
      </c>
      <c r="P3986" s="239"/>
      <c r="Q3986" s="239"/>
      <c r="R3986" s="239"/>
      <c r="S3986" s="239"/>
      <c r="T3986" s="239"/>
      <c r="U3986" s="239"/>
      <c r="V3986" s="240">
        <f>350+200-150+200</f>
        <v>600</v>
      </c>
      <c r="W3986" s="240"/>
      <c r="X3986" s="278"/>
      <c r="Y3986" s="237"/>
      <c r="Z3986" s="237"/>
      <c r="AA3986" s="279"/>
      <c r="AB3986" s="238" t="s">
        <v>25242</v>
      </c>
      <c r="AC3986" s="196">
        <f t="shared" si="967"/>
        <v>600</v>
      </c>
      <c r="AD3986" s="196">
        <f t="shared" si="968"/>
        <v>600</v>
      </c>
      <c r="AE3986" s="196">
        <f t="shared" si="969"/>
        <v>0</v>
      </c>
      <c r="AF3986" s="2">
        <f t="shared" si="970"/>
        <v>600</v>
      </c>
      <c r="AG3986" s="2">
        <f t="shared" si="971"/>
        <v>0</v>
      </c>
    </row>
    <row r="3987" spans="1:33">
      <c r="A3987" s="20" t="s">
        <v>22217</v>
      </c>
      <c r="B3987" s="150"/>
      <c r="C3987" s="21" t="s">
        <v>22320</v>
      </c>
      <c r="D3987" s="109" t="s">
        <v>3099</v>
      </c>
      <c r="E3987" s="109"/>
      <c r="F3987" s="391" t="s">
        <v>22329</v>
      </c>
      <c r="G3987" s="23" t="s">
        <v>22321</v>
      </c>
      <c r="H3987" s="23"/>
      <c r="I3987" s="23"/>
      <c r="J3987" s="23"/>
      <c r="K3987" s="23"/>
      <c r="L3987" s="375" t="s">
        <v>7787</v>
      </c>
      <c r="M3987" s="351"/>
      <c r="N3987" s="267">
        <f t="shared" si="972"/>
        <v>0</v>
      </c>
      <c r="O3987" s="268">
        <f t="shared" si="973"/>
        <v>0</v>
      </c>
      <c r="P3987" s="239"/>
      <c r="Q3987" s="239"/>
      <c r="R3987" s="239"/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/>
      <c r="AC3987" s="196">
        <f t="shared" si="967"/>
        <v>0</v>
      </c>
      <c r="AD3987" s="196">
        <f t="shared" si="968"/>
        <v>0</v>
      </c>
      <c r="AE3987" s="196">
        <f t="shared" si="969"/>
        <v>0</v>
      </c>
      <c r="AF3987" s="2">
        <f t="shared" si="970"/>
        <v>0</v>
      </c>
      <c r="AG3987" s="2">
        <f t="shared" si="971"/>
        <v>0</v>
      </c>
    </row>
    <row r="3988" spans="1:33">
      <c r="A3988" s="20" t="s">
        <v>22473</v>
      </c>
      <c r="B3988" s="150"/>
      <c r="C3988" s="21" t="s">
        <v>22525</v>
      </c>
      <c r="D3988" s="109" t="s">
        <v>3137</v>
      </c>
      <c r="E3988" s="109"/>
      <c r="F3988" s="391" t="s">
        <v>22528</v>
      </c>
      <c r="G3988" s="23" t="s">
        <v>17522</v>
      </c>
      <c r="H3988" s="23" t="s">
        <v>13349</v>
      </c>
      <c r="I3988" s="23" t="s">
        <v>23442</v>
      </c>
      <c r="J3988" s="23"/>
      <c r="K3988" s="23"/>
      <c r="L3988" s="375" t="s">
        <v>27633</v>
      </c>
      <c r="M3988" s="351" t="s">
        <v>45</v>
      </c>
      <c r="N3988" s="267">
        <f t="shared" si="972"/>
        <v>0</v>
      </c>
      <c r="O3988" s="268">
        <f t="shared" si="973"/>
        <v>900</v>
      </c>
      <c r="P3988" s="239"/>
      <c r="Q3988" s="239">
        <f>1000-500-100+1500-500-250-100-50-100</f>
        <v>900</v>
      </c>
      <c r="R3988" s="239"/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 t="s">
        <v>27626</v>
      </c>
      <c r="AC3988" s="196">
        <f t="shared" si="967"/>
        <v>900</v>
      </c>
      <c r="AD3988" s="196">
        <f t="shared" si="968"/>
        <v>900</v>
      </c>
      <c r="AE3988" s="196">
        <f t="shared" si="969"/>
        <v>0</v>
      </c>
      <c r="AF3988" s="2">
        <f t="shared" si="970"/>
        <v>900</v>
      </c>
      <c r="AG3988" s="2">
        <f t="shared" si="971"/>
        <v>0</v>
      </c>
    </row>
    <row r="3989" spans="1:33">
      <c r="A3989" s="20" t="s">
        <v>23360</v>
      </c>
      <c r="B3989" s="150"/>
      <c r="C3989" s="21" t="s">
        <v>23404</v>
      </c>
      <c r="D3989" s="109" t="s">
        <v>3099</v>
      </c>
      <c r="E3989" s="109"/>
      <c r="F3989" s="391" t="s">
        <v>23410</v>
      </c>
      <c r="G3989" s="23" t="s">
        <v>23405</v>
      </c>
      <c r="H3989" s="23"/>
      <c r="I3989" s="23"/>
      <c r="J3989" s="23"/>
      <c r="K3989" s="23"/>
      <c r="L3989" s="375" t="s">
        <v>45</v>
      </c>
      <c r="M3989" s="351" t="s">
        <v>7787</v>
      </c>
      <c r="N3989" s="267">
        <f t="shared" si="972"/>
        <v>0</v>
      </c>
      <c r="O3989" s="268">
        <f t="shared" si="973"/>
        <v>100</v>
      </c>
      <c r="P3989" s="239"/>
      <c r="Q3989" s="239"/>
      <c r="R3989" s="239">
        <f>400-300</f>
        <v>100</v>
      </c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 t="s">
        <v>25257</v>
      </c>
      <c r="AC3989" s="196">
        <f t="shared" si="967"/>
        <v>100</v>
      </c>
      <c r="AD3989" s="196">
        <f t="shared" si="968"/>
        <v>100</v>
      </c>
      <c r="AE3989" s="196">
        <f t="shared" si="969"/>
        <v>0</v>
      </c>
      <c r="AF3989" s="2">
        <f t="shared" si="970"/>
        <v>100</v>
      </c>
      <c r="AG3989" s="2">
        <f t="shared" si="971"/>
        <v>0</v>
      </c>
    </row>
    <row r="3990" spans="1:33">
      <c r="A3990" s="20" t="s">
        <v>22571</v>
      </c>
      <c r="B3990" s="150"/>
      <c r="C3990" s="21" t="s">
        <v>22626</v>
      </c>
      <c r="D3990" s="109" t="s">
        <v>3137</v>
      </c>
      <c r="E3990" s="109"/>
      <c r="F3990" s="391" t="s">
        <v>22640</v>
      </c>
      <c r="G3990" s="23" t="s">
        <v>15190</v>
      </c>
      <c r="H3990" s="23" t="s">
        <v>24240</v>
      </c>
      <c r="I3990" s="23"/>
      <c r="J3990" s="23"/>
      <c r="K3990" s="23"/>
      <c r="L3990" s="375"/>
      <c r="M3990" s="351" t="s">
        <v>7787</v>
      </c>
      <c r="N3990" s="267">
        <f t="shared" si="972"/>
        <v>0</v>
      </c>
      <c r="O3990" s="268">
        <f t="shared" si="973"/>
        <v>250</v>
      </c>
      <c r="P3990" s="239"/>
      <c r="Q3990" s="239"/>
      <c r="R3990" s="239">
        <f>800-500-50</f>
        <v>250</v>
      </c>
      <c r="S3990" s="239"/>
      <c r="T3990" s="239"/>
      <c r="U3990" s="240"/>
      <c r="V3990" s="240"/>
      <c r="W3990" s="240"/>
      <c r="X3990" s="278"/>
      <c r="Y3990" s="237"/>
      <c r="Z3990" s="237"/>
      <c r="AA3990" s="279"/>
      <c r="AB3990" s="238" t="s">
        <v>27562</v>
      </c>
      <c r="AC3990" s="196">
        <f t="shared" si="967"/>
        <v>250</v>
      </c>
      <c r="AD3990" s="196">
        <f t="shared" si="968"/>
        <v>250</v>
      </c>
      <c r="AE3990" s="196">
        <f t="shared" si="969"/>
        <v>0</v>
      </c>
      <c r="AF3990" s="2">
        <f t="shared" si="970"/>
        <v>250</v>
      </c>
      <c r="AG3990" s="2">
        <f t="shared" si="971"/>
        <v>0</v>
      </c>
    </row>
    <row r="3991" spans="1:33">
      <c r="A3991" s="20" t="s">
        <v>22776</v>
      </c>
      <c r="B3991" s="150"/>
      <c r="C3991" s="21" t="s">
        <v>22832</v>
      </c>
      <c r="D3991" s="109" t="s">
        <v>3137</v>
      </c>
      <c r="E3991" s="109"/>
      <c r="F3991" s="391" t="s">
        <v>22835</v>
      </c>
      <c r="G3991" s="23" t="s">
        <v>22834</v>
      </c>
      <c r="H3991" s="23" t="s">
        <v>23704</v>
      </c>
      <c r="I3991" s="23"/>
      <c r="J3991" s="23"/>
      <c r="K3991" s="23"/>
      <c r="L3991" s="375"/>
      <c r="M3991" s="351" t="s">
        <v>7787</v>
      </c>
      <c r="N3991" s="267">
        <f t="shared" si="972"/>
        <v>0</v>
      </c>
      <c r="O3991" s="268">
        <f t="shared" si="973"/>
        <v>0</v>
      </c>
      <c r="P3991" s="239"/>
      <c r="Q3991" s="239"/>
      <c r="R3991" s="239"/>
      <c r="S3991" s="239"/>
      <c r="T3991" s="239"/>
      <c r="U3991" s="240"/>
      <c r="V3991" s="240"/>
      <c r="W3991" s="240"/>
      <c r="X3991" s="278"/>
      <c r="Y3991" s="237"/>
      <c r="Z3991" s="237"/>
      <c r="AA3991" s="279"/>
      <c r="AB3991" s="238"/>
      <c r="AC3991" s="196">
        <f t="shared" si="967"/>
        <v>0</v>
      </c>
      <c r="AD3991" s="196">
        <f t="shared" si="968"/>
        <v>0</v>
      </c>
      <c r="AE3991" s="196">
        <f t="shared" si="969"/>
        <v>0</v>
      </c>
      <c r="AF3991" s="2">
        <f t="shared" si="970"/>
        <v>0</v>
      </c>
      <c r="AG3991" s="2">
        <f t="shared" si="971"/>
        <v>0</v>
      </c>
    </row>
    <row r="3992" spans="1:33">
      <c r="A3992" s="20" t="s">
        <v>22772</v>
      </c>
      <c r="B3992" s="150"/>
      <c r="C3992" s="21" t="s">
        <v>22824</v>
      </c>
      <c r="D3992" s="109" t="s">
        <v>3137</v>
      </c>
      <c r="E3992" s="109"/>
      <c r="F3992" s="391" t="s">
        <v>22826</v>
      </c>
      <c r="G3992" s="23" t="s">
        <v>14782</v>
      </c>
      <c r="H3992" s="23" t="s">
        <v>22983</v>
      </c>
      <c r="I3992" s="23"/>
      <c r="J3992" s="23"/>
      <c r="K3992" s="23"/>
      <c r="L3992" s="375" t="s">
        <v>7787</v>
      </c>
      <c r="M3992" s="351"/>
      <c r="N3992" s="267">
        <f t="shared" si="972"/>
        <v>0</v>
      </c>
      <c r="O3992" s="268">
        <f t="shared" si="973"/>
        <v>0</v>
      </c>
      <c r="P3992" s="239"/>
      <c r="Q3992" s="239"/>
      <c r="R3992" s="239"/>
      <c r="S3992" s="239"/>
      <c r="T3992" s="239"/>
      <c r="U3992" s="240"/>
      <c r="V3992" s="240"/>
      <c r="W3992" s="240"/>
      <c r="X3992" s="278"/>
      <c r="Y3992" s="237"/>
      <c r="Z3992" s="237"/>
      <c r="AA3992" s="279"/>
      <c r="AB3992" s="238"/>
      <c r="AC3992" s="196">
        <f t="shared" si="967"/>
        <v>0</v>
      </c>
      <c r="AD3992" s="196">
        <f t="shared" si="968"/>
        <v>0</v>
      </c>
      <c r="AE3992" s="196">
        <f t="shared" si="969"/>
        <v>0</v>
      </c>
      <c r="AF3992" s="2">
        <f t="shared" si="970"/>
        <v>0</v>
      </c>
      <c r="AG3992" s="2">
        <f t="shared" si="971"/>
        <v>0</v>
      </c>
    </row>
    <row r="3993" spans="1:33">
      <c r="A3993" s="20" t="s">
        <v>27097</v>
      </c>
      <c r="B3993" s="150"/>
      <c r="C3993" s="21" t="s">
        <v>26344</v>
      </c>
      <c r="D3993" s="109" t="s">
        <v>4070</v>
      </c>
      <c r="E3993" s="109" t="s">
        <v>26347</v>
      </c>
      <c r="F3993" s="391" t="s">
        <v>26345</v>
      </c>
      <c r="G3993" s="23" t="s">
        <v>26346</v>
      </c>
      <c r="H3993" s="23" t="s">
        <v>24860</v>
      </c>
      <c r="I3993" s="23" t="s">
        <v>27011</v>
      </c>
      <c r="J3993" s="23"/>
      <c r="K3993" s="23"/>
      <c r="L3993" s="375" t="s">
        <v>7787</v>
      </c>
      <c r="M3993" s="351"/>
      <c r="N3993" s="267">
        <f t="shared" ref="N3993" si="985">SUM(L3993:M3993)</f>
        <v>0</v>
      </c>
      <c r="O3993" s="268">
        <f t="shared" ref="O3993" si="986">SUM(P3993:Z3993)</f>
        <v>1300</v>
      </c>
      <c r="P3993" s="239"/>
      <c r="Q3993" s="239"/>
      <c r="R3993" s="239"/>
      <c r="S3993" s="239"/>
      <c r="T3993" s="239">
        <f>5500+4500-2300-300-500-2000-3600</f>
        <v>1300</v>
      </c>
      <c r="U3993" s="240"/>
      <c r="V3993" s="240"/>
      <c r="W3993" s="240"/>
      <c r="X3993" s="278"/>
      <c r="Y3993" s="243"/>
      <c r="Z3993" s="237"/>
      <c r="AA3993" s="279"/>
      <c r="AB3993" s="238" t="s">
        <v>26903</v>
      </c>
      <c r="AC3993" s="196">
        <f t="shared" si="967"/>
        <v>1300</v>
      </c>
      <c r="AD3993" s="196">
        <f t="shared" si="968"/>
        <v>1300</v>
      </c>
      <c r="AE3993" s="196">
        <f t="shared" si="969"/>
        <v>0</v>
      </c>
      <c r="AF3993" s="2">
        <f t="shared" si="970"/>
        <v>1300</v>
      </c>
      <c r="AG3993" s="2">
        <f t="shared" si="971"/>
        <v>0</v>
      </c>
    </row>
    <row r="3994" spans="1:33">
      <c r="A3994" s="20" t="s">
        <v>22893</v>
      </c>
      <c r="B3994" s="150"/>
      <c r="C3994" s="21" t="s">
        <v>22956</v>
      </c>
      <c r="D3994" s="109" t="s">
        <v>3137</v>
      </c>
      <c r="E3994" s="109"/>
      <c r="F3994" s="391" t="s">
        <v>22964</v>
      </c>
      <c r="G3994" s="23" t="s">
        <v>14782</v>
      </c>
      <c r="H3994" s="23" t="s">
        <v>22980</v>
      </c>
      <c r="I3994" s="23" t="s">
        <v>25251</v>
      </c>
      <c r="J3994" s="23"/>
      <c r="K3994" s="23"/>
      <c r="L3994" s="375" t="s">
        <v>45</v>
      </c>
      <c r="M3994" s="351" t="s">
        <v>45</v>
      </c>
      <c r="N3994" s="267">
        <f t="shared" si="972"/>
        <v>0</v>
      </c>
      <c r="O3994" s="268">
        <f t="shared" si="973"/>
        <v>0</v>
      </c>
      <c r="P3994" s="239"/>
      <c r="Q3994" s="239"/>
      <c r="R3994" s="239"/>
      <c r="S3994" s="239"/>
      <c r="T3994" s="239"/>
      <c r="U3994" s="240"/>
      <c r="V3994" s="240"/>
      <c r="W3994" s="240"/>
      <c r="X3994" s="278"/>
      <c r="Y3994" s="239"/>
      <c r="Z3994" s="237"/>
      <c r="AA3994" s="279"/>
      <c r="AB3994" s="238"/>
      <c r="AC3994" s="196">
        <f t="shared" si="967"/>
        <v>0</v>
      </c>
      <c r="AD3994" s="196">
        <f t="shared" si="968"/>
        <v>0</v>
      </c>
      <c r="AE3994" s="196">
        <f t="shared" si="969"/>
        <v>0</v>
      </c>
      <c r="AF3994" s="2">
        <f t="shared" si="970"/>
        <v>0</v>
      </c>
      <c r="AG3994" s="2">
        <f t="shared" si="971"/>
        <v>0</v>
      </c>
    </row>
    <row r="3995" spans="1:33">
      <c r="A3995" s="20" t="s">
        <v>27098</v>
      </c>
      <c r="B3995" s="150"/>
      <c r="C3995" s="21" t="s">
        <v>22956</v>
      </c>
      <c r="D3995" s="109" t="s">
        <v>3137</v>
      </c>
      <c r="E3995" s="109" t="s">
        <v>24312</v>
      </c>
      <c r="F3995" s="391" t="s">
        <v>22964</v>
      </c>
      <c r="G3995" s="23" t="s">
        <v>14782</v>
      </c>
      <c r="H3995" s="23" t="s">
        <v>13261</v>
      </c>
      <c r="I3995" s="23" t="s">
        <v>25251</v>
      </c>
      <c r="J3995" s="23"/>
      <c r="K3995" s="23"/>
      <c r="L3995" s="375" t="s">
        <v>45</v>
      </c>
      <c r="M3995" s="351" t="s">
        <v>45</v>
      </c>
      <c r="N3995" s="267">
        <f t="shared" ref="N3995" si="987">SUM(L3995:M3995)</f>
        <v>0</v>
      </c>
      <c r="O3995" s="268">
        <f t="shared" ref="O3995" si="988">SUM(P3995:Z3995)</f>
        <v>9000</v>
      </c>
      <c r="P3995" s="239"/>
      <c r="Q3995" s="239"/>
      <c r="R3995" s="239"/>
      <c r="S3995" s="239"/>
      <c r="T3995" s="239">
        <f>1850-1000+5450+2700</f>
        <v>9000</v>
      </c>
      <c r="U3995" s="240"/>
      <c r="V3995" s="240"/>
      <c r="W3995" s="240"/>
      <c r="X3995" s="278"/>
      <c r="Y3995" s="239"/>
      <c r="Z3995" s="237"/>
      <c r="AA3995" s="279"/>
      <c r="AB3995" s="238"/>
      <c r="AC3995" s="196">
        <f t="shared" si="967"/>
        <v>9000</v>
      </c>
      <c r="AD3995" s="196">
        <f t="shared" si="968"/>
        <v>9000</v>
      </c>
      <c r="AE3995" s="196">
        <f t="shared" si="969"/>
        <v>0</v>
      </c>
      <c r="AF3995" s="2">
        <f t="shared" si="970"/>
        <v>9000</v>
      </c>
      <c r="AG3995" s="2">
        <f t="shared" si="971"/>
        <v>0</v>
      </c>
    </row>
    <row r="3996" spans="1:33">
      <c r="A3996" s="20" t="s">
        <v>22705</v>
      </c>
      <c r="B3996" s="150"/>
      <c r="C3996" s="21" t="s">
        <v>22749</v>
      </c>
      <c r="D3996" s="109" t="s">
        <v>3099</v>
      </c>
      <c r="E3996" s="109"/>
      <c r="F3996" s="391" t="s">
        <v>22757</v>
      </c>
      <c r="G3996" s="23" t="s">
        <v>22750</v>
      </c>
      <c r="H3996" s="23"/>
      <c r="I3996" s="23"/>
      <c r="J3996" s="23"/>
      <c r="K3996" s="23"/>
      <c r="L3996" s="375" t="s">
        <v>7787</v>
      </c>
      <c r="M3996" s="351" t="s">
        <v>7787</v>
      </c>
      <c r="N3996" s="267">
        <f t="shared" si="972"/>
        <v>0</v>
      </c>
      <c r="O3996" s="268">
        <f t="shared" si="973"/>
        <v>0</v>
      </c>
      <c r="P3996" s="239"/>
      <c r="Q3996" s="239"/>
      <c r="R3996" s="239"/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/>
      <c r="AC3996" s="196">
        <f t="shared" si="967"/>
        <v>0</v>
      </c>
      <c r="AD3996" s="196">
        <f t="shared" si="968"/>
        <v>0</v>
      </c>
      <c r="AE3996" s="196">
        <f t="shared" si="969"/>
        <v>0</v>
      </c>
      <c r="AF3996" s="2">
        <f t="shared" si="970"/>
        <v>0</v>
      </c>
      <c r="AG3996" s="2">
        <f t="shared" si="971"/>
        <v>0</v>
      </c>
    </row>
    <row r="3997" spans="1:33">
      <c r="A3997" s="20" t="s">
        <v>22901</v>
      </c>
      <c r="B3997" s="150"/>
      <c r="C3997" s="21" t="s">
        <v>22951</v>
      </c>
      <c r="D3997" s="109" t="s">
        <v>20325</v>
      </c>
      <c r="E3997" s="109"/>
      <c r="F3997" s="391" t="s">
        <v>22966</v>
      </c>
      <c r="G3997" s="23" t="s">
        <v>22961</v>
      </c>
      <c r="H3997" s="23"/>
      <c r="I3997" s="23"/>
      <c r="J3997" s="23"/>
      <c r="K3997" s="23"/>
      <c r="L3997" s="375" t="s">
        <v>45</v>
      </c>
      <c r="M3997" s="351" t="s">
        <v>7787</v>
      </c>
      <c r="N3997" s="267">
        <f t="shared" si="972"/>
        <v>0</v>
      </c>
      <c r="O3997" s="268">
        <f t="shared" si="973"/>
        <v>50</v>
      </c>
      <c r="P3997" s="239"/>
      <c r="Q3997" s="239"/>
      <c r="R3997" s="239">
        <f>450-400</f>
        <v>50</v>
      </c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 t="s">
        <v>25493</v>
      </c>
      <c r="AC3997" s="196">
        <f t="shared" si="967"/>
        <v>50</v>
      </c>
      <c r="AD3997" s="196">
        <f t="shared" si="968"/>
        <v>50</v>
      </c>
      <c r="AE3997" s="196">
        <f t="shared" si="969"/>
        <v>0</v>
      </c>
      <c r="AF3997" s="2">
        <f t="shared" si="970"/>
        <v>50</v>
      </c>
      <c r="AG3997" s="2">
        <f t="shared" si="971"/>
        <v>0</v>
      </c>
    </row>
    <row r="3998" spans="1:33">
      <c r="A3998" s="20" t="s">
        <v>22770</v>
      </c>
      <c r="B3998" s="150"/>
      <c r="C3998" s="21" t="s">
        <v>22810</v>
      </c>
      <c r="D3998" s="109" t="s">
        <v>3099</v>
      </c>
      <c r="E3998" s="109"/>
      <c r="F3998" s="391" t="s">
        <v>22329</v>
      </c>
      <c r="G3998" s="23" t="s">
        <v>13826</v>
      </c>
      <c r="H3998" s="23"/>
      <c r="I3998" s="23"/>
      <c r="J3998" s="23"/>
      <c r="K3998" s="23"/>
      <c r="L3998" s="375" t="s">
        <v>7787</v>
      </c>
      <c r="M3998" s="351"/>
      <c r="N3998" s="267">
        <f t="shared" si="972"/>
        <v>0</v>
      </c>
      <c r="O3998" s="268">
        <f t="shared" si="973"/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7"/>
        <v>0</v>
      </c>
      <c r="AD3998" s="196">
        <f t="shared" si="968"/>
        <v>0</v>
      </c>
      <c r="AE3998" s="196">
        <f t="shared" si="969"/>
        <v>0</v>
      </c>
      <c r="AF3998" s="2">
        <f t="shared" si="970"/>
        <v>0</v>
      </c>
      <c r="AG3998" s="2">
        <f t="shared" si="971"/>
        <v>0</v>
      </c>
    </row>
    <row r="3999" spans="1:33">
      <c r="A3999" s="20" t="s">
        <v>22783</v>
      </c>
      <c r="B3999" s="150"/>
      <c r="C3999" s="21" t="s">
        <v>22842</v>
      </c>
      <c r="D3999" s="109" t="s">
        <v>3137</v>
      </c>
      <c r="E3999" s="109" t="s">
        <v>3128</v>
      </c>
      <c r="F3999" s="391" t="s">
        <v>22856</v>
      </c>
      <c r="G3999" s="23" t="s">
        <v>22875</v>
      </c>
      <c r="H3999" s="23" t="s">
        <v>22876</v>
      </c>
      <c r="I3999" s="23" t="s">
        <v>25834</v>
      </c>
      <c r="J3999" s="23"/>
      <c r="K3999" s="23"/>
      <c r="L3999" s="375" t="s">
        <v>45</v>
      </c>
      <c r="M3999" s="351"/>
      <c r="N3999" s="267">
        <f t="shared" si="972"/>
        <v>0</v>
      </c>
      <c r="O3999" s="268">
        <f t="shared" si="973"/>
        <v>100</v>
      </c>
      <c r="P3999" s="239"/>
      <c r="Q3999" s="239"/>
      <c r="R3999" s="239">
        <f>1050-450-500</f>
        <v>100</v>
      </c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 t="s">
        <v>25835</v>
      </c>
      <c r="AC3999" s="196">
        <f t="shared" si="967"/>
        <v>100</v>
      </c>
      <c r="AD3999" s="196">
        <f t="shared" si="968"/>
        <v>100</v>
      </c>
      <c r="AE3999" s="196">
        <f t="shared" si="969"/>
        <v>0</v>
      </c>
      <c r="AF3999" s="2">
        <f t="shared" si="970"/>
        <v>100</v>
      </c>
      <c r="AG3999" s="2">
        <f t="shared" si="971"/>
        <v>0</v>
      </c>
    </row>
    <row r="4000" spans="1:33">
      <c r="A4000" s="20" t="s">
        <v>24838</v>
      </c>
      <c r="B4000" s="150"/>
      <c r="C4000" s="21" t="s">
        <v>24788</v>
      </c>
      <c r="D4000" s="109" t="s">
        <v>3133</v>
      </c>
      <c r="E4000" s="109" t="s">
        <v>23617</v>
      </c>
      <c r="F4000" s="391" t="s">
        <v>22856</v>
      </c>
      <c r="G4000" s="23" t="s">
        <v>19108</v>
      </c>
      <c r="H4000" s="23"/>
      <c r="I4000" s="23"/>
      <c r="J4000" s="23"/>
      <c r="K4000" s="23"/>
      <c r="L4000" s="375" t="s">
        <v>45</v>
      </c>
      <c r="M4000" s="351" t="s">
        <v>7787</v>
      </c>
      <c r="N4000" s="267">
        <f t="shared" ref="N4000" si="989">SUM(L4000:M4000)</f>
        <v>0</v>
      </c>
      <c r="O4000" s="268">
        <f t="shared" ref="O4000" si="990">SUM(P4000:Z4000)</f>
        <v>0</v>
      </c>
      <c r="P4000" s="239"/>
      <c r="Q4000" s="239"/>
      <c r="R4000" s="239"/>
      <c r="S4000" s="239"/>
      <c r="T4000" s="239"/>
      <c r="U4000" s="240"/>
      <c r="V4000" s="240"/>
      <c r="W4000" s="240"/>
      <c r="X4000" s="278"/>
      <c r="Y4000" s="237"/>
      <c r="Z4000" s="237"/>
      <c r="AA4000" s="279"/>
      <c r="AB4000" s="238"/>
      <c r="AC4000" s="196">
        <f t="shared" si="967"/>
        <v>0</v>
      </c>
      <c r="AD4000" s="196">
        <f t="shared" si="968"/>
        <v>0</v>
      </c>
      <c r="AE4000" s="196">
        <f t="shared" si="969"/>
        <v>0</v>
      </c>
      <c r="AF4000" s="2">
        <f t="shared" si="970"/>
        <v>0</v>
      </c>
      <c r="AG4000" s="2">
        <f t="shared" si="971"/>
        <v>0</v>
      </c>
    </row>
    <row r="4001" spans="1:33">
      <c r="A4001" s="20" t="s">
        <v>24839</v>
      </c>
      <c r="B4001" s="150"/>
      <c r="C4001" s="21" t="s">
        <v>22842</v>
      </c>
      <c r="D4001" s="109" t="s">
        <v>3133</v>
      </c>
      <c r="E4001" s="109" t="s">
        <v>23618</v>
      </c>
      <c r="F4001" s="391" t="s">
        <v>22856</v>
      </c>
      <c r="G4001" s="23" t="s">
        <v>19108</v>
      </c>
      <c r="H4001" s="23"/>
      <c r="I4001" s="23"/>
      <c r="J4001" s="23"/>
      <c r="K4001" s="23"/>
      <c r="L4001" s="375" t="s">
        <v>7787</v>
      </c>
      <c r="M4001" s="351" t="s">
        <v>7787</v>
      </c>
      <c r="N4001" s="267">
        <f t="shared" ref="N4001" si="991">SUM(L4001:M4001)</f>
        <v>0</v>
      </c>
      <c r="O4001" s="268">
        <f t="shared" ref="O4001" si="992">SUM(P4001:Z4001)</f>
        <v>0</v>
      </c>
      <c r="P4001" s="239"/>
      <c r="Q4001" s="239"/>
      <c r="R4001" s="239"/>
      <c r="S4001" s="239"/>
      <c r="T4001" s="239"/>
      <c r="U4001" s="240"/>
      <c r="V4001" s="240"/>
      <c r="W4001" s="240"/>
      <c r="X4001" s="278"/>
      <c r="Y4001" s="237"/>
      <c r="Z4001" s="237"/>
      <c r="AA4001" s="279"/>
      <c r="AB4001" s="238"/>
      <c r="AC4001" s="196">
        <f t="shared" si="967"/>
        <v>0</v>
      </c>
      <c r="AD4001" s="196">
        <f t="shared" si="968"/>
        <v>0</v>
      </c>
      <c r="AE4001" s="196">
        <f t="shared" si="969"/>
        <v>0</v>
      </c>
      <c r="AF4001" s="2">
        <f t="shared" si="970"/>
        <v>0</v>
      </c>
      <c r="AG4001" s="2">
        <f t="shared" si="971"/>
        <v>0</v>
      </c>
    </row>
    <row r="4002" spans="1:33">
      <c r="A4002" s="20" t="s">
        <v>22778</v>
      </c>
      <c r="B4002" s="150"/>
      <c r="C4002" s="21" t="s">
        <v>22839</v>
      </c>
      <c r="D4002" s="109" t="s">
        <v>3137</v>
      </c>
      <c r="E4002" s="109"/>
      <c r="F4002" s="391" t="s">
        <v>22840</v>
      </c>
      <c r="G4002" s="23" t="s">
        <v>14311</v>
      </c>
      <c r="H4002" s="23" t="s">
        <v>22922</v>
      </c>
      <c r="I4002" s="23"/>
      <c r="J4002" s="23"/>
      <c r="K4002" s="23"/>
      <c r="L4002" s="375"/>
      <c r="M4002" s="351" t="s">
        <v>7787</v>
      </c>
      <c r="N4002" s="267">
        <f t="shared" si="972"/>
        <v>0</v>
      </c>
      <c r="O4002" s="268">
        <f t="shared" si="973"/>
        <v>0</v>
      </c>
      <c r="P4002" s="239"/>
      <c r="Q4002" s="239"/>
      <c r="R4002" s="239"/>
      <c r="S4002" s="239"/>
      <c r="T4002" s="239"/>
      <c r="U4002" s="240"/>
      <c r="V4002" s="240"/>
      <c r="W4002" s="240"/>
      <c r="X4002" s="278"/>
      <c r="Y4002" s="237"/>
      <c r="Z4002" s="237"/>
      <c r="AA4002" s="279"/>
      <c r="AB4002" s="238"/>
      <c r="AC4002" s="196">
        <f t="shared" si="967"/>
        <v>0</v>
      </c>
      <c r="AD4002" s="196">
        <f t="shared" si="968"/>
        <v>0</v>
      </c>
      <c r="AE4002" s="196">
        <f t="shared" si="969"/>
        <v>0</v>
      </c>
      <c r="AF4002" s="2">
        <f t="shared" si="970"/>
        <v>0</v>
      </c>
      <c r="AG4002" s="2">
        <f t="shared" si="971"/>
        <v>0</v>
      </c>
    </row>
    <row r="4003" spans="1:33">
      <c r="A4003" s="20" t="s">
        <v>22782</v>
      </c>
      <c r="B4003" s="150"/>
      <c r="C4003" s="21" t="s">
        <v>22853</v>
      </c>
      <c r="D4003" s="109" t="s">
        <v>3137</v>
      </c>
      <c r="E4003" s="109"/>
      <c r="F4003" s="391" t="s">
        <v>22855</v>
      </c>
      <c r="G4003" s="23" t="s">
        <v>13942</v>
      </c>
      <c r="H4003" s="23"/>
      <c r="I4003" s="23"/>
      <c r="J4003" s="23"/>
      <c r="K4003" s="23"/>
      <c r="L4003" s="375" t="s">
        <v>27988</v>
      </c>
      <c r="M4003" s="351" t="s">
        <v>27493</v>
      </c>
      <c r="N4003" s="267">
        <f t="shared" si="972"/>
        <v>0</v>
      </c>
      <c r="O4003" s="268">
        <f t="shared" si="973"/>
        <v>350</v>
      </c>
      <c r="P4003" s="239"/>
      <c r="Q4003" s="239"/>
      <c r="R4003" s="240"/>
      <c r="S4003" s="239"/>
      <c r="T4003" s="239"/>
      <c r="U4003" s="240">
        <f>3000-2000+4800-5000+2250-1000+2150-4000+150</f>
        <v>350</v>
      </c>
      <c r="V4003" s="240"/>
      <c r="W4003" s="240"/>
      <c r="X4003" s="278"/>
      <c r="Y4003" s="237"/>
      <c r="Z4003" s="237"/>
      <c r="AA4003" s="279"/>
      <c r="AB4003" s="238" t="s">
        <v>27994</v>
      </c>
      <c r="AC4003" s="196">
        <f t="shared" si="967"/>
        <v>350</v>
      </c>
      <c r="AD4003" s="196">
        <f t="shared" si="968"/>
        <v>350</v>
      </c>
      <c r="AE4003" s="196">
        <f t="shared" si="969"/>
        <v>0</v>
      </c>
      <c r="AF4003" s="2">
        <f t="shared" si="970"/>
        <v>350</v>
      </c>
      <c r="AG4003" s="2">
        <f t="shared" si="971"/>
        <v>0</v>
      </c>
    </row>
    <row r="4004" spans="1:33">
      <c r="A4004" s="20" t="s">
        <v>23073</v>
      </c>
      <c r="B4004" s="150"/>
      <c r="C4004" s="21" t="s">
        <v>23553</v>
      </c>
      <c r="D4004" s="109" t="s">
        <v>18869</v>
      </c>
      <c r="E4004" s="109"/>
      <c r="F4004" s="391" t="s">
        <v>23559</v>
      </c>
      <c r="G4004" s="23" t="s">
        <v>5511</v>
      </c>
      <c r="H4004" s="23" t="s">
        <v>10645</v>
      </c>
      <c r="I4004" s="23" t="s">
        <v>5334</v>
      </c>
      <c r="J4004" s="23"/>
      <c r="K4004" s="23"/>
      <c r="L4004" s="375" t="s">
        <v>27452</v>
      </c>
      <c r="M4004" s="351"/>
      <c r="N4004" s="267">
        <f t="shared" si="972"/>
        <v>0</v>
      </c>
      <c r="O4004" s="268">
        <f t="shared" si="973"/>
        <v>0</v>
      </c>
      <c r="P4004" s="239"/>
      <c r="Q4004" s="239"/>
      <c r="R4004" s="239"/>
      <c r="S4004" s="239"/>
      <c r="T4004" s="239"/>
      <c r="U4004" s="240"/>
      <c r="V4004" s="240"/>
      <c r="W4004" s="240"/>
      <c r="X4004" s="278"/>
      <c r="Y4004" s="237"/>
      <c r="Z4004" s="237"/>
      <c r="AA4004" s="279"/>
      <c r="AB4004" s="238"/>
      <c r="AC4004" s="196">
        <f t="shared" si="967"/>
        <v>0</v>
      </c>
      <c r="AD4004" s="196">
        <f t="shared" si="968"/>
        <v>0</v>
      </c>
      <c r="AE4004" s="196">
        <f t="shared" si="969"/>
        <v>0</v>
      </c>
      <c r="AF4004" s="2">
        <f t="shared" si="970"/>
        <v>0</v>
      </c>
      <c r="AG4004" s="2">
        <f t="shared" si="971"/>
        <v>0</v>
      </c>
    </row>
    <row r="4005" spans="1:33">
      <c r="A4005" s="20" t="s">
        <v>23539</v>
      </c>
      <c r="B4005" s="150"/>
      <c r="C4005" s="21" t="s">
        <v>26096</v>
      </c>
      <c r="D4005" s="109" t="s">
        <v>7761</v>
      </c>
      <c r="E4005" s="109" t="s">
        <v>26095</v>
      </c>
      <c r="F4005" s="391" t="s">
        <v>23098</v>
      </c>
      <c r="G4005" s="23" t="s">
        <v>13826</v>
      </c>
      <c r="H4005" s="23" t="s">
        <v>23408</v>
      </c>
      <c r="I4005" s="23" t="s">
        <v>23449</v>
      </c>
      <c r="J4005" s="23"/>
      <c r="K4005" s="23"/>
      <c r="L4005" s="375" t="s">
        <v>45</v>
      </c>
      <c r="M4005" s="351" t="s">
        <v>45</v>
      </c>
      <c r="N4005" s="267">
        <f t="shared" si="972"/>
        <v>0</v>
      </c>
      <c r="O4005" s="268">
        <f t="shared" si="973"/>
        <v>0</v>
      </c>
      <c r="P4005" s="239"/>
      <c r="Q4005" s="239"/>
      <c r="R4005" s="239"/>
      <c r="S4005" s="438"/>
      <c r="T4005" s="239"/>
      <c r="U4005" s="240"/>
      <c r="V4005" s="240"/>
      <c r="W4005" s="240"/>
      <c r="X4005" s="278"/>
      <c r="Y4005" s="239"/>
      <c r="Z4005" s="237"/>
      <c r="AA4005" s="279"/>
      <c r="AB4005" s="238"/>
      <c r="AC4005" s="196">
        <f t="shared" si="967"/>
        <v>0</v>
      </c>
      <c r="AD4005" s="196">
        <f t="shared" si="968"/>
        <v>0</v>
      </c>
      <c r="AE4005" s="196">
        <f t="shared" si="969"/>
        <v>0</v>
      </c>
      <c r="AF4005" s="2">
        <f t="shared" si="970"/>
        <v>0</v>
      </c>
      <c r="AG4005" s="2">
        <f t="shared" si="971"/>
        <v>0</v>
      </c>
    </row>
    <row r="4006" spans="1:33">
      <c r="A4006" s="20" t="s">
        <v>27099</v>
      </c>
      <c r="B4006" s="150"/>
      <c r="C4006" s="21" t="s">
        <v>26096</v>
      </c>
      <c r="D4006" s="109" t="s">
        <v>18869</v>
      </c>
      <c r="E4006" s="109" t="s">
        <v>26201</v>
      </c>
      <c r="F4006" s="391" t="s">
        <v>23559</v>
      </c>
      <c r="G4006" s="23" t="s">
        <v>5511</v>
      </c>
      <c r="H4006" s="23" t="s">
        <v>10645</v>
      </c>
      <c r="I4006" s="23" t="s">
        <v>5334</v>
      </c>
      <c r="J4006" s="23"/>
      <c r="K4006" s="23"/>
      <c r="L4006" s="375" t="s">
        <v>7787</v>
      </c>
      <c r="M4006" s="351" t="s">
        <v>7787</v>
      </c>
      <c r="N4006" s="267">
        <f t="shared" ref="N4006" si="993">SUM(L4006:M4006)</f>
        <v>0</v>
      </c>
      <c r="O4006" s="268">
        <f t="shared" ref="O4006" si="994">SUM(P4006:Z4006)</f>
        <v>8550</v>
      </c>
      <c r="P4006" s="239">
        <f>3100-2000+7200-1250-1500+4500-750-300-450</f>
        <v>8550</v>
      </c>
      <c r="Q4006" s="239"/>
      <c r="R4006" s="239"/>
      <c r="S4006" s="439"/>
      <c r="T4006" s="239"/>
      <c r="U4006" s="240"/>
      <c r="V4006" s="240"/>
      <c r="W4006" s="240"/>
      <c r="X4006" s="278"/>
      <c r="Y4006" s="239"/>
      <c r="Z4006" s="237"/>
      <c r="AA4006" s="279"/>
      <c r="AB4006" s="238" t="s">
        <v>27540</v>
      </c>
      <c r="AC4006" s="196">
        <f t="shared" si="967"/>
        <v>8550</v>
      </c>
      <c r="AD4006" s="196">
        <f t="shared" si="968"/>
        <v>8550</v>
      </c>
      <c r="AE4006" s="196">
        <f t="shared" si="969"/>
        <v>0</v>
      </c>
      <c r="AF4006" s="2">
        <f t="shared" si="970"/>
        <v>8550</v>
      </c>
      <c r="AG4006" s="2">
        <f t="shared" si="971"/>
        <v>0</v>
      </c>
    </row>
    <row r="4007" spans="1:33">
      <c r="A4007" s="20" t="s">
        <v>23985</v>
      </c>
      <c r="B4007" s="150"/>
      <c r="C4007" s="21" t="s">
        <v>23553</v>
      </c>
      <c r="D4007" s="109" t="s">
        <v>7761</v>
      </c>
      <c r="E4007" s="109" t="s">
        <v>24022</v>
      </c>
      <c r="F4007" s="391" t="s">
        <v>23098</v>
      </c>
      <c r="G4007" s="23" t="s">
        <v>13826</v>
      </c>
      <c r="H4007" s="23" t="s">
        <v>6133</v>
      </c>
      <c r="I4007" s="23" t="s">
        <v>13301</v>
      </c>
      <c r="J4007" s="23"/>
      <c r="K4007" s="23"/>
      <c r="L4007" s="375" t="s">
        <v>45</v>
      </c>
      <c r="M4007" s="351"/>
      <c r="N4007" s="267">
        <f t="shared" si="972"/>
        <v>0</v>
      </c>
      <c r="O4007" s="268">
        <f t="shared" si="973"/>
        <v>0</v>
      </c>
      <c r="P4007" s="239"/>
      <c r="Q4007" s="239"/>
      <c r="R4007" s="239"/>
      <c r="S4007" s="439"/>
      <c r="T4007" s="239"/>
      <c r="U4007" s="240"/>
      <c r="V4007" s="240"/>
      <c r="W4007" s="240"/>
      <c r="X4007" s="278"/>
      <c r="Y4007" s="239"/>
      <c r="Z4007" s="237"/>
      <c r="AA4007" s="279"/>
      <c r="AB4007" s="238"/>
      <c r="AC4007" s="196">
        <f t="shared" si="967"/>
        <v>0</v>
      </c>
      <c r="AD4007" s="196">
        <f t="shared" si="968"/>
        <v>0</v>
      </c>
      <c r="AE4007" s="196">
        <f t="shared" si="969"/>
        <v>0</v>
      </c>
      <c r="AF4007" s="2">
        <f t="shared" si="970"/>
        <v>0</v>
      </c>
      <c r="AG4007" s="2">
        <f t="shared" si="971"/>
        <v>0</v>
      </c>
    </row>
    <row r="4008" spans="1:33">
      <c r="A4008" s="20" t="s">
        <v>23162</v>
      </c>
      <c r="B4008" s="150"/>
      <c r="C4008" s="21" t="s">
        <v>23089</v>
      </c>
      <c r="D4008" s="109" t="s">
        <v>3133</v>
      </c>
      <c r="E4008" s="109"/>
      <c r="F4008" s="391" t="s">
        <v>23098</v>
      </c>
      <c r="G4008" s="23" t="s">
        <v>13826</v>
      </c>
      <c r="H4008" s="23"/>
      <c r="I4008" s="23"/>
      <c r="J4008" s="23"/>
      <c r="K4008" s="23"/>
      <c r="L4008" s="375"/>
      <c r="M4008" s="351"/>
      <c r="N4008" s="267">
        <f t="shared" si="972"/>
        <v>0</v>
      </c>
      <c r="O4008" s="268">
        <f t="shared" si="973"/>
        <v>0</v>
      </c>
      <c r="P4008" s="239"/>
      <c r="Q4008" s="239"/>
      <c r="R4008" s="244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7"/>
        <v>0</v>
      </c>
      <c r="AD4008" s="196">
        <f t="shared" si="968"/>
        <v>0</v>
      </c>
      <c r="AE4008" s="196">
        <f t="shared" si="969"/>
        <v>0</v>
      </c>
      <c r="AF4008" s="2">
        <f t="shared" si="970"/>
        <v>0</v>
      </c>
      <c r="AG4008" s="2">
        <f t="shared" si="971"/>
        <v>0</v>
      </c>
    </row>
    <row r="4009" spans="1:33">
      <c r="A4009" s="20" t="s">
        <v>23208</v>
      </c>
      <c r="B4009" s="150"/>
      <c r="C4009" s="21" t="s">
        <v>23261</v>
      </c>
      <c r="D4009" s="109" t="s">
        <v>7761</v>
      </c>
      <c r="E4009" s="109"/>
      <c r="F4009" s="391" t="s">
        <v>23262</v>
      </c>
      <c r="G4009" s="23" t="s">
        <v>13826</v>
      </c>
      <c r="H4009" s="23" t="s">
        <v>13301</v>
      </c>
      <c r="I4009" s="23"/>
      <c r="J4009" s="23"/>
      <c r="K4009" s="23"/>
      <c r="L4009" s="375">
        <f>800+110</f>
        <v>910</v>
      </c>
      <c r="M4009" s="351" t="s">
        <v>7787</v>
      </c>
      <c r="N4009" s="267">
        <f t="shared" si="972"/>
        <v>910</v>
      </c>
      <c r="O4009" s="268">
        <f t="shared" si="973"/>
        <v>0</v>
      </c>
      <c r="P4009" s="239"/>
      <c r="Q4009" s="239"/>
      <c r="R4009" s="244"/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/>
      <c r="AC4009" s="196">
        <f t="shared" si="967"/>
        <v>0</v>
      </c>
      <c r="AD4009" s="196">
        <f t="shared" si="968"/>
        <v>0</v>
      </c>
      <c r="AE4009" s="196">
        <f t="shared" si="969"/>
        <v>0</v>
      </c>
      <c r="AF4009" s="2">
        <f t="shared" si="970"/>
        <v>0</v>
      </c>
      <c r="AG4009" s="2">
        <f t="shared" si="971"/>
        <v>0</v>
      </c>
    </row>
    <row r="4010" spans="1:33">
      <c r="A4010" s="20" t="s">
        <v>23363</v>
      </c>
      <c r="B4010" s="150"/>
      <c r="C4010" s="21" t="s">
        <v>23413</v>
      </c>
      <c r="D4010" s="109" t="s">
        <v>7761</v>
      </c>
      <c r="E4010" s="109" t="s">
        <v>25874</v>
      </c>
      <c r="F4010" s="391" t="s">
        <v>23419</v>
      </c>
      <c r="G4010" s="23" t="s">
        <v>13826</v>
      </c>
      <c r="H4010" s="23" t="s">
        <v>25243</v>
      </c>
      <c r="I4010" s="23"/>
      <c r="J4010" s="23"/>
      <c r="K4010" s="23"/>
      <c r="L4010" s="375"/>
      <c r="M4010" s="351" t="s">
        <v>45</v>
      </c>
      <c r="N4010" s="267">
        <f t="shared" si="972"/>
        <v>0</v>
      </c>
      <c r="O4010" s="268">
        <f t="shared" si="973"/>
        <v>0</v>
      </c>
      <c r="P4010" s="239"/>
      <c r="Q4010" s="239"/>
      <c r="R4010" s="239"/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/>
      <c r="AC4010" s="196">
        <f t="shared" si="967"/>
        <v>0</v>
      </c>
      <c r="AD4010" s="196">
        <f t="shared" si="968"/>
        <v>0</v>
      </c>
      <c r="AE4010" s="196">
        <f t="shared" si="969"/>
        <v>0</v>
      </c>
      <c r="AF4010" s="2">
        <f t="shared" si="970"/>
        <v>0</v>
      </c>
      <c r="AG4010" s="2">
        <f t="shared" si="971"/>
        <v>0</v>
      </c>
    </row>
    <row r="4011" spans="1:33">
      <c r="A4011" s="20" t="s">
        <v>25053</v>
      </c>
      <c r="B4011" s="150"/>
      <c r="C4011" s="21" t="s">
        <v>23413</v>
      </c>
      <c r="D4011" s="109" t="s">
        <v>3133</v>
      </c>
      <c r="E4011" s="109"/>
      <c r="F4011" s="391" t="s">
        <v>23419</v>
      </c>
      <c r="G4011" s="23" t="s">
        <v>13826</v>
      </c>
      <c r="H4011" s="23"/>
      <c r="I4011" s="23"/>
      <c r="J4011" s="23"/>
      <c r="K4011" s="23"/>
      <c r="L4011" s="375" t="s">
        <v>7787</v>
      </c>
      <c r="M4011" s="351"/>
      <c r="N4011" s="267">
        <f t="shared" ref="N4011" si="995">SUM(L4011:M4011)</f>
        <v>0</v>
      </c>
      <c r="O4011" s="268">
        <f t="shared" ref="O4011" si="996">SUM(P4011:Z4011)</f>
        <v>0</v>
      </c>
      <c r="P4011" s="239"/>
      <c r="Q4011" s="239"/>
      <c r="R4011" s="244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7"/>
        <v>0</v>
      </c>
      <c r="AD4011" s="196">
        <f t="shared" si="968"/>
        <v>0</v>
      </c>
      <c r="AE4011" s="196">
        <f t="shared" si="969"/>
        <v>0</v>
      </c>
      <c r="AF4011" s="2">
        <f t="shared" si="970"/>
        <v>0</v>
      </c>
      <c r="AG4011" s="2">
        <f t="shared" si="971"/>
        <v>0</v>
      </c>
    </row>
    <row r="4012" spans="1:33">
      <c r="A4012" s="20" t="s">
        <v>22996</v>
      </c>
      <c r="B4012" s="150"/>
      <c r="C4012" s="21" t="s">
        <v>23030</v>
      </c>
      <c r="D4012" s="109" t="s">
        <v>7761</v>
      </c>
      <c r="E4012" s="109"/>
      <c r="F4012" s="391" t="s">
        <v>23033</v>
      </c>
      <c r="G4012" s="23" t="s">
        <v>13826</v>
      </c>
      <c r="H4012" s="23"/>
      <c r="I4012" s="23"/>
      <c r="J4012" s="23"/>
      <c r="K4012" s="23"/>
      <c r="L4012" s="375" t="s">
        <v>45</v>
      </c>
      <c r="M4012" s="351" t="s">
        <v>7787</v>
      </c>
      <c r="N4012" s="267">
        <f t="shared" si="972"/>
        <v>0</v>
      </c>
      <c r="O4012" s="268">
        <f t="shared" si="973"/>
        <v>100</v>
      </c>
      <c r="P4012" s="239"/>
      <c r="Q4012" s="239"/>
      <c r="R4012" s="244">
        <f>1100-1000</f>
        <v>100</v>
      </c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 t="s">
        <v>26580</v>
      </c>
      <c r="AC4012" s="196">
        <f t="shared" si="967"/>
        <v>100</v>
      </c>
      <c r="AD4012" s="196">
        <f t="shared" si="968"/>
        <v>100</v>
      </c>
      <c r="AE4012" s="196">
        <f t="shared" si="969"/>
        <v>0</v>
      </c>
      <c r="AF4012" s="2">
        <f t="shared" si="970"/>
        <v>100</v>
      </c>
      <c r="AG4012" s="2">
        <f t="shared" si="971"/>
        <v>0</v>
      </c>
    </row>
    <row r="4013" spans="1:33">
      <c r="A4013" s="20" t="s">
        <v>22902</v>
      </c>
      <c r="B4013" s="150"/>
      <c r="C4013" s="21" t="s">
        <v>22930</v>
      </c>
      <c r="D4013" s="109" t="s">
        <v>7761</v>
      </c>
      <c r="E4013" s="109"/>
      <c r="F4013" s="391" t="s">
        <v>22967</v>
      </c>
      <c r="G4013" s="23" t="s">
        <v>13826</v>
      </c>
      <c r="H4013" s="23"/>
      <c r="I4013" s="23"/>
      <c r="J4013" s="23"/>
      <c r="K4013" s="23"/>
      <c r="L4013" s="375" t="s">
        <v>7787</v>
      </c>
      <c r="M4013" s="351"/>
      <c r="N4013" s="267">
        <f t="shared" si="972"/>
        <v>0</v>
      </c>
      <c r="O4013" s="268">
        <f t="shared" si="973"/>
        <v>0</v>
      </c>
      <c r="P4013" s="239"/>
      <c r="Q4013" s="239"/>
      <c r="R4013" s="239"/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/>
      <c r="AC4013" s="196">
        <f t="shared" si="967"/>
        <v>0</v>
      </c>
      <c r="AD4013" s="196">
        <f t="shared" si="968"/>
        <v>0</v>
      </c>
      <c r="AE4013" s="196">
        <f t="shared" si="969"/>
        <v>0</v>
      </c>
      <c r="AF4013" s="2">
        <f t="shared" si="970"/>
        <v>0</v>
      </c>
      <c r="AG4013" s="2">
        <f t="shared" si="971"/>
        <v>0</v>
      </c>
    </row>
    <row r="4014" spans="1:33">
      <c r="A4014" s="20" t="s">
        <v>22889</v>
      </c>
      <c r="B4014" s="150"/>
      <c r="C4014" s="21" t="s">
        <v>22931</v>
      </c>
      <c r="D4014" s="109" t="s">
        <v>7761</v>
      </c>
      <c r="E4014" s="109" t="s">
        <v>26095</v>
      </c>
      <c r="F4014" s="391" t="s">
        <v>22955</v>
      </c>
      <c r="G4014" s="23" t="s">
        <v>13826</v>
      </c>
      <c r="H4014" s="23" t="s">
        <v>23442</v>
      </c>
      <c r="I4014" s="23"/>
      <c r="J4014" s="23"/>
      <c r="K4014" s="23"/>
      <c r="L4014" s="375" t="s">
        <v>7787</v>
      </c>
      <c r="M4014" s="351" t="s">
        <v>7787</v>
      </c>
      <c r="N4014" s="267">
        <f t="shared" si="972"/>
        <v>0</v>
      </c>
      <c r="O4014" s="268">
        <f t="shared" si="973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7"/>
        <v>0</v>
      </c>
      <c r="AD4014" s="196">
        <f t="shared" si="968"/>
        <v>0</v>
      </c>
      <c r="AE4014" s="196">
        <f t="shared" si="969"/>
        <v>0</v>
      </c>
      <c r="AF4014" s="2">
        <f t="shared" si="970"/>
        <v>0</v>
      </c>
      <c r="AG4014" s="2">
        <f t="shared" si="971"/>
        <v>0</v>
      </c>
    </row>
    <row r="4015" spans="1:33">
      <c r="A4015" s="20" t="s">
        <v>26865</v>
      </c>
      <c r="B4015" s="150"/>
      <c r="C4015" s="21" t="s">
        <v>26307</v>
      </c>
      <c r="D4015" s="109" t="s">
        <v>18869</v>
      </c>
      <c r="E4015" s="109" t="s">
        <v>26306</v>
      </c>
      <c r="F4015" s="391" t="s">
        <v>26308</v>
      </c>
      <c r="G4015" s="23" t="s">
        <v>5511</v>
      </c>
      <c r="H4015" s="23" t="s">
        <v>10645</v>
      </c>
      <c r="I4015" s="23"/>
      <c r="J4015" s="23"/>
      <c r="K4015" s="23"/>
      <c r="L4015" s="375" t="s">
        <v>7787</v>
      </c>
      <c r="M4015" s="351" t="s">
        <v>7787</v>
      </c>
      <c r="N4015" s="267">
        <f t="shared" ref="N4015" si="997">SUM(L4015:M4015)</f>
        <v>0</v>
      </c>
      <c r="O4015" s="268">
        <f t="shared" ref="O4015" si="998">SUM(P4015:Z4015)</f>
        <v>3400</v>
      </c>
      <c r="P4015" s="239"/>
      <c r="Q4015" s="239"/>
      <c r="R4015" s="239">
        <f>10800-950-1500-750-1500-1200-750-750</f>
        <v>3400</v>
      </c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 t="s">
        <v>27404</v>
      </c>
      <c r="AC4015" s="196">
        <f t="shared" si="967"/>
        <v>3400</v>
      </c>
      <c r="AD4015" s="196">
        <f t="shared" si="968"/>
        <v>3400</v>
      </c>
      <c r="AE4015" s="196">
        <f t="shared" si="969"/>
        <v>0</v>
      </c>
      <c r="AF4015" s="2">
        <f t="shared" si="970"/>
        <v>3400</v>
      </c>
      <c r="AG4015" s="2">
        <f t="shared" si="971"/>
        <v>0</v>
      </c>
    </row>
    <row r="4016" spans="1:33">
      <c r="A4016" s="20" t="s">
        <v>23480</v>
      </c>
      <c r="B4016" s="150"/>
      <c r="C4016" s="21" t="s">
        <v>23509</v>
      </c>
      <c r="D4016" s="109" t="s">
        <v>7761</v>
      </c>
      <c r="E4016" s="109"/>
      <c r="F4016" s="391" t="s">
        <v>22955</v>
      </c>
      <c r="G4016" s="23" t="s">
        <v>23528</v>
      </c>
      <c r="H4016" s="23" t="s">
        <v>24228</v>
      </c>
      <c r="I4016" s="23"/>
      <c r="J4016" s="23"/>
      <c r="K4016" s="23"/>
      <c r="L4016" s="375" t="s">
        <v>45</v>
      </c>
      <c r="M4016" s="351" t="s">
        <v>45</v>
      </c>
      <c r="N4016" s="267">
        <f t="shared" si="972"/>
        <v>0</v>
      </c>
      <c r="O4016" s="268">
        <f t="shared" si="973"/>
        <v>0</v>
      </c>
      <c r="P4016" s="239"/>
      <c r="Q4016" s="239"/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7"/>
        <v>0</v>
      </c>
      <c r="AD4016" s="196">
        <f t="shared" si="968"/>
        <v>0</v>
      </c>
      <c r="AE4016" s="196">
        <f t="shared" si="969"/>
        <v>0</v>
      </c>
      <c r="AF4016" s="2">
        <f t="shared" si="970"/>
        <v>0</v>
      </c>
      <c r="AG4016" s="2">
        <f t="shared" si="971"/>
        <v>0</v>
      </c>
    </row>
    <row r="4017" spans="1:33">
      <c r="A4017" s="20" t="s">
        <v>23168</v>
      </c>
      <c r="B4017" s="150"/>
      <c r="C4017" s="21" t="s">
        <v>22931</v>
      </c>
      <c r="D4017" s="109" t="s">
        <v>3133</v>
      </c>
      <c r="E4017" s="109"/>
      <c r="F4017" s="391" t="s">
        <v>22955</v>
      </c>
      <c r="G4017" s="23" t="s">
        <v>13826</v>
      </c>
      <c r="H4017" s="23"/>
      <c r="I4017" s="23"/>
      <c r="J4017" s="23"/>
      <c r="K4017" s="23"/>
      <c r="L4017" s="375"/>
      <c r="M4017" s="351" t="s">
        <v>7787</v>
      </c>
      <c r="N4017" s="267">
        <f t="shared" si="972"/>
        <v>0</v>
      </c>
      <c r="O4017" s="268">
        <f t="shared" si="973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7"/>
        <v>0</v>
      </c>
      <c r="AD4017" s="196">
        <f t="shared" si="968"/>
        <v>0</v>
      </c>
      <c r="AE4017" s="196">
        <f t="shared" si="969"/>
        <v>0</v>
      </c>
      <c r="AF4017" s="2">
        <f t="shared" si="970"/>
        <v>0</v>
      </c>
      <c r="AG4017" s="2">
        <f t="shared" si="971"/>
        <v>0</v>
      </c>
    </row>
    <row r="4018" spans="1:33">
      <c r="A4018" s="20" t="s">
        <v>23173</v>
      </c>
      <c r="B4018" s="150"/>
      <c r="C4018" s="21" t="s">
        <v>23232</v>
      </c>
      <c r="D4018" s="109" t="s">
        <v>7761</v>
      </c>
      <c r="E4018" s="109"/>
      <c r="F4018" s="391" t="s">
        <v>23235</v>
      </c>
      <c r="G4018" s="23" t="s">
        <v>13826</v>
      </c>
      <c r="H4018" s="23" t="s">
        <v>24487</v>
      </c>
      <c r="I4018" s="23"/>
      <c r="J4018" s="23"/>
      <c r="K4018" s="23"/>
      <c r="L4018" s="375" t="s">
        <v>7787</v>
      </c>
      <c r="M4018" s="351"/>
      <c r="N4018" s="267">
        <f t="shared" si="972"/>
        <v>0</v>
      </c>
      <c r="O4018" s="268">
        <f t="shared" si="973"/>
        <v>700</v>
      </c>
      <c r="P4018" s="239"/>
      <c r="Q4018" s="239">
        <f>1000-100-200</f>
        <v>700</v>
      </c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7"/>
        <v>700</v>
      </c>
      <c r="AD4018" s="196">
        <f t="shared" si="968"/>
        <v>700</v>
      </c>
      <c r="AE4018" s="196">
        <f t="shared" si="969"/>
        <v>0</v>
      </c>
      <c r="AF4018" s="2">
        <f t="shared" si="970"/>
        <v>700</v>
      </c>
      <c r="AG4018" s="2">
        <f t="shared" si="971"/>
        <v>0</v>
      </c>
    </row>
    <row r="4019" spans="1:33">
      <c r="A4019" s="20" t="s">
        <v>23070</v>
      </c>
      <c r="B4019" s="150"/>
      <c r="C4019" s="21" t="s">
        <v>23082</v>
      </c>
      <c r="D4019" s="109" t="s">
        <v>3137</v>
      </c>
      <c r="E4019" s="109" t="s">
        <v>23087</v>
      </c>
      <c r="F4019" s="391" t="s">
        <v>23084</v>
      </c>
      <c r="G4019" s="23" t="s">
        <v>13215</v>
      </c>
      <c r="H4019" s="23" t="s">
        <v>13301</v>
      </c>
      <c r="I4019" s="23"/>
      <c r="J4019" s="23"/>
      <c r="K4019" s="23"/>
      <c r="L4019" s="375" t="s">
        <v>7787</v>
      </c>
      <c r="M4019" s="351"/>
      <c r="N4019" s="267">
        <f t="shared" si="972"/>
        <v>0</v>
      </c>
      <c r="O4019" s="268">
        <f t="shared" si="973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si="967"/>
        <v>0</v>
      </c>
      <c r="AD4019" s="196">
        <f t="shared" si="968"/>
        <v>0</v>
      </c>
      <c r="AE4019" s="196">
        <f t="shared" si="969"/>
        <v>0</v>
      </c>
      <c r="AF4019" s="2">
        <f t="shared" si="970"/>
        <v>0</v>
      </c>
      <c r="AG4019" s="2">
        <f t="shared" si="971"/>
        <v>0</v>
      </c>
    </row>
    <row r="4020" spans="1:33">
      <c r="A4020" s="20" t="s">
        <v>23067</v>
      </c>
      <c r="B4020" s="150"/>
      <c r="C4020" s="21" t="s">
        <v>24735</v>
      </c>
      <c r="D4020" s="109" t="s">
        <v>14345</v>
      </c>
      <c r="E4020" s="109" t="s">
        <v>23055</v>
      </c>
      <c r="F4020" s="391" t="s">
        <v>23645</v>
      </c>
      <c r="G4020" s="23" t="s">
        <v>23077</v>
      </c>
      <c r="H4020" s="23" t="s">
        <v>23078</v>
      </c>
      <c r="I4020" s="23" t="s">
        <v>25728</v>
      </c>
      <c r="J4020" s="23"/>
      <c r="K4020" s="23"/>
      <c r="L4020" s="375" t="s">
        <v>45</v>
      </c>
      <c r="M4020" s="351" t="s">
        <v>45</v>
      </c>
      <c r="N4020" s="267">
        <f t="shared" si="972"/>
        <v>0</v>
      </c>
      <c r="O4020" s="268">
        <f t="shared" si="973"/>
        <v>0</v>
      </c>
      <c r="P4020" s="239"/>
      <c r="Q4020" s="239"/>
      <c r="R4020" s="239"/>
      <c r="S4020" s="239"/>
      <c r="T4020" s="239"/>
      <c r="U4020" s="240"/>
      <c r="V4020" s="240"/>
      <c r="W4020" s="240"/>
      <c r="X4020" s="278"/>
      <c r="Y4020" s="237"/>
      <c r="Z4020" s="237"/>
      <c r="AA4020" s="279"/>
      <c r="AB4020" s="238"/>
      <c r="AC4020" s="196">
        <f t="shared" si="967"/>
        <v>0</v>
      </c>
      <c r="AD4020" s="196">
        <f t="shared" si="968"/>
        <v>0</v>
      </c>
      <c r="AE4020" s="196">
        <f t="shared" si="969"/>
        <v>0</v>
      </c>
      <c r="AF4020" s="2">
        <f t="shared" si="970"/>
        <v>0</v>
      </c>
      <c r="AG4020" s="2">
        <f t="shared" si="971"/>
        <v>0</v>
      </c>
    </row>
    <row r="4021" spans="1:33">
      <c r="A4021" s="20" t="s">
        <v>23627</v>
      </c>
      <c r="B4021" s="150"/>
      <c r="C4021" s="21" t="s">
        <v>23621</v>
      </c>
      <c r="D4021" s="109" t="s">
        <v>3102</v>
      </c>
      <c r="E4021" s="109" t="s">
        <v>3128</v>
      </c>
      <c r="F4021" s="391" t="s">
        <v>23645</v>
      </c>
      <c r="G4021" s="23" t="s">
        <v>23646</v>
      </c>
      <c r="H4021" s="23"/>
      <c r="I4021" s="23"/>
      <c r="J4021" s="23"/>
      <c r="K4021" s="23"/>
      <c r="L4021" s="375" t="s">
        <v>7787</v>
      </c>
      <c r="M4021" s="351" t="s">
        <v>7787</v>
      </c>
      <c r="N4021" s="267">
        <f t="shared" si="972"/>
        <v>0</v>
      </c>
      <c r="O4021" s="268">
        <f t="shared" si="973"/>
        <v>0</v>
      </c>
      <c r="P4021" s="239"/>
      <c r="Q4021" s="239"/>
      <c r="R4021" s="239"/>
      <c r="S4021" s="239"/>
      <c r="T4021" s="239"/>
      <c r="U4021" s="240"/>
      <c r="V4021" s="240"/>
      <c r="W4021" s="240"/>
      <c r="X4021" s="278"/>
      <c r="Y4021" s="237"/>
      <c r="Z4021" s="237"/>
      <c r="AA4021" s="279"/>
      <c r="AB4021" s="238"/>
      <c r="AC4021" s="196">
        <f t="shared" si="967"/>
        <v>0</v>
      </c>
      <c r="AD4021" s="196">
        <f t="shared" si="968"/>
        <v>0</v>
      </c>
      <c r="AE4021" s="196">
        <f t="shared" si="969"/>
        <v>0</v>
      </c>
      <c r="AF4021" s="2">
        <f t="shared" si="970"/>
        <v>0</v>
      </c>
      <c r="AG4021" s="2">
        <f t="shared" si="971"/>
        <v>0</v>
      </c>
    </row>
    <row r="4022" spans="1:33">
      <c r="A4022" s="20" t="s">
        <v>23203</v>
      </c>
      <c r="B4022" s="150"/>
      <c r="C4022" s="21" t="s">
        <v>23242</v>
      </c>
      <c r="D4022" s="109" t="s">
        <v>14345</v>
      </c>
      <c r="E4022" s="109" t="s">
        <v>23282</v>
      </c>
      <c r="F4022" s="391" t="s">
        <v>23247</v>
      </c>
      <c r="G4022" s="23" t="s">
        <v>23283</v>
      </c>
      <c r="H4022" s="23"/>
      <c r="I4022" s="23"/>
      <c r="J4022" s="23"/>
      <c r="K4022" s="23"/>
      <c r="L4022" s="375" t="s">
        <v>7787</v>
      </c>
      <c r="M4022" s="351" t="s">
        <v>7787</v>
      </c>
      <c r="N4022" s="267">
        <f t="shared" si="972"/>
        <v>0</v>
      </c>
      <c r="O4022" s="268">
        <f t="shared" si="973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ref="AC4022:AC4087" si="999">SUM(P4022:AA4022)</f>
        <v>0</v>
      </c>
      <c r="AD4022" s="196">
        <f t="shared" ref="AD4022:AD4087" si="1000">SUM(P4022:AB4022)</f>
        <v>0</v>
      </c>
      <c r="AE4022" s="196">
        <f t="shared" ref="AE4022:AE4087" si="1001">SUM(AC4022-AD4022)</f>
        <v>0</v>
      </c>
      <c r="AF4022" s="2">
        <f t="shared" ref="AF4022:AF4087" si="1002">+AC4022</f>
        <v>0</v>
      </c>
      <c r="AG4022" s="2">
        <f t="shared" ref="AG4022:AG4087" si="1003">+AC4022-AF4022</f>
        <v>0</v>
      </c>
    </row>
    <row r="4023" spans="1:33">
      <c r="A4023" s="20" t="s">
        <v>23169</v>
      </c>
      <c r="B4023" s="150"/>
      <c r="C4023" s="21" t="s">
        <v>23195</v>
      </c>
      <c r="D4023" s="109" t="s">
        <v>3137</v>
      </c>
      <c r="E4023" s="109" t="s">
        <v>27726</v>
      </c>
      <c r="F4023" s="391" t="s">
        <v>23214</v>
      </c>
      <c r="G4023" s="23" t="s">
        <v>25596</v>
      </c>
      <c r="H4023" s="23" t="s">
        <v>27727</v>
      </c>
      <c r="I4023" s="23"/>
      <c r="J4023" s="23"/>
      <c r="K4023" s="23"/>
      <c r="L4023" s="375" t="s">
        <v>45</v>
      </c>
      <c r="M4023" s="351"/>
      <c r="N4023" s="267">
        <f t="shared" si="972"/>
        <v>0</v>
      </c>
      <c r="O4023" s="268">
        <f t="shared" si="973"/>
        <v>2450</v>
      </c>
      <c r="P4023" s="239"/>
      <c r="Q4023" s="239"/>
      <c r="R4023" s="239"/>
      <c r="S4023" s="239"/>
      <c r="T4023" s="239"/>
      <c r="U4023" s="240">
        <f>3000-550</f>
        <v>2450</v>
      </c>
      <c r="V4023" s="240"/>
      <c r="W4023" s="240"/>
      <c r="X4023" s="278"/>
      <c r="Y4023" s="237"/>
      <c r="Z4023" s="237"/>
      <c r="AA4023" s="279"/>
      <c r="AB4023" s="238"/>
      <c r="AC4023" s="196">
        <f t="shared" si="999"/>
        <v>2450</v>
      </c>
      <c r="AD4023" s="196">
        <f t="shared" si="1000"/>
        <v>2450</v>
      </c>
      <c r="AE4023" s="196">
        <f t="shared" si="1001"/>
        <v>0</v>
      </c>
      <c r="AF4023" s="2">
        <f t="shared" si="1002"/>
        <v>2450</v>
      </c>
      <c r="AG4023" s="2">
        <f t="shared" si="1003"/>
        <v>0</v>
      </c>
    </row>
    <row r="4024" spans="1:33">
      <c r="A4024" s="20" t="s">
        <v>23157</v>
      </c>
      <c r="B4024" s="150"/>
      <c r="C4024" s="21" t="s">
        <v>23149</v>
      </c>
      <c r="D4024" s="109" t="s">
        <v>3096</v>
      </c>
      <c r="E4024" s="109" t="s">
        <v>23055</v>
      </c>
      <c r="F4024" s="391" t="s">
        <v>23176</v>
      </c>
      <c r="G4024" s="23" t="s">
        <v>16580</v>
      </c>
      <c r="H4024" s="23"/>
      <c r="I4024" s="23"/>
      <c r="J4024" s="23"/>
      <c r="K4024" s="23"/>
      <c r="L4024" s="375" t="s">
        <v>7787</v>
      </c>
      <c r="M4024" s="351">
        <v>100</v>
      </c>
      <c r="N4024" s="267">
        <f t="shared" si="972"/>
        <v>100</v>
      </c>
      <c r="O4024" s="268">
        <f t="shared" si="973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9"/>
        <v>0</v>
      </c>
      <c r="AD4024" s="196">
        <f t="shared" si="1000"/>
        <v>0</v>
      </c>
      <c r="AE4024" s="196">
        <f t="shared" si="1001"/>
        <v>0</v>
      </c>
      <c r="AF4024" s="2">
        <f t="shared" si="1002"/>
        <v>0</v>
      </c>
      <c r="AG4024" s="2">
        <f t="shared" si="1003"/>
        <v>0</v>
      </c>
    </row>
    <row r="4025" spans="1:33">
      <c r="A4025" s="20" t="s">
        <v>23544</v>
      </c>
      <c r="B4025" s="150"/>
      <c r="C4025" s="21" t="s">
        <v>23149</v>
      </c>
      <c r="D4025" s="109" t="s">
        <v>3102</v>
      </c>
      <c r="E4025" s="109" t="s">
        <v>3128</v>
      </c>
      <c r="F4025" s="391" t="s">
        <v>23176</v>
      </c>
      <c r="G4025" s="23" t="s">
        <v>23611</v>
      </c>
      <c r="H4025" s="23"/>
      <c r="I4025" s="23"/>
      <c r="J4025" s="23"/>
      <c r="K4025" s="23"/>
      <c r="L4025" s="375" t="s">
        <v>7787</v>
      </c>
      <c r="M4025" s="351" t="s">
        <v>7787</v>
      </c>
      <c r="N4025" s="267">
        <f t="shared" si="972"/>
        <v>0</v>
      </c>
      <c r="O4025" s="268">
        <f t="shared" si="973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9"/>
        <v>0</v>
      </c>
      <c r="AD4025" s="196">
        <f t="shared" si="1000"/>
        <v>0</v>
      </c>
      <c r="AE4025" s="196">
        <f t="shared" si="1001"/>
        <v>0</v>
      </c>
      <c r="AF4025" s="2">
        <f t="shared" si="1002"/>
        <v>0</v>
      </c>
      <c r="AG4025" s="2">
        <f t="shared" si="1003"/>
        <v>0</v>
      </c>
    </row>
    <row r="4026" spans="1:33">
      <c r="A4026" s="20" t="s">
        <v>23362</v>
      </c>
      <c r="B4026" s="150"/>
      <c r="C4026" s="21" t="s">
        <v>23415</v>
      </c>
      <c r="D4026" s="109" t="s">
        <v>3137</v>
      </c>
      <c r="E4026" s="109" t="s">
        <v>20884</v>
      </c>
      <c r="F4026" s="391" t="s">
        <v>23418</v>
      </c>
      <c r="G4026" s="23" t="s">
        <v>22432</v>
      </c>
      <c r="H4026" s="23" t="s">
        <v>23417</v>
      </c>
      <c r="I4026" s="23"/>
      <c r="J4026" s="23"/>
      <c r="K4026" s="23"/>
      <c r="L4026" s="375" t="s">
        <v>7787</v>
      </c>
      <c r="M4026" s="351"/>
      <c r="N4026" s="267">
        <f t="shared" si="972"/>
        <v>0</v>
      </c>
      <c r="O4026" s="268">
        <f t="shared" si="973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9"/>
        <v>0</v>
      </c>
      <c r="AD4026" s="196">
        <f t="shared" si="1000"/>
        <v>0</v>
      </c>
      <c r="AE4026" s="196">
        <f t="shared" si="1001"/>
        <v>0</v>
      </c>
      <c r="AF4026" s="2">
        <f t="shared" si="1002"/>
        <v>0</v>
      </c>
      <c r="AG4026" s="2">
        <f t="shared" si="1003"/>
        <v>0</v>
      </c>
    </row>
    <row r="4027" spans="1:33">
      <c r="A4027" s="20" t="s">
        <v>23210</v>
      </c>
      <c r="B4027" s="150"/>
      <c r="C4027" s="21" t="s">
        <v>23269</v>
      </c>
      <c r="D4027" s="109" t="s">
        <v>3137</v>
      </c>
      <c r="E4027" s="109" t="s">
        <v>20884</v>
      </c>
      <c r="F4027" s="391" t="s">
        <v>23270</v>
      </c>
      <c r="G4027" s="23" t="s">
        <v>23302</v>
      </c>
      <c r="H4027" s="23" t="s">
        <v>22432</v>
      </c>
      <c r="I4027" s="23" t="s">
        <v>6133</v>
      </c>
      <c r="J4027" s="23"/>
      <c r="K4027" s="23"/>
      <c r="L4027" s="375"/>
      <c r="M4027" s="351"/>
      <c r="N4027" s="267">
        <f t="shared" si="972"/>
        <v>0</v>
      </c>
      <c r="O4027" s="268">
        <f t="shared" si="973"/>
        <v>0</v>
      </c>
      <c r="P4027" s="239"/>
      <c r="Q4027" s="239"/>
      <c r="R4027" s="239"/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/>
      <c r="AC4027" s="196">
        <f t="shared" si="999"/>
        <v>0</v>
      </c>
      <c r="AD4027" s="196">
        <f t="shared" si="1000"/>
        <v>0</v>
      </c>
      <c r="AE4027" s="196">
        <f t="shared" si="1001"/>
        <v>0</v>
      </c>
      <c r="AF4027" s="2">
        <f t="shared" si="1002"/>
        <v>0</v>
      </c>
      <c r="AG4027" s="2">
        <f t="shared" si="1003"/>
        <v>0</v>
      </c>
    </row>
    <row r="4028" spans="1:33">
      <c r="A4028" s="20" t="s">
        <v>23158</v>
      </c>
      <c r="B4028" s="150"/>
      <c r="C4028" s="21" t="s">
        <v>23151</v>
      </c>
      <c r="D4028" s="109" t="s">
        <v>3137</v>
      </c>
      <c r="E4028" s="109" t="s">
        <v>20884</v>
      </c>
      <c r="F4028" s="391" t="s">
        <v>23177</v>
      </c>
      <c r="G4028" s="23" t="s">
        <v>22432</v>
      </c>
      <c r="H4028" s="23"/>
      <c r="I4028" s="23"/>
      <c r="J4028" s="23"/>
      <c r="K4028" s="23"/>
      <c r="L4028" s="375"/>
      <c r="M4028" s="351" t="s">
        <v>7787</v>
      </c>
      <c r="N4028" s="267">
        <f t="shared" si="972"/>
        <v>0</v>
      </c>
      <c r="O4028" s="268">
        <f t="shared" si="973"/>
        <v>0</v>
      </c>
      <c r="P4028" s="239"/>
      <c r="Q4028" s="239"/>
      <c r="R4028" s="239"/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/>
      <c r="AC4028" s="196">
        <f t="shared" si="999"/>
        <v>0</v>
      </c>
      <c r="AD4028" s="196">
        <f t="shared" si="1000"/>
        <v>0</v>
      </c>
      <c r="AE4028" s="196">
        <f t="shared" si="1001"/>
        <v>0</v>
      </c>
      <c r="AF4028" s="2">
        <f t="shared" si="1002"/>
        <v>0</v>
      </c>
      <c r="AG4028" s="2">
        <f t="shared" si="1003"/>
        <v>0</v>
      </c>
    </row>
    <row r="4029" spans="1:33">
      <c r="A4029" s="20" t="s">
        <v>23159</v>
      </c>
      <c r="B4029" s="150"/>
      <c r="C4029" s="21" t="s">
        <v>23152</v>
      </c>
      <c r="D4029" s="109" t="s">
        <v>3137</v>
      </c>
      <c r="E4029" s="109" t="s">
        <v>23598</v>
      </c>
      <c r="F4029" s="391" t="s">
        <v>23178</v>
      </c>
      <c r="G4029" s="23" t="s">
        <v>23184</v>
      </c>
      <c r="H4029" s="23"/>
      <c r="I4029" s="23"/>
      <c r="J4029" s="23"/>
      <c r="K4029" s="23"/>
      <c r="L4029" s="375"/>
      <c r="M4029" s="351"/>
      <c r="N4029" s="267">
        <f t="shared" si="972"/>
        <v>0</v>
      </c>
      <c r="O4029" s="268">
        <f t="shared" si="973"/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9"/>
        <v>0</v>
      </c>
      <c r="AD4029" s="196">
        <f t="shared" si="1000"/>
        <v>0</v>
      </c>
      <c r="AE4029" s="196">
        <f t="shared" si="1001"/>
        <v>0</v>
      </c>
      <c r="AF4029" s="2">
        <f t="shared" si="1002"/>
        <v>0</v>
      </c>
      <c r="AG4029" s="2">
        <f t="shared" si="1003"/>
        <v>0</v>
      </c>
    </row>
    <row r="4030" spans="1:33">
      <c r="A4030" s="20" t="s">
        <v>23114</v>
      </c>
      <c r="B4030" s="150"/>
      <c r="C4030" s="21" t="s">
        <v>23139</v>
      </c>
      <c r="D4030" s="109" t="s">
        <v>3137</v>
      </c>
      <c r="E4030" s="109"/>
      <c r="F4030" s="391" t="s">
        <v>23142</v>
      </c>
      <c r="G4030" s="23" t="s">
        <v>14844</v>
      </c>
      <c r="H4030" s="23" t="s">
        <v>23228</v>
      </c>
      <c r="I4030" s="23" t="s">
        <v>23698</v>
      </c>
      <c r="J4030" s="23" t="s">
        <v>24569</v>
      </c>
      <c r="K4030" s="23"/>
      <c r="L4030" s="375" t="s">
        <v>27429</v>
      </c>
      <c r="M4030" s="351" t="s">
        <v>7787</v>
      </c>
      <c r="N4030" s="267">
        <f t="shared" si="972"/>
        <v>0</v>
      </c>
      <c r="O4030" s="268">
        <f t="shared" si="973"/>
        <v>950</v>
      </c>
      <c r="P4030" s="239"/>
      <c r="Q4030" s="239"/>
      <c r="R4030" s="239">
        <f>1450-150+650-1000</f>
        <v>950</v>
      </c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 t="s">
        <v>27409</v>
      </c>
      <c r="AC4030" s="196">
        <f t="shared" si="999"/>
        <v>950</v>
      </c>
      <c r="AD4030" s="196">
        <f t="shared" si="1000"/>
        <v>950</v>
      </c>
      <c r="AE4030" s="196">
        <f t="shared" si="1001"/>
        <v>0</v>
      </c>
      <c r="AF4030" s="2">
        <f t="shared" si="1002"/>
        <v>950</v>
      </c>
      <c r="AG4030" s="2">
        <f t="shared" si="1003"/>
        <v>0</v>
      </c>
    </row>
    <row r="4031" spans="1:33">
      <c r="A4031" s="20" t="s">
        <v>23901</v>
      </c>
      <c r="B4031" s="150"/>
      <c r="C4031" s="21" t="s">
        <v>23139</v>
      </c>
      <c r="D4031" s="109" t="s">
        <v>3137</v>
      </c>
      <c r="E4031" s="109"/>
      <c r="F4031" s="391" t="s">
        <v>23142</v>
      </c>
      <c r="G4031" s="23" t="s">
        <v>13349</v>
      </c>
      <c r="H4031" s="23" t="s">
        <v>14844</v>
      </c>
      <c r="I4031" s="23" t="s">
        <v>6133</v>
      </c>
      <c r="J4031" s="23" t="s">
        <v>13214</v>
      </c>
      <c r="K4031" s="23"/>
      <c r="L4031" s="375"/>
      <c r="M4031" s="351"/>
      <c r="N4031" s="267">
        <f t="shared" si="972"/>
        <v>0</v>
      </c>
      <c r="O4031" s="268">
        <f t="shared" si="973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9"/>
        <v>0</v>
      </c>
      <c r="AD4031" s="196">
        <f t="shared" si="1000"/>
        <v>0</v>
      </c>
      <c r="AE4031" s="196">
        <f t="shared" si="1001"/>
        <v>0</v>
      </c>
      <c r="AF4031" s="2">
        <f t="shared" si="1002"/>
        <v>0</v>
      </c>
      <c r="AG4031" s="2">
        <f t="shared" si="1003"/>
        <v>0</v>
      </c>
    </row>
    <row r="4032" spans="1:33">
      <c r="A4032" s="20" t="s">
        <v>27100</v>
      </c>
      <c r="B4032" s="150"/>
      <c r="C4032" s="21" t="s">
        <v>26453</v>
      </c>
      <c r="D4032" s="109" t="s">
        <v>4070</v>
      </c>
      <c r="E4032" s="109" t="s">
        <v>26455</v>
      </c>
      <c r="F4032" s="391" t="s">
        <v>26454</v>
      </c>
      <c r="G4032" s="23" t="s">
        <v>12058</v>
      </c>
      <c r="H4032" s="23"/>
      <c r="I4032" s="23"/>
      <c r="J4032" s="23"/>
      <c r="K4032" s="23"/>
      <c r="L4032" s="375"/>
      <c r="M4032" s="351"/>
      <c r="N4032" s="267">
        <f t="shared" ref="N4032" si="1004">SUM(L4032:M4032)</f>
        <v>0</v>
      </c>
      <c r="O4032" s="268">
        <f t="shared" ref="O4032" si="1005">SUM(P4032:Z4032)</f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9"/>
        <v>0</v>
      </c>
      <c r="AD4032" s="196">
        <f t="shared" si="1000"/>
        <v>0</v>
      </c>
      <c r="AE4032" s="196">
        <f t="shared" si="1001"/>
        <v>0</v>
      </c>
      <c r="AF4032" s="2">
        <f t="shared" si="1002"/>
        <v>0</v>
      </c>
      <c r="AG4032" s="2">
        <f t="shared" si="1003"/>
        <v>0</v>
      </c>
    </row>
    <row r="4033" spans="1:33">
      <c r="A4033" s="20" t="s">
        <v>23160</v>
      </c>
      <c r="B4033" s="150"/>
      <c r="C4033" s="21" t="s">
        <v>23145</v>
      </c>
      <c r="D4033" s="109" t="s">
        <v>3096</v>
      </c>
      <c r="E4033" s="109" t="s">
        <v>23055</v>
      </c>
      <c r="F4033" s="391" t="s">
        <v>23179</v>
      </c>
      <c r="G4033" s="23" t="s">
        <v>16580</v>
      </c>
      <c r="H4033" s="23"/>
      <c r="I4033" s="23"/>
      <c r="J4033" s="23"/>
      <c r="K4033" s="23"/>
      <c r="L4033" s="375"/>
      <c r="M4033" s="351"/>
      <c r="N4033" s="267">
        <f t="shared" si="972"/>
        <v>0</v>
      </c>
      <c r="O4033" s="268">
        <f t="shared" si="973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9"/>
        <v>0</v>
      </c>
      <c r="AD4033" s="196">
        <f t="shared" si="1000"/>
        <v>0</v>
      </c>
      <c r="AE4033" s="196">
        <f t="shared" si="1001"/>
        <v>0</v>
      </c>
      <c r="AF4033" s="2">
        <f t="shared" si="1002"/>
        <v>0</v>
      </c>
      <c r="AG4033" s="2">
        <f t="shared" si="1003"/>
        <v>0</v>
      </c>
    </row>
    <row r="4034" spans="1:33">
      <c r="A4034" s="20" t="s">
        <v>23628</v>
      </c>
      <c r="B4034" s="150"/>
      <c r="C4034" s="21" t="s">
        <v>23648</v>
      </c>
      <c r="D4034" s="109" t="s">
        <v>3102</v>
      </c>
      <c r="E4034" s="109" t="s">
        <v>3128</v>
      </c>
      <c r="F4034" s="391" t="s">
        <v>23179</v>
      </c>
      <c r="G4034" s="23" t="s">
        <v>23649</v>
      </c>
      <c r="H4034" s="23"/>
      <c r="I4034" s="23"/>
      <c r="J4034" s="23"/>
      <c r="K4034" s="23"/>
      <c r="L4034" s="375"/>
      <c r="M4034" s="351"/>
      <c r="N4034" s="267">
        <f t="shared" si="972"/>
        <v>0</v>
      </c>
      <c r="O4034" s="268">
        <f t="shared" si="973"/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9"/>
        <v>0</v>
      </c>
      <c r="AD4034" s="196">
        <f t="shared" si="1000"/>
        <v>0</v>
      </c>
      <c r="AE4034" s="196">
        <f t="shared" si="1001"/>
        <v>0</v>
      </c>
      <c r="AF4034" s="2">
        <f t="shared" si="1002"/>
        <v>0</v>
      </c>
      <c r="AG4034" s="2">
        <f t="shared" si="1003"/>
        <v>0</v>
      </c>
    </row>
    <row r="4035" spans="1:33">
      <c r="A4035" s="20" t="s">
        <v>23293</v>
      </c>
      <c r="B4035" s="150"/>
      <c r="C4035" s="21" t="s">
        <v>23328</v>
      </c>
      <c r="D4035" s="109" t="s">
        <v>3099</v>
      </c>
      <c r="E4035" s="109"/>
      <c r="F4035" s="391" t="s">
        <v>23333</v>
      </c>
      <c r="G4035" s="23" t="s">
        <v>13826</v>
      </c>
      <c r="H4035" s="23"/>
      <c r="I4035" s="23"/>
      <c r="J4035" s="23"/>
      <c r="K4035" s="23"/>
      <c r="L4035" s="375" t="s">
        <v>7787</v>
      </c>
      <c r="M4035" s="351"/>
      <c r="N4035" s="267">
        <f t="shared" si="972"/>
        <v>0</v>
      </c>
      <c r="O4035" s="268">
        <f t="shared" si="973"/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9"/>
        <v>0</v>
      </c>
      <c r="AD4035" s="196">
        <f t="shared" si="1000"/>
        <v>0</v>
      </c>
      <c r="AE4035" s="196">
        <f t="shared" si="1001"/>
        <v>0</v>
      </c>
      <c r="AF4035" s="2">
        <f t="shared" si="1002"/>
        <v>0</v>
      </c>
      <c r="AG4035" s="2">
        <f t="shared" si="1003"/>
        <v>0</v>
      </c>
    </row>
    <row r="4036" spans="1:33">
      <c r="A4036" s="20" t="s">
        <v>2919</v>
      </c>
      <c r="B4036" s="150"/>
      <c r="C4036" s="21" t="s">
        <v>851</v>
      </c>
      <c r="D4036" s="109" t="s">
        <v>16376</v>
      </c>
      <c r="E4036" s="109" t="s">
        <v>16658</v>
      </c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972"/>
        <v>0</v>
      </c>
      <c r="O4036" s="268">
        <f t="shared" si="973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9"/>
        <v>0</v>
      </c>
      <c r="AD4036" s="196">
        <f t="shared" si="1000"/>
        <v>0</v>
      </c>
      <c r="AE4036" s="196">
        <f t="shared" si="1001"/>
        <v>0</v>
      </c>
      <c r="AF4036" s="2">
        <f t="shared" si="1002"/>
        <v>0</v>
      </c>
      <c r="AG4036" s="2">
        <f t="shared" si="1003"/>
        <v>0</v>
      </c>
    </row>
    <row r="4037" spans="1:33">
      <c r="A4037" s="20" t="s">
        <v>2920</v>
      </c>
      <c r="B4037" s="150"/>
      <c r="C4037" s="21" t="s">
        <v>851</v>
      </c>
      <c r="D4037" s="109" t="s">
        <v>16376</v>
      </c>
      <c r="E4037" s="109" t="s">
        <v>15965</v>
      </c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ref="N4037:N4121" si="1006">SUM(L4037:M4037)</f>
        <v>0</v>
      </c>
      <c r="O4037" s="268">
        <f t="shared" ref="O4037:O4121" si="1007">SUM(P4037:Z4037)</f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9"/>
        <v>0</v>
      </c>
      <c r="AD4037" s="196">
        <f t="shared" si="1000"/>
        <v>0</v>
      </c>
      <c r="AE4037" s="196">
        <f t="shared" si="1001"/>
        <v>0</v>
      </c>
      <c r="AF4037" s="2">
        <f t="shared" si="1002"/>
        <v>0</v>
      </c>
      <c r="AG4037" s="2">
        <f t="shared" si="1003"/>
        <v>0</v>
      </c>
    </row>
    <row r="4038" spans="1:33">
      <c r="A4038" s="20" t="s">
        <v>2915</v>
      </c>
      <c r="B4038" s="150"/>
      <c r="C4038" s="21" t="s">
        <v>851</v>
      </c>
      <c r="D4038" s="109" t="s">
        <v>16251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6"/>
        <v>0</v>
      </c>
      <c r="O4038" s="268">
        <f t="shared" si="1007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9"/>
        <v>0</v>
      </c>
      <c r="AD4038" s="196">
        <f t="shared" si="1000"/>
        <v>0</v>
      </c>
      <c r="AE4038" s="196">
        <f t="shared" si="1001"/>
        <v>0</v>
      </c>
      <c r="AF4038" s="2">
        <f t="shared" si="1002"/>
        <v>0</v>
      </c>
      <c r="AG4038" s="2">
        <f t="shared" si="1003"/>
        <v>0</v>
      </c>
    </row>
    <row r="4039" spans="1:33">
      <c r="A4039" s="20" t="s">
        <v>2916</v>
      </c>
      <c r="B4039" s="150"/>
      <c r="C4039" s="21" t="s">
        <v>851</v>
      </c>
      <c r="D4039" s="109" t="s">
        <v>16851</v>
      </c>
      <c r="E4039" s="109"/>
      <c r="F4039" s="391" t="s">
        <v>16912</v>
      </c>
      <c r="G4039" s="23"/>
      <c r="H4039" s="23"/>
      <c r="I4039" s="23"/>
      <c r="J4039" s="23"/>
      <c r="K4039" s="23"/>
      <c r="L4039" s="350"/>
      <c r="M4039" s="351"/>
      <c r="N4039" s="267">
        <f t="shared" si="1006"/>
        <v>0</v>
      </c>
      <c r="O4039" s="268">
        <f t="shared" si="1007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9"/>
        <v>0</v>
      </c>
      <c r="AD4039" s="196">
        <f t="shared" si="1000"/>
        <v>0</v>
      </c>
      <c r="AE4039" s="196">
        <f t="shared" si="1001"/>
        <v>0</v>
      </c>
      <c r="AF4039" s="2">
        <f t="shared" si="1002"/>
        <v>0</v>
      </c>
      <c r="AG4039" s="2">
        <f t="shared" si="1003"/>
        <v>0</v>
      </c>
    </row>
    <row r="4040" spans="1:33">
      <c r="A4040" s="20" t="s">
        <v>2917</v>
      </c>
      <c r="B4040" s="150"/>
      <c r="C4040" s="21" t="s">
        <v>851</v>
      </c>
      <c r="D4040" s="109" t="s">
        <v>15161</v>
      </c>
      <c r="E4040" s="109"/>
      <c r="F4040" s="391" t="s">
        <v>16912</v>
      </c>
      <c r="G4040" s="23"/>
      <c r="H4040" s="23"/>
      <c r="I4040" s="23"/>
      <c r="J4040" s="23"/>
      <c r="K4040" s="23"/>
      <c r="L4040" s="350"/>
      <c r="M4040" s="351"/>
      <c r="N4040" s="267">
        <f t="shared" si="1006"/>
        <v>0</v>
      </c>
      <c r="O4040" s="268">
        <f t="shared" si="1007"/>
        <v>0</v>
      </c>
      <c r="P4040" s="239"/>
      <c r="Q4040" s="239"/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/>
      <c r="AC4040" s="196">
        <f t="shared" si="999"/>
        <v>0</v>
      </c>
      <c r="AD4040" s="196">
        <f t="shared" si="1000"/>
        <v>0</v>
      </c>
      <c r="AE4040" s="196">
        <f t="shared" si="1001"/>
        <v>0</v>
      </c>
      <c r="AF4040" s="2">
        <f t="shared" si="1002"/>
        <v>0</v>
      </c>
      <c r="AG4040" s="2">
        <f t="shared" si="1003"/>
        <v>0</v>
      </c>
    </row>
    <row r="4041" spans="1:33">
      <c r="A4041" s="20" t="s">
        <v>2918</v>
      </c>
      <c r="B4041" s="150"/>
      <c r="C4041" s="21" t="s">
        <v>851</v>
      </c>
      <c r="D4041" s="109" t="s">
        <v>15167</v>
      </c>
      <c r="E4041" s="109"/>
      <c r="F4041" s="391" t="s">
        <v>16912</v>
      </c>
      <c r="G4041" s="23"/>
      <c r="H4041" s="23"/>
      <c r="I4041" s="23"/>
      <c r="J4041" s="23"/>
      <c r="K4041" s="23"/>
      <c r="L4041" s="350"/>
      <c r="M4041" s="351"/>
      <c r="N4041" s="267">
        <f t="shared" si="1006"/>
        <v>0</v>
      </c>
      <c r="O4041" s="268">
        <f t="shared" si="1007"/>
        <v>0</v>
      </c>
      <c r="P4041" s="239"/>
      <c r="Q4041" s="239"/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/>
      <c r="AC4041" s="196">
        <f t="shared" si="999"/>
        <v>0</v>
      </c>
      <c r="AD4041" s="196">
        <f t="shared" si="1000"/>
        <v>0</v>
      </c>
      <c r="AE4041" s="196">
        <f t="shared" si="1001"/>
        <v>0</v>
      </c>
      <c r="AF4041" s="2">
        <f t="shared" si="1002"/>
        <v>0</v>
      </c>
      <c r="AG4041" s="2">
        <f t="shared" si="1003"/>
        <v>0</v>
      </c>
    </row>
    <row r="4042" spans="1:33">
      <c r="A4042" s="20" t="s">
        <v>23286</v>
      </c>
      <c r="B4042" s="150"/>
      <c r="C4042" s="21" t="s">
        <v>23279</v>
      </c>
      <c r="D4042" s="109" t="s">
        <v>3137</v>
      </c>
      <c r="E4042" s="109"/>
      <c r="F4042" s="391" t="s">
        <v>23298</v>
      </c>
      <c r="G4042" s="23" t="s">
        <v>13214</v>
      </c>
      <c r="H4042" s="23" t="s">
        <v>23303</v>
      </c>
      <c r="I4042" s="23"/>
      <c r="J4042" s="23"/>
      <c r="K4042" s="23"/>
      <c r="L4042" s="375"/>
      <c r="M4042" s="351"/>
      <c r="N4042" s="267">
        <f t="shared" si="1006"/>
        <v>0</v>
      </c>
      <c r="O4042" s="268">
        <f t="shared" si="1007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9"/>
        <v>0</v>
      </c>
      <c r="AD4042" s="196">
        <f t="shared" si="1000"/>
        <v>0</v>
      </c>
      <c r="AE4042" s="196">
        <f t="shared" si="1001"/>
        <v>0</v>
      </c>
      <c r="AF4042" s="2">
        <f t="shared" si="1002"/>
        <v>0</v>
      </c>
      <c r="AG4042" s="2">
        <f t="shared" si="1003"/>
        <v>0</v>
      </c>
    </row>
    <row r="4043" spans="1:33">
      <c r="A4043" s="20" t="s">
        <v>27101</v>
      </c>
      <c r="B4043" s="150"/>
      <c r="C4043" s="21" t="s">
        <v>25483</v>
      </c>
      <c r="D4043" s="109" t="s">
        <v>4070</v>
      </c>
      <c r="E4043" s="109" t="s">
        <v>25718</v>
      </c>
      <c r="F4043" s="391" t="s">
        <v>25484</v>
      </c>
      <c r="G4043" s="23" t="s">
        <v>25485</v>
      </c>
      <c r="H4043" s="23" t="s">
        <v>25402</v>
      </c>
      <c r="I4043" s="23"/>
      <c r="J4043" s="23"/>
      <c r="K4043" s="23"/>
      <c r="L4043" s="375" t="s">
        <v>45</v>
      </c>
      <c r="M4043" s="351"/>
      <c r="N4043" s="267">
        <f t="shared" ref="N4043" si="1008">SUM(L4043:M4043)</f>
        <v>0</v>
      </c>
      <c r="O4043" s="268">
        <f t="shared" ref="O4043" si="1009">SUM(P4043:Z4043)</f>
        <v>2100</v>
      </c>
      <c r="P4043" s="239"/>
      <c r="Q4043" s="239">
        <f>3600-50-1000-50-400</f>
        <v>2100</v>
      </c>
      <c r="R4043" s="239"/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 t="s">
        <v>27210</v>
      </c>
      <c r="AC4043" s="196">
        <f t="shared" si="999"/>
        <v>2100</v>
      </c>
      <c r="AD4043" s="196">
        <f t="shared" si="1000"/>
        <v>2100</v>
      </c>
      <c r="AE4043" s="196">
        <f t="shared" si="1001"/>
        <v>0</v>
      </c>
      <c r="AF4043" s="2">
        <f t="shared" si="1002"/>
        <v>2100</v>
      </c>
      <c r="AG4043" s="2">
        <f t="shared" si="1003"/>
        <v>0</v>
      </c>
    </row>
    <row r="4044" spans="1:33">
      <c r="A4044" s="20" t="s">
        <v>23204</v>
      </c>
      <c r="B4044" s="150"/>
      <c r="C4044" s="21" t="s">
        <v>23236</v>
      </c>
      <c r="D4044" s="109" t="s">
        <v>3096</v>
      </c>
      <c r="E4044" s="109" t="s">
        <v>19998</v>
      </c>
      <c r="F4044" s="391" t="s">
        <v>23248</v>
      </c>
      <c r="G4044" s="23" t="s">
        <v>13581</v>
      </c>
      <c r="H4044" s="23"/>
      <c r="I4044" s="23"/>
      <c r="J4044" s="23"/>
      <c r="K4044" s="23"/>
      <c r="L4044" s="375" t="s">
        <v>7787</v>
      </c>
      <c r="M4044" s="351">
        <v>10000</v>
      </c>
      <c r="N4044" s="267">
        <f t="shared" si="1006"/>
        <v>10000</v>
      </c>
      <c r="O4044" s="268">
        <f t="shared" si="1007"/>
        <v>0</v>
      </c>
      <c r="P4044" s="239"/>
      <c r="Q4044" s="239"/>
      <c r="R4044" s="239"/>
      <c r="S4044" s="239"/>
      <c r="T4044" s="239"/>
      <c r="U4044" s="240"/>
      <c r="V4044" s="240"/>
      <c r="W4044" s="240"/>
      <c r="X4044" s="278"/>
      <c r="Y4044" s="237"/>
      <c r="Z4044" s="237"/>
      <c r="AA4044" s="279"/>
      <c r="AB4044" s="238"/>
      <c r="AC4044" s="196">
        <f t="shared" si="999"/>
        <v>0</v>
      </c>
      <c r="AD4044" s="196">
        <f t="shared" si="1000"/>
        <v>0</v>
      </c>
      <c r="AE4044" s="196">
        <f t="shared" si="1001"/>
        <v>0</v>
      </c>
      <c r="AF4044" s="2">
        <f t="shared" si="1002"/>
        <v>0</v>
      </c>
      <c r="AG4044" s="2">
        <f t="shared" si="1003"/>
        <v>0</v>
      </c>
    </row>
    <row r="4045" spans="1:33">
      <c r="A4045" s="20" t="s">
        <v>23349</v>
      </c>
      <c r="B4045" s="150"/>
      <c r="C4045" s="21" t="s">
        <v>23337</v>
      </c>
      <c r="D4045" s="109" t="s">
        <v>3133</v>
      </c>
      <c r="E4045" s="109"/>
      <c r="F4045" s="391" t="s">
        <v>23370</v>
      </c>
      <c r="G4045" s="23" t="s">
        <v>23338</v>
      </c>
      <c r="H4045" s="23"/>
      <c r="I4045" s="23"/>
      <c r="J4045" s="23"/>
      <c r="K4045" s="23"/>
      <c r="L4045" s="375" t="s">
        <v>7787</v>
      </c>
      <c r="M4045" s="351"/>
      <c r="N4045" s="267">
        <f t="shared" si="1006"/>
        <v>0</v>
      </c>
      <c r="O4045" s="268">
        <f t="shared" si="1007"/>
        <v>0</v>
      </c>
      <c r="P4045" s="239"/>
      <c r="Q4045" s="239"/>
      <c r="R4045" s="239"/>
      <c r="S4045" s="239"/>
      <c r="T4045" s="239"/>
      <c r="U4045" s="240"/>
      <c r="V4045" s="240"/>
      <c r="W4045" s="240"/>
      <c r="X4045" s="278"/>
      <c r="Y4045" s="237"/>
      <c r="Z4045" s="237"/>
      <c r="AA4045" s="279"/>
      <c r="AB4045" s="238"/>
      <c r="AC4045" s="196">
        <f t="shared" si="999"/>
        <v>0</v>
      </c>
      <c r="AD4045" s="196">
        <f t="shared" si="1000"/>
        <v>0</v>
      </c>
      <c r="AE4045" s="196">
        <f t="shared" si="1001"/>
        <v>0</v>
      </c>
      <c r="AF4045" s="2">
        <f t="shared" si="1002"/>
        <v>0</v>
      </c>
      <c r="AG4045" s="2">
        <f t="shared" si="1003"/>
        <v>0</v>
      </c>
    </row>
    <row r="4046" spans="1:33">
      <c r="A4046" s="20" t="s">
        <v>23205</v>
      </c>
      <c r="B4046" s="150"/>
      <c r="C4046" s="21" t="s">
        <v>23245</v>
      </c>
      <c r="D4046" s="109" t="s">
        <v>3137</v>
      </c>
      <c r="E4046" s="109" t="s">
        <v>21200</v>
      </c>
      <c r="F4046" s="391" t="s">
        <v>23249</v>
      </c>
      <c r="G4046" s="23" t="s">
        <v>23301</v>
      </c>
      <c r="H4046" s="23"/>
      <c r="I4046" s="23"/>
      <c r="J4046" s="23"/>
      <c r="K4046" s="23"/>
      <c r="L4046" s="375" t="s">
        <v>7787</v>
      </c>
      <c r="M4046" s="351"/>
      <c r="N4046" s="267">
        <f t="shared" si="1006"/>
        <v>0</v>
      </c>
      <c r="O4046" s="268">
        <f t="shared" si="1007"/>
        <v>150</v>
      </c>
      <c r="P4046" s="239"/>
      <c r="Q4046" s="239"/>
      <c r="R4046" s="239">
        <f>250-100</f>
        <v>150</v>
      </c>
      <c r="S4046" s="239"/>
      <c r="T4046" s="239"/>
      <c r="U4046" s="240"/>
      <c r="V4046" s="240"/>
      <c r="W4046" s="240"/>
      <c r="X4046" s="278"/>
      <c r="Y4046" s="237"/>
      <c r="Z4046" s="237"/>
      <c r="AA4046" s="279"/>
      <c r="AB4046" s="238" t="s">
        <v>23443</v>
      </c>
      <c r="AC4046" s="196">
        <f t="shared" si="999"/>
        <v>150</v>
      </c>
      <c r="AD4046" s="196">
        <f t="shared" si="1000"/>
        <v>150</v>
      </c>
      <c r="AE4046" s="196">
        <f t="shared" si="1001"/>
        <v>0</v>
      </c>
      <c r="AF4046" s="2">
        <f t="shared" si="1002"/>
        <v>150</v>
      </c>
      <c r="AG4046" s="2">
        <f t="shared" si="1003"/>
        <v>0</v>
      </c>
    </row>
    <row r="4047" spans="1:33">
      <c r="A4047" s="20" t="s">
        <v>23287</v>
      </c>
      <c r="B4047" s="150"/>
      <c r="C4047" s="21" t="s">
        <v>23305</v>
      </c>
      <c r="D4047" s="109" t="s">
        <v>3927</v>
      </c>
      <c r="E4047" s="109"/>
      <c r="F4047" s="391" t="s">
        <v>23307</v>
      </c>
      <c r="G4047" s="23" t="s">
        <v>16333</v>
      </c>
      <c r="H4047" s="23" t="s">
        <v>15547</v>
      </c>
      <c r="I4047" s="23" t="s">
        <v>23310</v>
      </c>
      <c r="J4047" s="23"/>
      <c r="K4047" s="23"/>
      <c r="L4047" s="375" t="s">
        <v>45</v>
      </c>
      <c r="M4047" s="351" t="s">
        <v>45</v>
      </c>
      <c r="N4047" s="267">
        <f t="shared" si="1006"/>
        <v>0</v>
      </c>
      <c r="O4047" s="268">
        <f t="shared" si="1007"/>
        <v>0</v>
      </c>
      <c r="P4047" s="239"/>
      <c r="Q4047" s="239"/>
      <c r="R4047" s="239"/>
      <c r="S4047" s="239"/>
      <c r="T4047" s="239"/>
      <c r="U4047" s="239"/>
      <c r="V4047" s="240"/>
      <c r="W4047" s="240"/>
      <c r="X4047" s="278"/>
      <c r="Y4047" s="237"/>
      <c r="Z4047" s="237"/>
      <c r="AA4047" s="279"/>
      <c r="AB4047" s="238"/>
      <c r="AC4047" s="196">
        <f t="shared" si="999"/>
        <v>0</v>
      </c>
      <c r="AD4047" s="196">
        <f t="shared" si="1000"/>
        <v>0</v>
      </c>
      <c r="AE4047" s="196">
        <f t="shared" si="1001"/>
        <v>0</v>
      </c>
      <c r="AF4047" s="2">
        <f t="shared" si="1002"/>
        <v>0</v>
      </c>
      <c r="AG4047" s="2">
        <f t="shared" si="1003"/>
        <v>0</v>
      </c>
    </row>
    <row r="4048" spans="1:33">
      <c r="A4048" s="20" t="s">
        <v>23481</v>
      </c>
      <c r="B4048" s="150"/>
      <c r="C4048" s="21" t="s">
        <v>23501</v>
      </c>
      <c r="D4048" s="109" t="s">
        <v>4071</v>
      </c>
      <c r="E4048" s="109"/>
      <c r="F4048" s="391" t="s">
        <v>23500</v>
      </c>
      <c r="G4048" s="23" t="s">
        <v>11710</v>
      </c>
      <c r="H4048" s="23" t="s">
        <v>5445</v>
      </c>
      <c r="I4048" s="23" t="s">
        <v>5416</v>
      </c>
      <c r="J4048" s="23"/>
      <c r="K4048" s="23"/>
      <c r="L4048" s="375" t="s">
        <v>45</v>
      </c>
      <c r="M4048" s="351"/>
      <c r="N4048" s="267">
        <f t="shared" si="1006"/>
        <v>0</v>
      </c>
      <c r="O4048" s="268">
        <f t="shared" si="1007"/>
        <v>4500</v>
      </c>
      <c r="P4048" s="239"/>
      <c r="Q4048" s="239"/>
      <c r="R4048" s="239"/>
      <c r="S4048" s="239"/>
      <c r="T4048" s="239"/>
      <c r="U4048" s="239"/>
      <c r="V4048" s="240">
        <f>2600+2200+2600+1800+1800+3200+2200+2100+2800+2300+2800+1500-400-3000-5000-2000-2000-5000-3000-3000</f>
        <v>4500</v>
      </c>
      <c r="W4048" s="240"/>
      <c r="X4048" s="278"/>
      <c r="Y4048" s="237"/>
      <c r="Z4048" s="237"/>
      <c r="AA4048" s="279"/>
      <c r="AB4048" s="238" t="s">
        <v>27343</v>
      </c>
      <c r="AC4048" s="196">
        <f t="shared" si="999"/>
        <v>4500</v>
      </c>
      <c r="AD4048" s="196">
        <f t="shared" si="1000"/>
        <v>4500</v>
      </c>
      <c r="AE4048" s="196">
        <f t="shared" si="1001"/>
        <v>0</v>
      </c>
      <c r="AF4048" s="2">
        <f t="shared" si="1002"/>
        <v>4500</v>
      </c>
      <c r="AG4048" s="2">
        <f t="shared" si="1003"/>
        <v>0</v>
      </c>
    </row>
    <row r="4049" spans="1:33">
      <c r="A4049" s="20" t="s">
        <v>23350</v>
      </c>
      <c r="B4049" s="150"/>
      <c r="C4049" s="21" t="s">
        <v>23340</v>
      </c>
      <c r="D4049" s="109" t="s">
        <v>3137</v>
      </c>
      <c r="E4049" s="109"/>
      <c r="F4049" s="391" t="s">
        <v>23371</v>
      </c>
      <c r="G4049" s="23" t="s">
        <v>14844</v>
      </c>
      <c r="H4049" s="23" t="s">
        <v>13942</v>
      </c>
      <c r="I4049" s="23"/>
      <c r="J4049" s="23"/>
      <c r="K4049" s="23"/>
      <c r="L4049" s="375" t="s">
        <v>7787</v>
      </c>
      <c r="M4049" s="351"/>
      <c r="N4049" s="267">
        <f t="shared" si="1006"/>
        <v>0</v>
      </c>
      <c r="O4049" s="268">
        <f t="shared" si="1007"/>
        <v>0</v>
      </c>
      <c r="P4049" s="239"/>
      <c r="Q4049" s="239"/>
      <c r="R4049" s="239"/>
      <c r="S4049" s="239"/>
      <c r="T4049" s="239"/>
      <c r="U4049" s="239"/>
      <c r="V4049" s="240"/>
      <c r="W4049" s="240"/>
      <c r="X4049" s="278"/>
      <c r="Y4049" s="237"/>
      <c r="Z4049" s="237"/>
      <c r="AA4049" s="279"/>
      <c r="AB4049" s="238"/>
      <c r="AC4049" s="196">
        <f t="shared" si="999"/>
        <v>0</v>
      </c>
      <c r="AD4049" s="196">
        <f t="shared" si="1000"/>
        <v>0</v>
      </c>
      <c r="AE4049" s="196">
        <f t="shared" si="1001"/>
        <v>0</v>
      </c>
      <c r="AF4049" s="2">
        <f t="shared" si="1002"/>
        <v>0</v>
      </c>
      <c r="AG4049" s="2">
        <f t="shared" si="1003"/>
        <v>0</v>
      </c>
    </row>
    <row r="4050" spans="1:33">
      <c r="A4050" s="20" t="s">
        <v>23288</v>
      </c>
      <c r="B4050" s="150"/>
      <c r="C4050" s="21" t="s">
        <v>23306</v>
      </c>
      <c r="D4050" s="109" t="s">
        <v>3137</v>
      </c>
      <c r="E4050" s="109" t="s">
        <v>23312</v>
      </c>
      <c r="F4050" s="391" t="s">
        <v>23308</v>
      </c>
      <c r="G4050" s="23" t="s">
        <v>23311</v>
      </c>
      <c r="H4050" s="23"/>
      <c r="I4050" s="23"/>
      <c r="J4050" s="23"/>
      <c r="K4050" s="23"/>
      <c r="L4050" s="375" t="s">
        <v>7787</v>
      </c>
      <c r="M4050" s="351"/>
      <c r="N4050" s="267">
        <f t="shared" si="1006"/>
        <v>0</v>
      </c>
      <c r="O4050" s="268">
        <f t="shared" si="1007"/>
        <v>650</v>
      </c>
      <c r="P4050" s="239"/>
      <c r="Q4050" s="239">
        <f>1150-500</f>
        <v>650</v>
      </c>
      <c r="R4050" s="239"/>
      <c r="S4050" s="239"/>
      <c r="T4050" s="239"/>
      <c r="U4050" s="240"/>
      <c r="V4050" s="240"/>
      <c r="W4050" s="240"/>
      <c r="X4050" s="278"/>
      <c r="Y4050" s="237"/>
      <c r="Z4050" s="237"/>
      <c r="AA4050" s="279"/>
      <c r="AB4050" s="238" t="s">
        <v>23313</v>
      </c>
      <c r="AC4050" s="196">
        <f t="shared" si="999"/>
        <v>650</v>
      </c>
      <c r="AD4050" s="196">
        <f t="shared" si="1000"/>
        <v>650</v>
      </c>
      <c r="AE4050" s="196">
        <f t="shared" si="1001"/>
        <v>0</v>
      </c>
      <c r="AF4050" s="2">
        <f t="shared" si="1002"/>
        <v>650</v>
      </c>
      <c r="AG4050" s="2">
        <f t="shared" si="1003"/>
        <v>0</v>
      </c>
    </row>
    <row r="4051" spans="1:33">
      <c r="A4051" s="20" t="s">
        <v>23424</v>
      </c>
      <c r="B4051" s="150"/>
      <c r="C4051" s="21" t="s">
        <v>23439</v>
      </c>
      <c r="D4051" s="109" t="s">
        <v>3137</v>
      </c>
      <c r="E4051" s="109" t="s">
        <v>20884</v>
      </c>
      <c r="F4051" s="391" t="s">
        <v>23444</v>
      </c>
      <c r="G4051" s="23" t="s">
        <v>22432</v>
      </c>
      <c r="H4051" s="23"/>
      <c r="I4051" s="23"/>
      <c r="J4051" s="23"/>
      <c r="K4051" s="23"/>
      <c r="L4051" s="375" t="s">
        <v>7787</v>
      </c>
      <c r="M4051" s="351"/>
      <c r="N4051" s="267">
        <f t="shared" si="1006"/>
        <v>0</v>
      </c>
      <c r="O4051" s="268">
        <f t="shared" si="1007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9"/>
        <v>0</v>
      </c>
      <c r="AD4051" s="196">
        <f t="shared" si="1000"/>
        <v>0</v>
      </c>
      <c r="AE4051" s="196">
        <f t="shared" si="1001"/>
        <v>0</v>
      </c>
      <c r="AF4051" s="2">
        <f t="shared" si="1002"/>
        <v>0</v>
      </c>
      <c r="AG4051" s="2">
        <f t="shared" si="1003"/>
        <v>0</v>
      </c>
    </row>
    <row r="4052" spans="1:33">
      <c r="A4052" s="20" t="s">
        <v>23209</v>
      </c>
      <c r="B4052" s="150"/>
      <c r="C4052" s="21" t="s">
        <v>23267</v>
      </c>
      <c r="D4052" s="109" t="s">
        <v>3137</v>
      </c>
      <c r="E4052" s="109" t="s">
        <v>20884</v>
      </c>
      <c r="F4052" s="391" t="s">
        <v>23268</v>
      </c>
      <c r="G4052" s="23" t="s">
        <v>23301</v>
      </c>
      <c r="H4052" s="23" t="s">
        <v>23733</v>
      </c>
      <c r="I4052" s="23"/>
      <c r="J4052" s="23"/>
      <c r="K4052" s="23"/>
      <c r="L4052" s="375" t="s">
        <v>7787</v>
      </c>
      <c r="M4052" s="351" t="s">
        <v>7787</v>
      </c>
      <c r="N4052" s="267">
        <f t="shared" si="1006"/>
        <v>0</v>
      </c>
      <c r="O4052" s="268">
        <f t="shared" si="1007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9"/>
      <c r="Z4052" s="237"/>
      <c r="AA4052" s="279"/>
      <c r="AB4052" s="238"/>
      <c r="AC4052" s="196">
        <f t="shared" si="999"/>
        <v>0</v>
      </c>
      <c r="AD4052" s="196">
        <f t="shared" si="1000"/>
        <v>0</v>
      </c>
      <c r="AE4052" s="196">
        <f t="shared" si="1001"/>
        <v>0</v>
      </c>
      <c r="AF4052" s="2">
        <f t="shared" si="1002"/>
        <v>0</v>
      </c>
      <c r="AG4052" s="2">
        <f t="shared" si="1003"/>
        <v>0</v>
      </c>
    </row>
    <row r="4053" spans="1:33">
      <c r="A4053" s="20" t="s">
        <v>23425</v>
      </c>
      <c r="B4053" s="150"/>
      <c r="C4053" s="21" t="s">
        <v>23438</v>
      </c>
      <c r="D4053" s="109" t="s">
        <v>3096</v>
      </c>
      <c r="E4053" s="109" t="s">
        <v>19998</v>
      </c>
      <c r="F4053" s="391" t="s">
        <v>23445</v>
      </c>
      <c r="G4053" s="23" t="s">
        <v>13581</v>
      </c>
      <c r="H4053" s="23"/>
      <c r="I4053" s="23"/>
      <c r="J4053" s="23"/>
      <c r="K4053" s="23"/>
      <c r="L4053" s="375" t="s">
        <v>7787</v>
      </c>
      <c r="M4053" s="351">
        <v>500</v>
      </c>
      <c r="N4053" s="267">
        <f t="shared" si="1006"/>
        <v>500</v>
      </c>
      <c r="O4053" s="268">
        <f t="shared" si="1007"/>
        <v>0</v>
      </c>
      <c r="P4053" s="239"/>
      <c r="Q4053" s="239"/>
      <c r="R4053" s="239"/>
      <c r="S4053" s="239"/>
      <c r="T4053" s="239"/>
      <c r="U4053" s="240"/>
      <c r="V4053" s="240"/>
      <c r="W4053" s="240"/>
      <c r="X4053" s="278"/>
      <c r="Y4053" s="237"/>
      <c r="Z4053" s="237"/>
      <c r="AA4053" s="279"/>
      <c r="AB4053" s="238"/>
      <c r="AC4053" s="196">
        <f t="shared" si="999"/>
        <v>0</v>
      </c>
      <c r="AD4053" s="196">
        <f t="shared" si="1000"/>
        <v>0</v>
      </c>
      <c r="AE4053" s="196">
        <f t="shared" si="1001"/>
        <v>0</v>
      </c>
      <c r="AF4053" s="2">
        <f t="shared" si="1002"/>
        <v>0</v>
      </c>
      <c r="AG4053" s="2">
        <f t="shared" si="1003"/>
        <v>0</v>
      </c>
    </row>
    <row r="4054" spans="1:33">
      <c r="A4054" s="20" t="s">
        <v>23354</v>
      </c>
      <c r="B4054" s="150"/>
      <c r="C4054" s="21" t="s">
        <v>23383</v>
      </c>
      <c r="D4054" s="109" t="s">
        <v>3137</v>
      </c>
      <c r="E4054" s="109" t="s">
        <v>23312</v>
      </c>
      <c r="F4054" s="391" t="s">
        <v>23390</v>
      </c>
      <c r="G4054" s="23" t="s">
        <v>23389</v>
      </c>
      <c r="H4054" s="23" t="s">
        <v>24286</v>
      </c>
      <c r="I4054" s="23"/>
      <c r="J4054" s="23"/>
      <c r="K4054" s="23"/>
      <c r="L4054" s="375"/>
      <c r="M4054" s="351"/>
      <c r="N4054" s="267">
        <f t="shared" si="1006"/>
        <v>0</v>
      </c>
      <c r="O4054" s="268">
        <f t="shared" si="1007"/>
        <v>0</v>
      </c>
      <c r="P4054" s="239"/>
      <c r="Q4054" s="239"/>
      <c r="R4054" s="239"/>
      <c r="S4054" s="239"/>
      <c r="T4054" s="239"/>
      <c r="U4054" s="240"/>
      <c r="V4054" s="240"/>
      <c r="W4054" s="240"/>
      <c r="X4054" s="278"/>
      <c r="Y4054" s="237"/>
      <c r="Z4054" s="237"/>
      <c r="AA4054" s="279"/>
      <c r="AB4054" s="238"/>
      <c r="AC4054" s="196">
        <f t="shared" si="999"/>
        <v>0</v>
      </c>
      <c r="AD4054" s="196">
        <f t="shared" si="1000"/>
        <v>0</v>
      </c>
      <c r="AE4054" s="196">
        <f t="shared" si="1001"/>
        <v>0</v>
      </c>
      <c r="AF4054" s="2">
        <f t="shared" si="1002"/>
        <v>0</v>
      </c>
      <c r="AG4054" s="2">
        <f t="shared" si="1003"/>
        <v>0</v>
      </c>
    </row>
    <row r="4055" spans="1:33">
      <c r="A4055" s="20" t="s">
        <v>23482</v>
      </c>
      <c r="B4055" s="150"/>
      <c r="C4055" s="21" t="s">
        <v>23508</v>
      </c>
      <c r="D4055" s="109" t="s">
        <v>7957</v>
      </c>
      <c r="E4055" s="109" t="s">
        <v>19998</v>
      </c>
      <c r="F4055" s="391" t="s">
        <v>23548</v>
      </c>
      <c r="G4055" s="23" t="s">
        <v>15443</v>
      </c>
      <c r="H4055" s="23"/>
      <c r="I4055" s="23"/>
      <c r="J4055" s="23"/>
      <c r="K4055" s="23"/>
      <c r="L4055" s="375" t="s">
        <v>7787</v>
      </c>
      <c r="M4055" s="351" t="s">
        <v>7787</v>
      </c>
      <c r="N4055" s="267">
        <f t="shared" si="1006"/>
        <v>0</v>
      </c>
      <c r="O4055" s="268">
        <f t="shared" si="1007"/>
        <v>0</v>
      </c>
      <c r="P4055" s="239"/>
      <c r="Q4055" s="239"/>
      <c r="R4055" s="239"/>
      <c r="S4055" s="239"/>
      <c r="T4055" s="239"/>
      <c r="U4055" s="240"/>
      <c r="V4055" s="240"/>
      <c r="W4055" s="240"/>
      <c r="X4055" s="278"/>
      <c r="Y4055" s="237"/>
      <c r="Z4055" s="237"/>
      <c r="AA4055" s="279"/>
      <c r="AB4055" s="238"/>
      <c r="AC4055" s="196">
        <f t="shared" si="999"/>
        <v>0</v>
      </c>
      <c r="AD4055" s="196">
        <f t="shared" si="1000"/>
        <v>0</v>
      </c>
      <c r="AE4055" s="196">
        <f t="shared" si="1001"/>
        <v>0</v>
      </c>
      <c r="AF4055" s="2">
        <f t="shared" si="1002"/>
        <v>0</v>
      </c>
      <c r="AG4055" s="2">
        <f t="shared" si="1003"/>
        <v>0</v>
      </c>
    </row>
    <row r="4056" spans="1:33">
      <c r="A4056" s="20" t="s">
        <v>23211</v>
      </c>
      <c r="B4056" s="150"/>
      <c r="C4056" s="21" t="s">
        <v>23281</v>
      </c>
      <c r="D4056" s="109" t="s">
        <v>3137</v>
      </c>
      <c r="E4056" s="109"/>
      <c r="F4056" s="391" t="s">
        <v>23285</v>
      </c>
      <c r="G4056" s="23" t="s">
        <v>23284</v>
      </c>
      <c r="H4056" s="23"/>
      <c r="I4056" s="23"/>
      <c r="J4056" s="23"/>
      <c r="K4056" s="23"/>
      <c r="L4056" s="375" t="s">
        <v>7787</v>
      </c>
      <c r="M4056" s="351"/>
      <c r="N4056" s="267">
        <f t="shared" si="1006"/>
        <v>0</v>
      </c>
      <c r="O4056" s="268">
        <f t="shared" si="1007"/>
        <v>2050</v>
      </c>
      <c r="P4056" s="239"/>
      <c r="Q4056" s="239">
        <f>1050-1000+2200-1000-100-50-50-50</f>
        <v>1000</v>
      </c>
      <c r="R4056" s="239"/>
      <c r="S4056" s="239"/>
      <c r="T4056" s="239"/>
      <c r="U4056" s="240"/>
      <c r="V4056" s="240"/>
      <c r="W4056" s="240"/>
      <c r="X4056" s="278"/>
      <c r="Y4056" s="237">
        <v>1050</v>
      </c>
      <c r="Z4056" s="237"/>
      <c r="AA4056" s="279"/>
      <c r="AB4056" s="238" t="s">
        <v>23403</v>
      </c>
      <c r="AC4056" s="196">
        <f t="shared" si="999"/>
        <v>2050</v>
      </c>
      <c r="AD4056" s="196">
        <f t="shared" si="1000"/>
        <v>2050</v>
      </c>
      <c r="AE4056" s="196">
        <f t="shared" si="1001"/>
        <v>0</v>
      </c>
      <c r="AF4056" s="2">
        <f t="shared" si="1002"/>
        <v>2050</v>
      </c>
      <c r="AG4056" s="2">
        <f t="shared" si="1003"/>
        <v>0</v>
      </c>
    </row>
    <row r="4057" spans="1:33">
      <c r="A4057" s="20" t="s">
        <v>27102</v>
      </c>
      <c r="B4057" s="150"/>
      <c r="C4057" s="21" t="s">
        <v>23271</v>
      </c>
      <c r="D4057" s="109" t="s">
        <v>3137</v>
      </c>
      <c r="E4057" s="109"/>
      <c r="F4057" s="391" t="s">
        <v>23372</v>
      </c>
      <c r="G4057" s="23" t="s">
        <v>13942</v>
      </c>
      <c r="H4057" s="23"/>
      <c r="I4057" s="23"/>
      <c r="J4057" s="23"/>
      <c r="K4057" s="23"/>
      <c r="L4057" s="375" t="s">
        <v>27855</v>
      </c>
      <c r="M4057" s="351"/>
      <c r="N4057" s="267">
        <f t="shared" ref="N4057" si="1010">SUM(L4057:M4057)</f>
        <v>0</v>
      </c>
      <c r="O4057" s="268">
        <f t="shared" ref="O4057" si="1011">SUM(P4057:Z4057)</f>
        <v>600</v>
      </c>
      <c r="P4057" s="239"/>
      <c r="Q4057" s="240"/>
      <c r="R4057" s="240"/>
      <c r="S4057" s="239"/>
      <c r="T4057" s="239"/>
      <c r="U4057" s="240">
        <f>4900+1450-6000+2750-1000-2000+500</f>
        <v>600</v>
      </c>
      <c r="V4057" s="240"/>
      <c r="W4057" s="240"/>
      <c r="X4057" s="278"/>
      <c r="Y4057" s="279"/>
      <c r="Z4057" s="237"/>
      <c r="AA4057" s="279"/>
      <c r="AB4057" s="238" t="s">
        <v>27851</v>
      </c>
      <c r="AC4057" s="196">
        <f t="shared" si="999"/>
        <v>600</v>
      </c>
      <c r="AD4057" s="196">
        <f t="shared" si="1000"/>
        <v>600</v>
      </c>
      <c r="AE4057" s="196">
        <f t="shared" si="1001"/>
        <v>0</v>
      </c>
      <c r="AF4057" s="2">
        <f t="shared" si="1002"/>
        <v>600</v>
      </c>
      <c r="AG4057" s="2">
        <f t="shared" si="1003"/>
        <v>0</v>
      </c>
    </row>
    <row r="4058" spans="1:33">
      <c r="A4058" s="20" t="s">
        <v>23351</v>
      </c>
      <c r="B4058" s="150"/>
      <c r="C4058" s="21" t="s">
        <v>23271</v>
      </c>
      <c r="D4058" s="109" t="s">
        <v>3137</v>
      </c>
      <c r="E4058" s="109" t="s">
        <v>26459</v>
      </c>
      <c r="F4058" s="391" t="s">
        <v>23372</v>
      </c>
      <c r="G4058" s="23" t="s">
        <v>13942</v>
      </c>
      <c r="H4058" s="23"/>
      <c r="I4058" s="23"/>
      <c r="J4058" s="23"/>
      <c r="K4058" s="23"/>
      <c r="L4058" s="375"/>
      <c r="M4058" s="351" t="s">
        <v>45</v>
      </c>
      <c r="N4058" s="267">
        <f t="shared" si="1006"/>
        <v>0</v>
      </c>
      <c r="O4058" s="268">
        <f t="shared" si="1007"/>
        <v>4950</v>
      </c>
      <c r="P4058" s="239"/>
      <c r="Q4058" s="239"/>
      <c r="R4058" s="240"/>
      <c r="S4058" s="239"/>
      <c r="T4058" s="240"/>
      <c r="U4058" s="240">
        <f>9250+750-500-3000-1550</f>
        <v>4950</v>
      </c>
      <c r="V4058" s="240"/>
      <c r="W4058" s="240"/>
      <c r="X4058" s="278"/>
      <c r="Y4058" s="237"/>
      <c r="Z4058" s="237"/>
      <c r="AA4058" s="279"/>
      <c r="AB4058" s="238" t="s">
        <v>27662</v>
      </c>
      <c r="AC4058" s="196">
        <f t="shared" si="999"/>
        <v>4950</v>
      </c>
      <c r="AD4058" s="196">
        <f t="shared" si="1000"/>
        <v>4950</v>
      </c>
      <c r="AE4058" s="196">
        <f t="shared" si="1001"/>
        <v>0</v>
      </c>
      <c r="AF4058" s="2">
        <f t="shared" si="1002"/>
        <v>4950</v>
      </c>
      <c r="AG4058" s="2">
        <f t="shared" si="1003"/>
        <v>0</v>
      </c>
    </row>
    <row r="4059" spans="1:33">
      <c r="A4059" s="20" t="s">
        <v>26271</v>
      </c>
      <c r="B4059" s="150"/>
      <c r="C4059" s="21" t="s">
        <v>25543</v>
      </c>
      <c r="D4059" s="109" t="s">
        <v>4070</v>
      </c>
      <c r="E4059" s="109" t="s">
        <v>26460</v>
      </c>
      <c r="F4059" s="391" t="s">
        <v>25544</v>
      </c>
      <c r="G4059" s="23" t="s">
        <v>25402</v>
      </c>
      <c r="H4059" s="23" t="s">
        <v>24860</v>
      </c>
      <c r="I4059" s="23" t="s">
        <v>13214</v>
      </c>
      <c r="J4059" s="23"/>
      <c r="K4059" s="23"/>
      <c r="L4059" s="375"/>
      <c r="M4059" s="351" t="s">
        <v>7787</v>
      </c>
      <c r="N4059" s="267">
        <f t="shared" ref="N4059" si="1012">SUM(L4059:M4059)</f>
        <v>0</v>
      </c>
      <c r="O4059" s="268">
        <f t="shared" ref="O4059" si="1013">SUM(P4059:Z4059)</f>
        <v>20000</v>
      </c>
      <c r="P4059" s="239"/>
      <c r="Q4059" s="239"/>
      <c r="R4059" s="240"/>
      <c r="S4059" s="239"/>
      <c r="T4059" s="240">
        <f>8100+5400-4900+9600-8200+10000</f>
        <v>20000</v>
      </c>
      <c r="U4059" s="240"/>
      <c r="V4059" s="240"/>
      <c r="W4059" s="240"/>
      <c r="X4059" s="278"/>
      <c r="Y4059" s="237"/>
      <c r="Z4059" s="237"/>
      <c r="AA4059" s="279"/>
      <c r="AB4059" s="238" t="s">
        <v>27628</v>
      </c>
      <c r="AC4059" s="196">
        <f t="shared" si="999"/>
        <v>20000</v>
      </c>
      <c r="AD4059" s="196">
        <f t="shared" si="1000"/>
        <v>20000</v>
      </c>
      <c r="AE4059" s="196">
        <f t="shared" si="1001"/>
        <v>0</v>
      </c>
      <c r="AF4059" s="2">
        <f t="shared" si="1002"/>
        <v>20000</v>
      </c>
      <c r="AG4059" s="2">
        <f t="shared" si="1003"/>
        <v>0</v>
      </c>
    </row>
    <row r="4060" spans="1:33">
      <c r="A4060" s="20" t="s">
        <v>24131</v>
      </c>
      <c r="B4060" s="150"/>
      <c r="C4060" s="21" t="s">
        <v>24125</v>
      </c>
      <c r="D4060" s="109" t="s">
        <v>3099</v>
      </c>
      <c r="E4060" s="109"/>
      <c r="F4060" s="391" t="s">
        <v>24144</v>
      </c>
      <c r="G4060" s="23" t="s">
        <v>13826</v>
      </c>
      <c r="H4060" s="23"/>
      <c r="I4060" s="23"/>
      <c r="J4060" s="23"/>
      <c r="K4060" s="23"/>
      <c r="L4060" s="375" t="s">
        <v>7787</v>
      </c>
      <c r="M4060" s="351"/>
      <c r="N4060" s="267">
        <f t="shared" ref="N4060" si="1014">SUM(L4060:M4060)</f>
        <v>0</v>
      </c>
      <c r="O4060" s="268">
        <f t="shared" ref="O4060" si="1015">SUM(P4060:Z4060)</f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9"/>
        <v>0</v>
      </c>
      <c r="AD4060" s="196">
        <f t="shared" si="1000"/>
        <v>0</v>
      </c>
      <c r="AE4060" s="196">
        <f t="shared" si="1001"/>
        <v>0</v>
      </c>
      <c r="AF4060" s="2">
        <f t="shared" si="1002"/>
        <v>0</v>
      </c>
      <c r="AG4060" s="2">
        <f t="shared" si="1003"/>
        <v>0</v>
      </c>
    </row>
    <row r="4061" spans="1:33">
      <c r="A4061" s="20" t="s">
        <v>23432</v>
      </c>
      <c r="B4061" s="150"/>
      <c r="C4061" s="21" t="s">
        <v>23466</v>
      </c>
      <c r="D4061" s="109" t="s">
        <v>3099</v>
      </c>
      <c r="E4061" s="109"/>
      <c r="F4061" s="391" t="s">
        <v>23484</v>
      </c>
      <c r="G4061" s="23" t="s">
        <v>13826</v>
      </c>
      <c r="H4061" s="23"/>
      <c r="I4061" s="23"/>
      <c r="J4061" s="23"/>
      <c r="K4061" s="23"/>
      <c r="L4061" s="375" t="s">
        <v>7787</v>
      </c>
      <c r="M4061" s="351" t="s">
        <v>7787</v>
      </c>
      <c r="N4061" s="267">
        <f t="shared" si="1006"/>
        <v>0</v>
      </c>
      <c r="O4061" s="268">
        <f t="shared" si="1007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9"/>
        <v>0</v>
      </c>
      <c r="AD4061" s="196">
        <f t="shared" si="1000"/>
        <v>0</v>
      </c>
      <c r="AE4061" s="196">
        <f t="shared" si="1001"/>
        <v>0</v>
      </c>
      <c r="AF4061" s="2">
        <f t="shared" si="1002"/>
        <v>0</v>
      </c>
      <c r="AG4061" s="2">
        <f t="shared" si="1003"/>
        <v>0</v>
      </c>
    </row>
    <row r="4062" spans="1:33">
      <c r="A4062" s="20" t="s">
        <v>23426</v>
      </c>
      <c r="B4062" s="150"/>
      <c r="C4062" s="21" t="s">
        <v>23447</v>
      </c>
      <c r="D4062" s="109" t="s">
        <v>3099</v>
      </c>
      <c r="E4062" s="109"/>
      <c r="F4062" s="391" t="s">
        <v>23448</v>
      </c>
      <c r="G4062" s="23" t="s">
        <v>13826</v>
      </c>
      <c r="H4062" s="23" t="s">
        <v>24126</v>
      </c>
      <c r="I4062" s="23"/>
      <c r="J4062" s="23"/>
      <c r="K4062" s="23"/>
      <c r="L4062" s="375" t="s">
        <v>7787</v>
      </c>
      <c r="M4062" s="351" t="s">
        <v>7787</v>
      </c>
      <c r="N4062" s="267">
        <f t="shared" si="1006"/>
        <v>0</v>
      </c>
      <c r="O4062" s="268">
        <f t="shared" si="1007"/>
        <v>0</v>
      </c>
      <c r="P4062" s="239"/>
      <c r="Q4062" s="239"/>
      <c r="R4062" s="239"/>
      <c r="S4062" s="239"/>
      <c r="T4062" s="239"/>
      <c r="U4062" s="240"/>
      <c r="V4062" s="240"/>
      <c r="W4062" s="240"/>
      <c r="X4062" s="278"/>
      <c r="Y4062" s="237"/>
      <c r="Z4062" s="237"/>
      <c r="AA4062" s="279"/>
      <c r="AB4062" s="238"/>
      <c r="AC4062" s="196">
        <f t="shared" si="999"/>
        <v>0</v>
      </c>
      <c r="AD4062" s="196">
        <f t="shared" si="1000"/>
        <v>0</v>
      </c>
      <c r="AE4062" s="196">
        <f t="shared" si="1001"/>
        <v>0</v>
      </c>
      <c r="AF4062" s="2">
        <f t="shared" si="1002"/>
        <v>0</v>
      </c>
      <c r="AG4062" s="2">
        <f t="shared" si="1003"/>
        <v>0</v>
      </c>
    </row>
    <row r="4063" spans="1:33">
      <c r="A4063" s="20" t="s">
        <v>23680</v>
      </c>
      <c r="B4063" s="150"/>
      <c r="C4063" s="21" t="s">
        <v>23706</v>
      </c>
      <c r="D4063" s="109" t="s">
        <v>3137</v>
      </c>
      <c r="E4063" s="109"/>
      <c r="F4063" s="391" t="s">
        <v>23712</v>
      </c>
      <c r="G4063" s="23" t="s">
        <v>6133</v>
      </c>
      <c r="H4063" s="23"/>
      <c r="I4063" s="23"/>
      <c r="J4063" s="23"/>
      <c r="K4063" s="23"/>
      <c r="L4063" s="375"/>
      <c r="M4063" s="351"/>
      <c r="N4063" s="267">
        <f t="shared" si="1006"/>
        <v>0</v>
      </c>
      <c r="O4063" s="268">
        <f t="shared" si="1007"/>
        <v>0</v>
      </c>
      <c r="P4063" s="239"/>
      <c r="Q4063" s="239"/>
      <c r="R4063" s="239"/>
      <c r="S4063" s="239"/>
      <c r="T4063" s="239"/>
      <c r="U4063" s="240"/>
      <c r="V4063" s="240"/>
      <c r="W4063" s="240"/>
      <c r="X4063" s="278"/>
      <c r="Y4063" s="237"/>
      <c r="Z4063" s="237"/>
      <c r="AA4063" s="279"/>
      <c r="AB4063" s="238"/>
      <c r="AC4063" s="196">
        <f t="shared" si="999"/>
        <v>0</v>
      </c>
      <c r="AD4063" s="196">
        <f t="shared" si="1000"/>
        <v>0</v>
      </c>
      <c r="AE4063" s="196">
        <f t="shared" si="1001"/>
        <v>0</v>
      </c>
      <c r="AF4063" s="2">
        <f t="shared" si="1002"/>
        <v>0</v>
      </c>
      <c r="AG4063" s="2">
        <f t="shared" si="1003"/>
        <v>0</v>
      </c>
    </row>
    <row r="4064" spans="1:33">
      <c r="A4064" s="20" t="s">
        <v>23678</v>
      </c>
      <c r="B4064" s="150"/>
      <c r="C4064" s="21" t="s">
        <v>23696</v>
      </c>
      <c r="D4064" s="109" t="s">
        <v>3137</v>
      </c>
      <c r="E4064" s="109" t="s">
        <v>23278</v>
      </c>
      <c r="F4064" s="391" t="s">
        <v>23700</v>
      </c>
      <c r="G4064" s="23" t="s">
        <v>22432</v>
      </c>
      <c r="H4064" s="23" t="s">
        <v>6133</v>
      </c>
      <c r="I4064" s="23" t="s">
        <v>24273</v>
      </c>
      <c r="J4064" s="23"/>
      <c r="K4064" s="23"/>
      <c r="L4064" s="375"/>
      <c r="M4064" s="351" t="s">
        <v>7787</v>
      </c>
      <c r="N4064" s="267">
        <f t="shared" si="1006"/>
        <v>0</v>
      </c>
      <c r="O4064" s="268">
        <f t="shared" si="1007"/>
        <v>0</v>
      </c>
      <c r="P4064" s="239"/>
      <c r="Q4064" s="239"/>
      <c r="R4064" s="239"/>
      <c r="S4064" s="239"/>
      <c r="T4064" s="239"/>
      <c r="U4064" s="240"/>
      <c r="V4064" s="240"/>
      <c r="W4064" s="240"/>
      <c r="X4064" s="278"/>
      <c r="Y4064" s="237"/>
      <c r="Z4064" s="237"/>
      <c r="AA4064" s="279"/>
      <c r="AB4064" s="238"/>
      <c r="AC4064" s="196">
        <f t="shared" si="999"/>
        <v>0</v>
      </c>
      <c r="AD4064" s="196">
        <f t="shared" si="1000"/>
        <v>0</v>
      </c>
      <c r="AE4064" s="196">
        <f t="shared" si="1001"/>
        <v>0</v>
      </c>
      <c r="AF4064" s="2">
        <f t="shared" si="1002"/>
        <v>0</v>
      </c>
      <c r="AG4064" s="2">
        <f t="shared" si="1003"/>
        <v>0</v>
      </c>
    </row>
    <row r="4065" spans="1:33">
      <c r="A4065" s="20" t="s">
        <v>24664</v>
      </c>
      <c r="B4065" s="150"/>
      <c r="C4065" s="21" t="s">
        <v>23696</v>
      </c>
      <c r="D4065" s="109" t="s">
        <v>3137</v>
      </c>
      <c r="E4065" s="109" t="s">
        <v>24692</v>
      </c>
      <c r="F4065" s="391" t="s">
        <v>23270</v>
      </c>
      <c r="G4065" s="23" t="s">
        <v>6133</v>
      </c>
      <c r="H4065" s="23" t="s">
        <v>13301</v>
      </c>
      <c r="I4065" s="23" t="s">
        <v>22432</v>
      </c>
      <c r="J4065" s="23"/>
      <c r="K4065" s="23"/>
      <c r="L4065" s="375" t="s">
        <v>27824</v>
      </c>
      <c r="M4065" s="351"/>
      <c r="N4065" s="267">
        <f t="shared" ref="N4065" si="1016">SUM(L4065:M4065)</f>
        <v>0</v>
      </c>
      <c r="O4065" s="268">
        <f t="shared" ref="O4065" si="1017">SUM(P4065:Z4065)</f>
        <v>6400</v>
      </c>
      <c r="P4065" s="239"/>
      <c r="Q4065" s="239"/>
      <c r="R4065" s="239">
        <f>5100-150+1450</f>
        <v>6400</v>
      </c>
      <c r="S4065" s="239"/>
      <c r="T4065" s="239"/>
      <c r="U4065" s="239"/>
      <c r="V4065" s="240"/>
      <c r="W4065" s="240"/>
      <c r="X4065" s="278"/>
      <c r="Y4065" s="239"/>
      <c r="Z4065" s="237"/>
      <c r="AA4065" s="279"/>
      <c r="AB4065" s="238" t="s">
        <v>27822</v>
      </c>
      <c r="AC4065" s="196">
        <f t="shared" si="999"/>
        <v>6400</v>
      </c>
      <c r="AD4065" s="196">
        <f t="shared" si="1000"/>
        <v>6400</v>
      </c>
      <c r="AE4065" s="196">
        <f t="shared" si="1001"/>
        <v>0</v>
      </c>
      <c r="AF4065" s="2">
        <f t="shared" si="1002"/>
        <v>6400</v>
      </c>
      <c r="AG4065" s="2">
        <f t="shared" si="1003"/>
        <v>0</v>
      </c>
    </row>
    <row r="4066" spans="1:33">
      <c r="A4066" s="20" t="s">
        <v>23429</v>
      </c>
      <c r="B4066" s="150"/>
      <c r="C4066" s="21" t="s">
        <v>23437</v>
      </c>
      <c r="D4066" s="109" t="s">
        <v>7957</v>
      </c>
      <c r="E4066" s="109"/>
      <c r="F4066" s="391" t="s">
        <v>23461</v>
      </c>
      <c r="G4066" s="23" t="s">
        <v>15443</v>
      </c>
      <c r="H4066" s="23" t="s">
        <v>23827</v>
      </c>
      <c r="I4066" s="23" t="s">
        <v>24325</v>
      </c>
      <c r="J4066" s="23" t="s">
        <v>27245</v>
      </c>
      <c r="K4066" s="23"/>
      <c r="L4066" s="375" t="s">
        <v>27931</v>
      </c>
      <c r="M4066" s="351" t="s">
        <v>45</v>
      </c>
      <c r="N4066" s="267">
        <f t="shared" si="1006"/>
        <v>0</v>
      </c>
      <c r="O4066" s="268">
        <f t="shared" si="1007"/>
        <v>1400</v>
      </c>
      <c r="P4066" s="239"/>
      <c r="Q4066" s="239"/>
      <c r="R4066" s="239"/>
      <c r="S4066" s="239"/>
      <c r="T4066" s="239"/>
      <c r="U4066" s="240">
        <f>2100-1700+2500+1000-3000+1600+3900-1600-3400</f>
        <v>1400</v>
      </c>
      <c r="V4066" s="240"/>
      <c r="W4066" s="240"/>
      <c r="X4066" s="278"/>
      <c r="Y4066" s="240"/>
      <c r="Z4066" s="237"/>
      <c r="AA4066" s="279"/>
      <c r="AB4066" s="238" t="s">
        <v>27936</v>
      </c>
      <c r="AC4066" s="196">
        <f t="shared" si="999"/>
        <v>1400</v>
      </c>
      <c r="AD4066" s="196">
        <f t="shared" si="1000"/>
        <v>1400</v>
      </c>
      <c r="AE4066" s="196">
        <f t="shared" si="1001"/>
        <v>0</v>
      </c>
      <c r="AF4066" s="2">
        <f t="shared" si="1002"/>
        <v>1400</v>
      </c>
      <c r="AG4066" s="2">
        <f t="shared" si="1003"/>
        <v>0</v>
      </c>
    </row>
    <row r="4067" spans="1:33">
      <c r="A4067" s="20" t="s">
        <v>23632</v>
      </c>
      <c r="B4067" s="150"/>
      <c r="C4067" s="21" t="s">
        <v>24438</v>
      </c>
      <c r="D4067" s="109" t="s">
        <v>7957</v>
      </c>
      <c r="E4067" s="109"/>
      <c r="F4067" s="391" t="s">
        <v>23655</v>
      </c>
      <c r="G4067" s="23" t="s">
        <v>15443</v>
      </c>
      <c r="H4067" s="23"/>
      <c r="I4067" s="23"/>
      <c r="J4067" s="23"/>
      <c r="K4067" s="23"/>
      <c r="L4067" s="375" t="s">
        <v>45</v>
      </c>
      <c r="M4067" s="351" t="s">
        <v>45</v>
      </c>
      <c r="N4067" s="267">
        <f t="shared" si="1006"/>
        <v>0</v>
      </c>
      <c r="O4067" s="268">
        <f t="shared" si="1007"/>
        <v>0</v>
      </c>
      <c r="P4067" s="471"/>
      <c r="Q4067" s="239"/>
      <c r="R4067" s="239"/>
      <c r="S4067" s="239"/>
      <c r="T4067" s="239"/>
      <c r="U4067" s="240"/>
      <c r="V4067" s="240"/>
      <c r="W4067" s="240"/>
      <c r="X4067" s="278"/>
      <c r="Y4067" s="240"/>
      <c r="Z4067" s="237"/>
      <c r="AA4067" s="279"/>
      <c r="AB4067" s="238"/>
      <c r="AC4067" s="196">
        <f t="shared" si="999"/>
        <v>0</v>
      </c>
      <c r="AD4067" s="196">
        <f t="shared" si="1000"/>
        <v>0</v>
      </c>
      <c r="AE4067" s="196">
        <f t="shared" si="1001"/>
        <v>0</v>
      </c>
      <c r="AF4067" s="2">
        <f t="shared" si="1002"/>
        <v>0</v>
      </c>
      <c r="AG4067" s="2">
        <f t="shared" si="1003"/>
        <v>0</v>
      </c>
    </row>
    <row r="4068" spans="1:33">
      <c r="A4068" s="20"/>
      <c r="B4068" s="150"/>
      <c r="C4068" s="21" t="s">
        <v>27990</v>
      </c>
      <c r="D4068" s="109" t="s">
        <v>7957</v>
      </c>
      <c r="E4068" s="109"/>
      <c r="F4068" s="391"/>
      <c r="G4068" s="23" t="s">
        <v>15443</v>
      </c>
      <c r="H4068" s="23"/>
      <c r="I4068" s="23"/>
      <c r="J4068" s="23"/>
      <c r="K4068" s="23"/>
      <c r="L4068" s="375">
        <v>10020</v>
      </c>
      <c r="M4068" s="351"/>
      <c r="N4068" s="267">
        <f t="shared" ref="N4068" si="1018">SUM(L4068:M4068)</f>
        <v>10020</v>
      </c>
      <c r="O4068" s="268">
        <f t="shared" ref="O4068" si="1019">SUM(P4068:Z4068)</f>
        <v>0</v>
      </c>
      <c r="P4068" s="471"/>
      <c r="Q4068" s="239"/>
      <c r="R4068" s="239"/>
      <c r="S4068" s="239"/>
      <c r="T4068" s="239"/>
      <c r="U4068" s="240"/>
      <c r="V4068" s="240"/>
      <c r="W4068" s="240"/>
      <c r="X4068" s="278"/>
      <c r="Y4068" s="240"/>
      <c r="Z4068" s="237"/>
      <c r="AA4068" s="279"/>
      <c r="AB4068" s="238"/>
      <c r="AC4068" s="196"/>
      <c r="AD4068" s="196"/>
      <c r="AE4068" s="196"/>
    </row>
    <row r="4069" spans="1:33">
      <c r="A4069" s="20" t="s">
        <v>24421</v>
      </c>
      <c r="B4069" s="150"/>
      <c r="C4069" s="21" t="s">
        <v>24439</v>
      </c>
      <c r="D4069" s="109" t="s">
        <v>7957</v>
      </c>
      <c r="E4069" s="109"/>
      <c r="F4069" s="391" t="s">
        <v>23655</v>
      </c>
      <c r="G4069" s="23" t="s">
        <v>15443</v>
      </c>
      <c r="H4069" s="23"/>
      <c r="I4069" s="23"/>
      <c r="J4069" s="23"/>
      <c r="K4069" s="23"/>
      <c r="L4069" s="375" t="s">
        <v>27895</v>
      </c>
      <c r="M4069" s="351" t="s">
        <v>45</v>
      </c>
      <c r="N4069" s="267">
        <f t="shared" ref="N4069" si="1020">SUM(L4069:M4069)</f>
        <v>0</v>
      </c>
      <c r="O4069" s="268">
        <f t="shared" ref="O4069" si="1021">SUM(P4069:Z4069)</f>
        <v>1400</v>
      </c>
      <c r="P4069" s="239"/>
      <c r="Q4069" s="239"/>
      <c r="R4069" s="239"/>
      <c r="S4069" s="239"/>
      <c r="T4069" s="239"/>
      <c r="U4069" s="240"/>
      <c r="V4069" s="240">
        <f>3900-3600+3600-1300+4900-3600+900-3600+2500-3600+3100+2800+2700+2600-10800+3800-3600+900+3000-3600+4200+3400-3600-3600</f>
        <v>1400</v>
      </c>
      <c r="W4069" s="240"/>
      <c r="X4069" s="278"/>
      <c r="Y4069" s="240"/>
      <c r="Z4069" s="237"/>
      <c r="AA4069" s="279"/>
      <c r="AB4069" s="238" t="s">
        <v>27888</v>
      </c>
      <c r="AC4069" s="196">
        <f t="shared" si="999"/>
        <v>1400</v>
      </c>
      <c r="AD4069" s="196">
        <f t="shared" si="1000"/>
        <v>1400</v>
      </c>
      <c r="AE4069" s="196">
        <f t="shared" si="1001"/>
        <v>0</v>
      </c>
      <c r="AF4069" s="2">
        <f t="shared" si="1002"/>
        <v>1400</v>
      </c>
      <c r="AG4069" s="2">
        <f t="shared" si="1003"/>
        <v>0</v>
      </c>
    </row>
    <row r="4070" spans="1:33">
      <c r="A4070" s="20" t="s">
        <v>23357</v>
      </c>
      <c r="B4070" s="150"/>
      <c r="C4070" s="21" t="s">
        <v>25373</v>
      </c>
      <c r="D4070" s="109" t="s">
        <v>23393</v>
      </c>
      <c r="E4070" s="109"/>
      <c r="F4070" s="391" t="s">
        <v>23399</v>
      </c>
      <c r="G4070" s="23"/>
      <c r="H4070" s="23"/>
      <c r="I4070" s="23"/>
      <c r="J4070" s="23"/>
      <c r="K4070" s="23"/>
      <c r="L4070" s="375">
        <v>2020</v>
      </c>
      <c r="M4070" s="351" t="s">
        <v>45</v>
      </c>
      <c r="N4070" s="267">
        <f t="shared" si="1006"/>
        <v>2020</v>
      </c>
      <c r="O4070" s="268">
        <f t="shared" si="1007"/>
        <v>0</v>
      </c>
      <c r="P4070" s="239"/>
      <c r="Q4070" s="239"/>
      <c r="R4070" s="239"/>
      <c r="S4070" s="239"/>
      <c r="T4070" s="239"/>
      <c r="U4070" s="240"/>
      <c r="V4070" s="240"/>
      <c r="W4070" s="240"/>
      <c r="X4070" s="278"/>
      <c r="Y4070" s="240"/>
      <c r="Z4070" s="237"/>
      <c r="AA4070" s="279"/>
      <c r="AB4070" s="238"/>
      <c r="AC4070" s="196">
        <f t="shared" si="999"/>
        <v>0</v>
      </c>
      <c r="AD4070" s="196">
        <f t="shared" si="1000"/>
        <v>0</v>
      </c>
      <c r="AE4070" s="196">
        <f t="shared" si="1001"/>
        <v>0</v>
      </c>
      <c r="AF4070" s="2">
        <f t="shared" si="1002"/>
        <v>0</v>
      </c>
      <c r="AG4070" s="2">
        <f t="shared" si="1003"/>
        <v>0</v>
      </c>
    </row>
    <row r="4071" spans="1:33">
      <c r="A4071" s="20" t="s">
        <v>26866</v>
      </c>
      <c r="B4071" s="150"/>
      <c r="C4071" s="21" t="s">
        <v>25366</v>
      </c>
      <c r="D4071" s="109" t="s">
        <v>7957</v>
      </c>
      <c r="E4071" s="109"/>
      <c r="F4071" s="391" t="s">
        <v>23399</v>
      </c>
      <c r="G4071" s="23" t="s">
        <v>15443</v>
      </c>
      <c r="H4071" s="23"/>
      <c r="I4071" s="23"/>
      <c r="J4071" s="23"/>
      <c r="K4071" s="23"/>
      <c r="L4071" s="375"/>
      <c r="M4071" s="351" t="s">
        <v>45</v>
      </c>
      <c r="N4071" s="267">
        <f t="shared" ref="N4071:N4074" si="1022">SUM(L4071:M4071)</f>
        <v>0</v>
      </c>
      <c r="O4071" s="268">
        <f t="shared" ref="O4071:O4074" si="1023">SUM(P4071:Z4071)</f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40"/>
      <c r="Z4071" s="237"/>
      <c r="AA4071" s="279"/>
      <c r="AB4071" s="238"/>
      <c r="AC4071" s="196">
        <f t="shared" si="999"/>
        <v>0</v>
      </c>
      <c r="AD4071" s="196">
        <f t="shared" si="1000"/>
        <v>0</v>
      </c>
      <c r="AE4071" s="196">
        <f t="shared" si="1001"/>
        <v>0</v>
      </c>
      <c r="AF4071" s="2">
        <f t="shared" si="1002"/>
        <v>0</v>
      </c>
      <c r="AG4071" s="2">
        <f t="shared" si="1003"/>
        <v>0</v>
      </c>
    </row>
    <row r="4072" spans="1:33">
      <c r="A4072" s="20"/>
      <c r="B4072" s="150"/>
      <c r="C4072" s="21" t="s">
        <v>27749</v>
      </c>
      <c r="D4072" s="109" t="s">
        <v>7957</v>
      </c>
      <c r="E4072" s="109"/>
      <c r="F4072" s="391" t="s">
        <v>23399</v>
      </c>
      <c r="G4072" s="23" t="s">
        <v>15443</v>
      </c>
      <c r="H4072" s="23"/>
      <c r="I4072" s="23"/>
      <c r="J4072" s="23"/>
      <c r="K4072" s="23"/>
      <c r="L4072" s="375" t="s">
        <v>27764</v>
      </c>
      <c r="M4072" s="351" t="s">
        <v>45</v>
      </c>
      <c r="N4072" s="267">
        <f t="shared" ref="N4072" si="1024">SUM(L4072:M4072)</f>
        <v>0</v>
      </c>
      <c r="O4072" s="268">
        <f t="shared" ref="O4072" si="1025">SUM(P4072:Z4072)</f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40"/>
      <c r="Z4072" s="237"/>
      <c r="AA4072" s="279"/>
      <c r="AB4072" s="238"/>
      <c r="AC4072" s="196"/>
      <c r="AD4072" s="196"/>
      <c r="AE4072" s="196"/>
    </row>
    <row r="4073" spans="1:33">
      <c r="A4073" s="20" t="s">
        <v>23366</v>
      </c>
      <c r="B4073" s="150"/>
      <c r="C4073" s="21" t="s">
        <v>23420</v>
      </c>
      <c r="D4073" s="109" t="s">
        <v>3096</v>
      </c>
      <c r="E4073" s="109"/>
      <c r="F4073" s="391" t="s">
        <v>23422</v>
      </c>
      <c r="G4073" s="23" t="s">
        <v>23440</v>
      </c>
      <c r="H4073" s="23"/>
      <c r="I4073" s="23"/>
      <c r="J4073" s="23"/>
      <c r="K4073" s="23"/>
      <c r="L4073" s="375" t="s">
        <v>7787</v>
      </c>
      <c r="M4073" s="351"/>
      <c r="N4073" s="267">
        <f t="shared" si="1022"/>
        <v>0</v>
      </c>
      <c r="O4073" s="268">
        <f t="shared" si="1023"/>
        <v>0</v>
      </c>
      <c r="P4073" s="239"/>
      <c r="Q4073" s="239"/>
      <c r="R4073" s="239"/>
      <c r="S4073" s="239"/>
      <c r="T4073" s="239"/>
      <c r="U4073" s="240"/>
      <c r="V4073" s="240"/>
      <c r="W4073" s="240"/>
      <c r="X4073" s="278"/>
      <c r="Y4073" s="237"/>
      <c r="Z4073" s="237"/>
      <c r="AA4073" s="279"/>
      <c r="AB4073" s="238"/>
      <c r="AC4073" s="196">
        <f t="shared" si="999"/>
        <v>0</v>
      </c>
      <c r="AD4073" s="196">
        <f t="shared" si="1000"/>
        <v>0</v>
      </c>
      <c r="AE4073" s="196">
        <f t="shared" si="1001"/>
        <v>0</v>
      </c>
      <c r="AF4073" s="2">
        <f t="shared" si="1002"/>
        <v>0</v>
      </c>
      <c r="AG4073" s="2">
        <f t="shared" si="1003"/>
        <v>0</v>
      </c>
    </row>
    <row r="4074" spans="1:33">
      <c r="A4074" s="20" t="s">
        <v>23807</v>
      </c>
      <c r="B4074" s="150"/>
      <c r="C4074" s="21" t="s">
        <v>23830</v>
      </c>
      <c r="D4074" s="109" t="s">
        <v>3099</v>
      </c>
      <c r="E4074" s="109"/>
      <c r="F4074" s="391" t="s">
        <v>23837</v>
      </c>
      <c r="G4074" s="23" t="s">
        <v>13826</v>
      </c>
      <c r="H4074" s="23"/>
      <c r="I4074" s="23"/>
      <c r="J4074" s="23"/>
      <c r="K4074" s="23"/>
      <c r="L4074" s="375"/>
      <c r="M4074" s="351"/>
      <c r="N4074" s="267">
        <f t="shared" si="1022"/>
        <v>0</v>
      </c>
      <c r="O4074" s="268">
        <f t="shared" si="1023"/>
        <v>0</v>
      </c>
      <c r="P4074" s="239"/>
      <c r="Q4074" s="239"/>
      <c r="R4074" s="239"/>
      <c r="S4074" s="239"/>
      <c r="T4074" s="239"/>
      <c r="U4074" s="240"/>
      <c r="V4074" s="240"/>
      <c r="W4074" s="240"/>
      <c r="X4074" s="278"/>
      <c r="Y4074" s="237"/>
      <c r="Z4074" s="237"/>
      <c r="AA4074" s="279"/>
      <c r="AB4074" s="238"/>
      <c r="AC4074" s="196">
        <f t="shared" si="999"/>
        <v>0</v>
      </c>
      <c r="AD4074" s="196">
        <f t="shared" si="1000"/>
        <v>0</v>
      </c>
      <c r="AE4074" s="196">
        <f t="shared" si="1001"/>
        <v>0</v>
      </c>
      <c r="AF4074" s="2">
        <f t="shared" si="1002"/>
        <v>0</v>
      </c>
      <c r="AG4074" s="2">
        <f t="shared" si="1003"/>
        <v>0</v>
      </c>
    </row>
    <row r="4075" spans="1:33">
      <c r="A4075" s="20" t="s">
        <v>23428</v>
      </c>
      <c r="B4075" s="150"/>
      <c r="C4075" s="21" t="s">
        <v>23456</v>
      </c>
      <c r="D4075" s="109" t="s">
        <v>3099</v>
      </c>
      <c r="E4075" s="109"/>
      <c r="F4075" s="391" t="s">
        <v>23460</v>
      </c>
      <c r="G4075" s="23" t="s">
        <v>13826</v>
      </c>
      <c r="H4075" s="23"/>
      <c r="I4075" s="23"/>
      <c r="J4075" s="23"/>
      <c r="K4075" s="23"/>
      <c r="L4075" s="375" t="s">
        <v>45</v>
      </c>
      <c r="M4075" s="351"/>
      <c r="N4075" s="267">
        <f t="shared" si="1006"/>
        <v>0</v>
      </c>
      <c r="O4075" s="268">
        <f t="shared" si="1007"/>
        <v>0</v>
      </c>
      <c r="P4075" s="239"/>
      <c r="Q4075" s="239"/>
      <c r="R4075" s="239"/>
      <c r="S4075" s="239"/>
      <c r="T4075" s="239"/>
      <c r="U4075" s="240"/>
      <c r="V4075" s="240"/>
      <c r="W4075" s="240"/>
      <c r="X4075" s="278"/>
      <c r="Y4075" s="237"/>
      <c r="Z4075" s="237"/>
      <c r="AA4075" s="279"/>
      <c r="AB4075" s="238"/>
      <c r="AC4075" s="196">
        <f t="shared" si="999"/>
        <v>0</v>
      </c>
      <c r="AD4075" s="196">
        <f t="shared" si="1000"/>
        <v>0</v>
      </c>
      <c r="AE4075" s="196">
        <f t="shared" si="1001"/>
        <v>0</v>
      </c>
      <c r="AF4075" s="2">
        <f t="shared" si="1002"/>
        <v>0</v>
      </c>
      <c r="AG4075" s="2">
        <f t="shared" si="1003"/>
        <v>0</v>
      </c>
    </row>
    <row r="4076" spans="1:33">
      <c r="A4076" s="20" t="s">
        <v>23541</v>
      </c>
      <c r="B4076" s="150"/>
      <c r="C4076" s="21" t="s">
        <v>23563</v>
      </c>
      <c r="D4076" s="109" t="s">
        <v>3137</v>
      </c>
      <c r="E4076" s="109" t="s">
        <v>23083</v>
      </c>
      <c r="F4076" s="391" t="s">
        <v>23565</v>
      </c>
      <c r="G4076" s="23" t="s">
        <v>22432</v>
      </c>
      <c r="H4076" s="23"/>
      <c r="I4076" s="23"/>
      <c r="J4076" s="23"/>
      <c r="K4076" s="23"/>
      <c r="L4076" s="375" t="s">
        <v>7787</v>
      </c>
      <c r="M4076" s="351"/>
      <c r="N4076" s="267">
        <f t="shared" si="1006"/>
        <v>0</v>
      </c>
      <c r="O4076" s="268">
        <f t="shared" si="1007"/>
        <v>0</v>
      </c>
      <c r="P4076" s="239"/>
      <c r="Q4076" s="239"/>
      <c r="R4076" s="239"/>
      <c r="S4076" s="239"/>
      <c r="T4076" s="239"/>
      <c r="U4076" s="240"/>
      <c r="V4076" s="240"/>
      <c r="W4076" s="240"/>
      <c r="X4076" s="278"/>
      <c r="Y4076" s="237"/>
      <c r="Z4076" s="237"/>
      <c r="AA4076" s="279"/>
      <c r="AB4076" s="238"/>
      <c r="AC4076" s="196">
        <f t="shared" si="999"/>
        <v>0</v>
      </c>
      <c r="AD4076" s="196">
        <f t="shared" si="1000"/>
        <v>0</v>
      </c>
      <c r="AE4076" s="196">
        <f t="shared" si="1001"/>
        <v>0</v>
      </c>
      <c r="AF4076" s="2">
        <f t="shared" si="1002"/>
        <v>0</v>
      </c>
      <c r="AG4076" s="2">
        <f t="shared" si="1003"/>
        <v>0</v>
      </c>
    </row>
    <row r="4077" spans="1:33">
      <c r="A4077" s="20" t="s">
        <v>23431</v>
      </c>
      <c r="B4077" s="150"/>
      <c r="C4077" s="21" t="s">
        <v>23465</v>
      </c>
      <c r="D4077" s="109" t="s">
        <v>3137</v>
      </c>
      <c r="E4077" s="109"/>
      <c r="F4077" s="391" t="s">
        <v>23467</v>
      </c>
      <c r="G4077" s="23" t="s">
        <v>23468</v>
      </c>
      <c r="H4077" s="23" t="s">
        <v>24278</v>
      </c>
      <c r="I4077" s="23"/>
      <c r="J4077" s="23"/>
      <c r="K4077" s="23"/>
      <c r="L4077" s="375" t="s">
        <v>45</v>
      </c>
      <c r="M4077" s="351" t="s">
        <v>45</v>
      </c>
      <c r="N4077" s="267">
        <f t="shared" si="1006"/>
        <v>0</v>
      </c>
      <c r="O4077" s="268">
        <f t="shared" si="1007"/>
        <v>350</v>
      </c>
      <c r="P4077" s="239"/>
      <c r="Q4077" s="239"/>
      <c r="R4077" s="239">
        <f>1350-500-800+1600+2950+2000-500-1000-1000-1000-550-1600-100-500</f>
        <v>350</v>
      </c>
      <c r="S4077" s="239"/>
      <c r="T4077" s="239"/>
      <c r="U4077" s="239"/>
      <c r="V4077" s="240"/>
      <c r="W4077" s="240"/>
      <c r="X4077" s="278"/>
      <c r="Y4077" s="237"/>
      <c r="Z4077" s="237"/>
      <c r="AA4077" s="279"/>
      <c r="AB4077" s="238" t="s">
        <v>26815</v>
      </c>
      <c r="AC4077" s="196">
        <f t="shared" si="999"/>
        <v>350</v>
      </c>
      <c r="AD4077" s="196">
        <f t="shared" si="1000"/>
        <v>350</v>
      </c>
      <c r="AE4077" s="196">
        <f t="shared" si="1001"/>
        <v>0</v>
      </c>
      <c r="AF4077" s="2">
        <f t="shared" si="1002"/>
        <v>350</v>
      </c>
      <c r="AG4077" s="2">
        <f t="shared" si="1003"/>
        <v>0</v>
      </c>
    </row>
    <row r="4078" spans="1:33">
      <c r="A4078" s="20" t="s">
        <v>26013</v>
      </c>
      <c r="B4078" s="150"/>
      <c r="C4078" s="21" t="s">
        <v>25467</v>
      </c>
      <c r="D4078" s="109" t="s">
        <v>4070</v>
      </c>
      <c r="E4078" s="109" t="s">
        <v>26097</v>
      </c>
      <c r="F4078" s="391" t="s">
        <v>25468</v>
      </c>
      <c r="G4078" s="23" t="s">
        <v>10645</v>
      </c>
      <c r="H4078" s="23" t="s">
        <v>8857</v>
      </c>
      <c r="I4078" s="23"/>
      <c r="J4078" s="23"/>
      <c r="K4078" s="23"/>
      <c r="L4078" s="375"/>
      <c r="M4078" s="351"/>
      <c r="N4078" s="267">
        <f t="shared" ref="N4078" si="1026">SUM(L4078:M4078)</f>
        <v>0</v>
      </c>
      <c r="O4078" s="268">
        <f t="shared" ref="O4078" si="1027">SUM(P4078:Z4078)</f>
        <v>0</v>
      </c>
      <c r="P4078" s="239"/>
      <c r="Q4078" s="239"/>
      <c r="R4078" s="239"/>
      <c r="S4078" s="239"/>
      <c r="T4078" s="239"/>
      <c r="U4078" s="239"/>
      <c r="V4078" s="240"/>
      <c r="W4078" s="240"/>
      <c r="X4078" s="278"/>
      <c r="Y4078" s="237"/>
      <c r="Z4078" s="237"/>
      <c r="AA4078" s="279"/>
      <c r="AB4078" s="238"/>
      <c r="AC4078" s="196">
        <f t="shared" si="999"/>
        <v>0</v>
      </c>
      <c r="AD4078" s="196">
        <f t="shared" si="1000"/>
        <v>0</v>
      </c>
      <c r="AE4078" s="196">
        <f t="shared" si="1001"/>
        <v>0</v>
      </c>
      <c r="AF4078" s="2">
        <f t="shared" si="1002"/>
        <v>0</v>
      </c>
      <c r="AG4078" s="2">
        <f t="shared" si="1003"/>
        <v>0</v>
      </c>
    </row>
    <row r="4079" spans="1:33">
      <c r="A4079" s="20" t="s">
        <v>23427</v>
      </c>
      <c r="B4079" s="150"/>
      <c r="C4079" s="21" t="s">
        <v>23457</v>
      </c>
      <c r="D4079" s="109" t="s">
        <v>3099</v>
      </c>
      <c r="E4079" s="109"/>
      <c r="F4079" s="391" t="s">
        <v>23459</v>
      </c>
      <c r="G4079" s="23" t="s">
        <v>13826</v>
      </c>
      <c r="H4079" s="23"/>
      <c r="I4079" s="23"/>
      <c r="J4079" s="23"/>
      <c r="K4079" s="23"/>
      <c r="L4079" s="375" t="s">
        <v>7787</v>
      </c>
      <c r="M4079" s="351"/>
      <c r="N4079" s="267">
        <f t="shared" si="1006"/>
        <v>0</v>
      </c>
      <c r="O4079" s="268">
        <f t="shared" si="1007"/>
        <v>0</v>
      </c>
      <c r="P4079" s="239"/>
      <c r="Q4079" s="239"/>
      <c r="R4079" s="239"/>
      <c r="S4079" s="239"/>
      <c r="T4079" s="239"/>
      <c r="U4079" s="240"/>
      <c r="V4079" s="240"/>
      <c r="W4079" s="240"/>
      <c r="X4079" s="278"/>
      <c r="Y4079" s="237"/>
      <c r="Z4079" s="237"/>
      <c r="AA4079" s="279"/>
      <c r="AB4079" s="238"/>
      <c r="AC4079" s="196">
        <f t="shared" si="999"/>
        <v>0</v>
      </c>
      <c r="AD4079" s="196">
        <f t="shared" si="1000"/>
        <v>0</v>
      </c>
      <c r="AE4079" s="196">
        <f t="shared" si="1001"/>
        <v>0</v>
      </c>
      <c r="AF4079" s="2">
        <f t="shared" si="1002"/>
        <v>0</v>
      </c>
      <c r="AG4079" s="2">
        <f t="shared" si="1003"/>
        <v>0</v>
      </c>
    </row>
    <row r="4080" spans="1:33">
      <c r="A4080" s="20" t="s">
        <v>23639</v>
      </c>
      <c r="B4080" s="150"/>
      <c r="C4080" s="21" t="s">
        <v>23668</v>
      </c>
      <c r="D4080" s="109" t="s">
        <v>3099</v>
      </c>
      <c r="E4080" s="109" t="s">
        <v>26349</v>
      </c>
      <c r="F4080" s="391" t="s">
        <v>23690</v>
      </c>
      <c r="G4080" s="23" t="s">
        <v>13826</v>
      </c>
      <c r="H4080" s="23" t="s">
        <v>23948</v>
      </c>
      <c r="I4080" s="23"/>
      <c r="J4080" s="23"/>
      <c r="K4080" s="23"/>
      <c r="L4080" s="375" t="s">
        <v>7787</v>
      </c>
      <c r="M4080" s="351"/>
      <c r="N4080" s="267">
        <f t="shared" si="1006"/>
        <v>0</v>
      </c>
      <c r="O4080" s="268">
        <f t="shared" si="1007"/>
        <v>12500</v>
      </c>
      <c r="P4080" s="239"/>
      <c r="Q4080" s="239"/>
      <c r="R4080" s="239"/>
      <c r="S4080" s="239"/>
      <c r="T4080" s="239"/>
      <c r="U4080" s="239">
        <f>7200+7200-700-2300+3600-7700-4300+3600-5700+7200+3600+10800-6000-4000</f>
        <v>12500</v>
      </c>
      <c r="V4080" s="240"/>
      <c r="W4080" s="240"/>
      <c r="X4080" s="278"/>
      <c r="Y4080" s="237"/>
      <c r="Z4080" s="237"/>
      <c r="AA4080" s="279"/>
      <c r="AB4080" s="238"/>
      <c r="AC4080" s="196">
        <f t="shared" si="999"/>
        <v>12500</v>
      </c>
      <c r="AD4080" s="196">
        <f t="shared" si="1000"/>
        <v>12500</v>
      </c>
      <c r="AE4080" s="196">
        <f t="shared" si="1001"/>
        <v>0</v>
      </c>
      <c r="AF4080" s="2">
        <f t="shared" si="1002"/>
        <v>12500</v>
      </c>
      <c r="AG4080" s="2">
        <f t="shared" si="1003"/>
        <v>0</v>
      </c>
    </row>
    <row r="4081" spans="1:33">
      <c r="A4081" s="20" t="s">
        <v>26377</v>
      </c>
      <c r="B4081" s="150"/>
      <c r="C4081" s="21" t="s">
        <v>23668</v>
      </c>
      <c r="D4081" s="109" t="s">
        <v>3099</v>
      </c>
      <c r="E4081" s="109" t="s">
        <v>26350</v>
      </c>
      <c r="F4081" s="391" t="s">
        <v>23690</v>
      </c>
      <c r="G4081" s="23" t="s">
        <v>13826</v>
      </c>
      <c r="H4081" s="23" t="s">
        <v>13301</v>
      </c>
      <c r="I4081" s="23"/>
      <c r="J4081" s="23"/>
      <c r="K4081" s="23"/>
      <c r="L4081" s="375" t="s">
        <v>45</v>
      </c>
      <c r="M4081" s="351" t="s">
        <v>45</v>
      </c>
      <c r="N4081" s="267">
        <f t="shared" ref="N4081" si="1028">SUM(L4081:M4081)</f>
        <v>0</v>
      </c>
      <c r="O4081" s="268">
        <f t="shared" ref="O4081" si="1029">SUM(P4081:Z4081)</f>
        <v>0</v>
      </c>
      <c r="P4081" s="239"/>
      <c r="Q4081" s="239"/>
      <c r="R4081" s="239"/>
      <c r="S4081" s="239"/>
      <c r="T4081" s="239"/>
      <c r="U4081" s="239"/>
      <c r="V4081" s="240"/>
      <c r="W4081" s="240"/>
      <c r="X4081" s="278"/>
      <c r="Y4081" s="237"/>
      <c r="Z4081" s="237"/>
      <c r="AA4081" s="279"/>
      <c r="AB4081" s="238"/>
      <c r="AC4081" s="196">
        <f t="shared" si="999"/>
        <v>0</v>
      </c>
      <c r="AD4081" s="196">
        <f t="shared" si="1000"/>
        <v>0</v>
      </c>
      <c r="AE4081" s="196">
        <f t="shared" si="1001"/>
        <v>0</v>
      </c>
      <c r="AF4081" s="2">
        <f t="shared" si="1002"/>
        <v>0</v>
      </c>
      <c r="AG4081" s="2">
        <f t="shared" si="1003"/>
        <v>0</v>
      </c>
    </row>
    <row r="4082" spans="1:33">
      <c r="A4082" s="20" t="s">
        <v>23687</v>
      </c>
      <c r="B4082" s="150"/>
      <c r="C4082" s="21" t="s">
        <v>23725</v>
      </c>
      <c r="D4082" s="109" t="s">
        <v>3096</v>
      </c>
      <c r="E4082" s="109" t="s">
        <v>3128</v>
      </c>
      <c r="F4082" s="391" t="s">
        <v>23741</v>
      </c>
      <c r="G4082" s="23" t="s">
        <v>21185</v>
      </c>
      <c r="H4082" s="23"/>
      <c r="I4082" s="23"/>
      <c r="J4082" s="23"/>
      <c r="K4082" s="23"/>
      <c r="L4082" s="375" t="s">
        <v>45</v>
      </c>
      <c r="M4082" s="351" t="s">
        <v>7787</v>
      </c>
      <c r="N4082" s="267">
        <f t="shared" si="1006"/>
        <v>0</v>
      </c>
      <c r="O4082" s="268">
        <f t="shared" si="1007"/>
        <v>0</v>
      </c>
      <c r="P4082" s="239"/>
      <c r="Q4082" s="239"/>
      <c r="R4082" s="239"/>
      <c r="S4082" s="239"/>
      <c r="T4082" s="239"/>
      <c r="U4082" s="240"/>
      <c r="V4082" s="240"/>
      <c r="W4082" s="240"/>
      <c r="X4082" s="278"/>
      <c r="Y4082" s="237"/>
      <c r="Z4082" s="237"/>
      <c r="AA4082" s="279"/>
      <c r="AB4082" s="238"/>
      <c r="AC4082" s="196">
        <f t="shared" si="999"/>
        <v>0</v>
      </c>
      <c r="AD4082" s="196">
        <f t="shared" si="1000"/>
        <v>0</v>
      </c>
      <c r="AE4082" s="196">
        <f t="shared" si="1001"/>
        <v>0</v>
      </c>
      <c r="AF4082" s="2">
        <f t="shared" si="1002"/>
        <v>0</v>
      </c>
      <c r="AG4082" s="2">
        <f t="shared" si="1003"/>
        <v>0</v>
      </c>
    </row>
    <row r="4083" spans="1:33">
      <c r="A4083" s="20" t="s">
        <v>23749</v>
      </c>
      <c r="B4083" s="150"/>
      <c r="C4083" s="21" t="s">
        <v>23796</v>
      </c>
      <c r="D4083" s="109" t="s">
        <v>3099</v>
      </c>
      <c r="E4083" s="109" t="s">
        <v>24714</v>
      </c>
      <c r="F4083" s="391" t="s">
        <v>23804</v>
      </c>
      <c r="G4083" s="23" t="s">
        <v>13826</v>
      </c>
      <c r="H4083" s="23"/>
      <c r="I4083" s="23"/>
      <c r="J4083" s="23"/>
      <c r="K4083" s="23"/>
      <c r="L4083" s="375"/>
      <c r="M4083" s="351" t="s">
        <v>45</v>
      </c>
      <c r="N4083" s="267">
        <f t="shared" si="1006"/>
        <v>0</v>
      </c>
      <c r="O4083" s="268">
        <f t="shared" si="1007"/>
        <v>0</v>
      </c>
      <c r="P4083" s="239"/>
      <c r="Q4083" s="239"/>
      <c r="R4083" s="239"/>
      <c r="S4083" s="239"/>
      <c r="T4083" s="239"/>
      <c r="U4083" s="240"/>
      <c r="V4083" s="240"/>
      <c r="W4083" s="240"/>
      <c r="X4083" s="278"/>
      <c r="Y4083" s="239"/>
      <c r="Z4083" s="237"/>
      <c r="AA4083" s="279"/>
      <c r="AB4083" s="238"/>
      <c r="AC4083" s="196">
        <f t="shared" si="999"/>
        <v>0</v>
      </c>
      <c r="AD4083" s="196">
        <f t="shared" si="1000"/>
        <v>0</v>
      </c>
      <c r="AE4083" s="196">
        <f t="shared" si="1001"/>
        <v>0</v>
      </c>
      <c r="AF4083" s="2">
        <f t="shared" si="1002"/>
        <v>0</v>
      </c>
      <c r="AG4083" s="2">
        <f t="shared" si="1003"/>
        <v>0</v>
      </c>
    </row>
    <row r="4084" spans="1:33">
      <c r="A4084" s="20" t="s">
        <v>26014</v>
      </c>
      <c r="B4084" s="150"/>
      <c r="C4084" s="21" t="s">
        <v>23796</v>
      </c>
      <c r="D4084" s="109" t="s">
        <v>4063</v>
      </c>
      <c r="E4084" s="109" t="s">
        <v>25657</v>
      </c>
      <c r="F4084" s="391" t="s">
        <v>25656</v>
      </c>
      <c r="G4084" s="23" t="s">
        <v>6133</v>
      </c>
      <c r="H4084" s="23"/>
      <c r="I4084" s="23"/>
      <c r="J4084" s="23"/>
      <c r="K4084" s="23"/>
      <c r="L4084" s="375"/>
      <c r="M4084" s="351"/>
      <c r="N4084" s="267">
        <f t="shared" ref="N4084" si="1030">SUM(L4084:M4084)</f>
        <v>0</v>
      </c>
      <c r="O4084" s="268">
        <f t="shared" ref="O4084" si="1031">SUM(P4084:Z4084)</f>
        <v>500</v>
      </c>
      <c r="P4084" s="239"/>
      <c r="Q4084" s="239"/>
      <c r="R4084" s="239">
        <f>4000-500+5000-1000-1500+2000-100-500-6900</f>
        <v>500</v>
      </c>
      <c r="S4084" s="239"/>
      <c r="T4084" s="239"/>
      <c r="U4084" s="240"/>
      <c r="V4084" s="240"/>
      <c r="W4084" s="240"/>
      <c r="X4084" s="278"/>
      <c r="Y4084" s="239"/>
      <c r="Z4084" s="237"/>
      <c r="AA4084" s="279"/>
      <c r="AB4084" s="238" t="s">
        <v>26426</v>
      </c>
      <c r="AC4084" s="196">
        <f t="shared" si="999"/>
        <v>500</v>
      </c>
      <c r="AD4084" s="196">
        <f t="shared" si="1000"/>
        <v>500</v>
      </c>
      <c r="AE4084" s="196">
        <f t="shared" si="1001"/>
        <v>0</v>
      </c>
      <c r="AF4084" s="2">
        <f t="shared" si="1002"/>
        <v>500</v>
      </c>
      <c r="AG4084" s="2">
        <f t="shared" si="1003"/>
        <v>0</v>
      </c>
    </row>
    <row r="4085" spans="1:33">
      <c r="A4085" s="20" t="s">
        <v>23483</v>
      </c>
      <c r="B4085" s="150"/>
      <c r="C4085" s="21" t="s">
        <v>23518</v>
      </c>
      <c r="D4085" s="109" t="s">
        <v>7957</v>
      </c>
      <c r="E4085" s="109" t="s">
        <v>19998</v>
      </c>
      <c r="F4085" s="391" t="s">
        <v>23549</v>
      </c>
      <c r="G4085" s="23" t="s">
        <v>15443</v>
      </c>
      <c r="H4085" s="23"/>
      <c r="I4085" s="23"/>
      <c r="J4085" s="23"/>
      <c r="K4085" s="23"/>
      <c r="L4085" s="375"/>
      <c r="M4085" s="351" t="s">
        <v>45</v>
      </c>
      <c r="N4085" s="267">
        <f t="shared" si="1006"/>
        <v>0</v>
      </c>
      <c r="O4085" s="268">
        <f t="shared" si="1007"/>
        <v>9900</v>
      </c>
      <c r="P4085" s="239"/>
      <c r="Q4085" s="239"/>
      <c r="R4085" s="239"/>
      <c r="S4085" s="239"/>
      <c r="T4085" s="239"/>
      <c r="U4085" s="240"/>
      <c r="V4085" s="240">
        <f>2900+3200-3500+1200+3000+4900+1200-3600-3600+4200</f>
        <v>9900</v>
      </c>
      <c r="W4085" s="240"/>
      <c r="X4085" s="278"/>
      <c r="Y4085" s="237"/>
      <c r="Z4085" s="237"/>
      <c r="AA4085" s="279"/>
      <c r="AB4085" s="238" t="s">
        <v>27720</v>
      </c>
      <c r="AC4085" s="196">
        <f t="shared" si="999"/>
        <v>9900</v>
      </c>
      <c r="AD4085" s="196">
        <f t="shared" si="1000"/>
        <v>9900</v>
      </c>
      <c r="AE4085" s="196">
        <f t="shared" si="1001"/>
        <v>0</v>
      </c>
      <c r="AF4085" s="2">
        <f t="shared" si="1002"/>
        <v>9900</v>
      </c>
      <c r="AG4085" s="2">
        <f t="shared" si="1003"/>
        <v>0</v>
      </c>
    </row>
    <row r="4086" spans="1:33">
      <c r="A4086" s="20" t="s">
        <v>23589</v>
      </c>
      <c r="B4086" s="150"/>
      <c r="C4086" s="21" t="s">
        <v>23518</v>
      </c>
      <c r="D4086" s="109" t="s">
        <v>7957</v>
      </c>
      <c r="E4086" s="109" t="s">
        <v>6022</v>
      </c>
      <c r="F4086" s="391" t="s">
        <v>23549</v>
      </c>
      <c r="G4086" s="23" t="s">
        <v>15443</v>
      </c>
      <c r="H4086" s="23"/>
      <c r="I4086" s="23"/>
      <c r="J4086" s="23"/>
      <c r="K4086" s="23"/>
      <c r="L4086" s="375" t="s">
        <v>7787</v>
      </c>
      <c r="M4086" s="351"/>
      <c r="N4086" s="267">
        <f t="shared" si="1006"/>
        <v>0</v>
      </c>
      <c r="O4086" s="268">
        <f t="shared" si="1007"/>
        <v>0</v>
      </c>
      <c r="P4086" s="239"/>
      <c r="Q4086" s="239"/>
      <c r="R4086" s="239"/>
      <c r="S4086" s="239"/>
      <c r="T4086" s="239"/>
      <c r="U4086" s="240"/>
      <c r="V4086" s="240"/>
      <c r="W4086" s="240"/>
      <c r="X4086" s="278"/>
      <c r="Y4086" s="237"/>
      <c r="Z4086" s="237"/>
      <c r="AA4086" s="279"/>
      <c r="AB4086" s="238"/>
      <c r="AC4086" s="196">
        <f t="shared" si="999"/>
        <v>0</v>
      </c>
      <c r="AD4086" s="196">
        <f t="shared" si="1000"/>
        <v>0</v>
      </c>
      <c r="AE4086" s="196">
        <f t="shared" si="1001"/>
        <v>0</v>
      </c>
      <c r="AF4086" s="2">
        <f t="shared" si="1002"/>
        <v>0</v>
      </c>
      <c r="AG4086" s="2">
        <f t="shared" si="1003"/>
        <v>0</v>
      </c>
    </row>
    <row r="4087" spans="1:33">
      <c r="A4087" s="20" t="s">
        <v>23538</v>
      </c>
      <c r="B4087" s="150"/>
      <c r="C4087" s="21" t="s">
        <v>23556</v>
      </c>
      <c r="D4087" s="109" t="s">
        <v>3137</v>
      </c>
      <c r="E4087" s="109"/>
      <c r="F4087" s="391" t="s">
        <v>23557</v>
      </c>
      <c r="G4087" s="23" t="s">
        <v>23558</v>
      </c>
      <c r="H4087" s="23" t="s">
        <v>23862</v>
      </c>
      <c r="I4087" s="23" t="s">
        <v>24275</v>
      </c>
      <c r="J4087" s="23" t="s">
        <v>24324</v>
      </c>
      <c r="K4087" s="23"/>
      <c r="L4087" s="375" t="s">
        <v>7787</v>
      </c>
      <c r="M4087" s="351"/>
      <c r="N4087" s="267">
        <f t="shared" si="1006"/>
        <v>0</v>
      </c>
      <c r="O4087" s="268">
        <f t="shared" si="1007"/>
        <v>100</v>
      </c>
      <c r="P4087" s="239"/>
      <c r="Q4087" s="239">
        <f>1100-350-50-50-150-300-100</f>
        <v>100</v>
      </c>
      <c r="R4087" s="239"/>
      <c r="S4087" s="239"/>
      <c r="T4087" s="239"/>
      <c r="U4087" s="240"/>
      <c r="V4087" s="240"/>
      <c r="W4087" s="240"/>
      <c r="X4087" s="278"/>
      <c r="Y4087" s="237"/>
      <c r="Z4087" s="237"/>
      <c r="AA4087" s="279"/>
      <c r="AB4087" s="238" t="s">
        <v>24745</v>
      </c>
      <c r="AC4087" s="196">
        <f t="shared" si="999"/>
        <v>100</v>
      </c>
      <c r="AD4087" s="196">
        <f t="shared" si="1000"/>
        <v>100</v>
      </c>
      <c r="AE4087" s="196">
        <f t="shared" si="1001"/>
        <v>0</v>
      </c>
      <c r="AF4087" s="2">
        <f t="shared" si="1002"/>
        <v>100</v>
      </c>
      <c r="AG4087" s="2">
        <f t="shared" si="1003"/>
        <v>0</v>
      </c>
    </row>
    <row r="4088" spans="1:33">
      <c r="A4088" s="20" t="s">
        <v>23535</v>
      </c>
      <c r="B4088" s="150"/>
      <c r="C4088" s="21" t="s">
        <v>23514</v>
      </c>
      <c r="D4088" s="109" t="s">
        <v>7957</v>
      </c>
      <c r="E4088" s="109" t="s">
        <v>19998</v>
      </c>
      <c r="F4088" s="391" t="s">
        <v>25371</v>
      </c>
      <c r="G4088" s="23" t="s">
        <v>15443</v>
      </c>
      <c r="H4088" s="23"/>
      <c r="I4088" s="23"/>
      <c r="J4088" s="23"/>
      <c r="K4088" s="23"/>
      <c r="L4088" s="375" t="s">
        <v>45</v>
      </c>
      <c r="M4088" s="351" t="s">
        <v>45</v>
      </c>
      <c r="N4088" s="267">
        <f t="shared" si="1006"/>
        <v>0</v>
      </c>
      <c r="O4088" s="268">
        <f t="shared" si="1007"/>
        <v>1000</v>
      </c>
      <c r="P4088" s="239"/>
      <c r="Q4088" s="239"/>
      <c r="R4088" s="239"/>
      <c r="S4088" s="239"/>
      <c r="T4088" s="240"/>
      <c r="U4088" s="240"/>
      <c r="V4088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8" s="240"/>
      <c r="X4088" s="278"/>
      <c r="Y4088" s="240"/>
      <c r="Z4088" s="237"/>
      <c r="AA4088" s="279"/>
      <c r="AB4088" s="238" t="s">
        <v>27526</v>
      </c>
      <c r="AC4088" s="196">
        <f t="shared" ref="AC4088:AC4152" si="1032">SUM(P4088:AA4088)</f>
        <v>1000</v>
      </c>
      <c r="AD4088" s="196">
        <f t="shared" ref="AD4088:AD4152" si="1033">SUM(P4088:AB4088)</f>
        <v>1000</v>
      </c>
      <c r="AE4088" s="196">
        <f t="shared" ref="AE4088:AE4152" si="1034">SUM(AC4088-AD4088)</f>
        <v>0</v>
      </c>
      <c r="AF4088" s="2">
        <f t="shared" ref="AF4088:AF4152" si="1035">+AC4088</f>
        <v>1000</v>
      </c>
      <c r="AG4088" s="2">
        <f t="shared" ref="AG4088:AG4152" si="1036">+AC4088-AF4088</f>
        <v>0</v>
      </c>
    </row>
    <row r="4089" spans="1:33">
      <c r="A4089" s="20" t="s">
        <v>26015</v>
      </c>
      <c r="B4089" s="150"/>
      <c r="C4089" s="21" t="s">
        <v>23514</v>
      </c>
      <c r="D4089" s="109" t="s">
        <v>7957</v>
      </c>
      <c r="E4089" s="109" t="s">
        <v>19998</v>
      </c>
      <c r="F4089" s="391" t="s">
        <v>25372</v>
      </c>
      <c r="G4089" s="23" t="s">
        <v>13711</v>
      </c>
      <c r="H4089" s="23"/>
      <c r="I4089" s="23"/>
      <c r="J4089" s="23"/>
      <c r="K4089" s="23"/>
      <c r="L4089" s="375"/>
      <c r="M4089" s="351"/>
      <c r="N4089" s="267">
        <f t="shared" ref="N4089:N4090" si="1037">SUM(L4089:M4089)</f>
        <v>0</v>
      </c>
      <c r="O4089" s="268">
        <f t="shared" ref="O4089:O4090" si="1038">SUM(P4089:Z4089)</f>
        <v>13350</v>
      </c>
      <c r="P4089" s="239"/>
      <c r="Q4089" s="239"/>
      <c r="R4089" s="239"/>
      <c r="S4089" s="239"/>
      <c r="T4089" s="244"/>
      <c r="U4089" s="240">
        <f>2900+3200+3000-7750+3000+3000+3000+3000</f>
        <v>13350</v>
      </c>
      <c r="V4089" s="240"/>
      <c r="W4089" s="240"/>
      <c r="X4089" s="278"/>
      <c r="Y4089" s="237"/>
      <c r="Z4089" s="237"/>
      <c r="AA4089" s="279"/>
      <c r="AB4089" s="238" t="s">
        <v>27834</v>
      </c>
      <c r="AC4089" s="196">
        <f t="shared" si="1032"/>
        <v>13350</v>
      </c>
      <c r="AD4089" s="196">
        <f t="shared" si="1033"/>
        <v>13350</v>
      </c>
      <c r="AE4089" s="196">
        <f t="shared" si="1034"/>
        <v>0</v>
      </c>
      <c r="AF4089" s="2">
        <f t="shared" si="1035"/>
        <v>13350</v>
      </c>
      <c r="AG4089" s="2">
        <f t="shared" si="1036"/>
        <v>0</v>
      </c>
    </row>
    <row r="4090" spans="1:33">
      <c r="A4090" s="20" t="s">
        <v>23590</v>
      </c>
      <c r="B4090" s="150"/>
      <c r="C4090" s="21" t="s">
        <v>23514</v>
      </c>
      <c r="D4090" s="109" t="s">
        <v>7957</v>
      </c>
      <c r="E4090" s="109" t="s">
        <v>6022</v>
      </c>
      <c r="F4090" s="391" t="s">
        <v>23550</v>
      </c>
      <c r="G4090" s="23" t="s">
        <v>15443</v>
      </c>
      <c r="H4090" s="23"/>
      <c r="I4090" s="23"/>
      <c r="J4090" s="23"/>
      <c r="K4090" s="23"/>
      <c r="L4090" s="375"/>
      <c r="M4090" s="351"/>
      <c r="N4090" s="267">
        <f t="shared" si="1037"/>
        <v>0</v>
      </c>
      <c r="O4090" s="268">
        <f t="shared" si="1038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32"/>
        <v>0</v>
      </c>
      <c r="AD4090" s="196">
        <f t="shared" si="1033"/>
        <v>0</v>
      </c>
      <c r="AE4090" s="196">
        <f t="shared" si="1034"/>
        <v>0</v>
      </c>
      <c r="AF4090" s="2">
        <f t="shared" si="1035"/>
        <v>0</v>
      </c>
      <c r="AG4090" s="2">
        <f t="shared" si="1036"/>
        <v>0</v>
      </c>
    </row>
    <row r="4091" spans="1:33">
      <c r="A4091" s="20" t="s">
        <v>23587</v>
      </c>
      <c r="B4091" s="150"/>
      <c r="C4091" s="21" t="s">
        <v>23596</v>
      </c>
      <c r="D4091" s="109" t="s">
        <v>3096</v>
      </c>
      <c r="E4091" s="109" t="s">
        <v>19998</v>
      </c>
      <c r="F4091" s="391" t="s">
        <v>23614</v>
      </c>
      <c r="G4091" s="23" t="s">
        <v>13581</v>
      </c>
      <c r="H4091" s="23"/>
      <c r="I4091" s="23"/>
      <c r="J4091" s="23"/>
      <c r="K4091" s="23"/>
      <c r="L4091" s="375"/>
      <c r="M4091" s="351" t="s">
        <v>7787</v>
      </c>
      <c r="N4091" s="267">
        <f t="shared" si="1006"/>
        <v>0</v>
      </c>
      <c r="O4091" s="268">
        <f t="shared" si="1007"/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32"/>
        <v>0</v>
      </c>
      <c r="AD4091" s="196">
        <f t="shared" si="1033"/>
        <v>0</v>
      </c>
      <c r="AE4091" s="196">
        <f t="shared" si="1034"/>
        <v>0</v>
      </c>
      <c r="AF4091" s="2">
        <f t="shared" si="1035"/>
        <v>0</v>
      </c>
      <c r="AG4091" s="2">
        <f t="shared" si="1036"/>
        <v>0</v>
      </c>
    </row>
    <row r="4092" spans="1:33">
      <c r="A4092" s="20" t="s">
        <v>23637</v>
      </c>
      <c r="B4092" s="150"/>
      <c r="C4092" s="21" t="s">
        <v>24576</v>
      </c>
      <c r="D4092" s="109" t="s">
        <v>3102</v>
      </c>
      <c r="E4092" s="109"/>
      <c r="F4092" s="391" t="s">
        <v>23614</v>
      </c>
      <c r="G4092" s="23" t="s">
        <v>24819</v>
      </c>
      <c r="H4092" s="23"/>
      <c r="I4092" s="23"/>
      <c r="J4092" s="23"/>
      <c r="K4092" s="23"/>
      <c r="L4092" s="375" t="s">
        <v>7787</v>
      </c>
      <c r="M4092" s="351"/>
      <c r="N4092" s="267">
        <f t="shared" si="1006"/>
        <v>0</v>
      </c>
      <c r="O4092" s="268">
        <f t="shared" si="1007"/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32"/>
        <v>0</v>
      </c>
      <c r="AD4092" s="196">
        <f t="shared" si="1033"/>
        <v>0</v>
      </c>
      <c r="AE4092" s="196">
        <f t="shared" si="1034"/>
        <v>0</v>
      </c>
      <c r="AF4092" s="2">
        <f t="shared" si="1035"/>
        <v>0</v>
      </c>
      <c r="AG4092" s="2">
        <f t="shared" si="1036"/>
        <v>0</v>
      </c>
    </row>
    <row r="4093" spans="1:33">
      <c r="A4093" s="20" t="s">
        <v>23630</v>
      </c>
      <c r="B4093" s="150"/>
      <c r="C4093" s="21" t="s">
        <v>23616</v>
      </c>
      <c r="D4093" s="109" t="s">
        <v>7957</v>
      </c>
      <c r="E4093" s="109"/>
      <c r="F4093" s="391" t="s">
        <v>23651</v>
      </c>
      <c r="G4093" s="23" t="s">
        <v>15443</v>
      </c>
      <c r="H4093" s="23"/>
      <c r="I4093" s="23"/>
      <c r="J4093" s="23"/>
      <c r="K4093" s="23"/>
      <c r="L4093" s="375"/>
      <c r="M4093" s="351" t="s">
        <v>7787</v>
      </c>
      <c r="N4093" s="267">
        <f t="shared" si="1006"/>
        <v>0</v>
      </c>
      <c r="O4093" s="268">
        <f t="shared" si="1007"/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32"/>
        <v>0</v>
      </c>
      <c r="AD4093" s="196">
        <f t="shared" si="1033"/>
        <v>0</v>
      </c>
      <c r="AE4093" s="196">
        <f t="shared" si="1034"/>
        <v>0</v>
      </c>
      <c r="AF4093" s="2">
        <f t="shared" si="1035"/>
        <v>0</v>
      </c>
      <c r="AG4093" s="2">
        <f t="shared" si="1036"/>
        <v>0</v>
      </c>
    </row>
    <row r="4094" spans="1:33">
      <c r="A4094" s="20" t="s">
        <v>23588</v>
      </c>
      <c r="B4094" s="150"/>
      <c r="C4094" s="21" t="s">
        <v>23608</v>
      </c>
      <c r="D4094" s="109" t="s">
        <v>3137</v>
      </c>
      <c r="E4094" s="109"/>
      <c r="F4094" s="391" t="s">
        <v>23615</v>
      </c>
      <c r="G4094" s="23" t="s">
        <v>23612</v>
      </c>
      <c r="H4094" s="23"/>
      <c r="I4094" s="23"/>
      <c r="J4094" s="23"/>
      <c r="K4094" s="23"/>
      <c r="L4094" s="375" t="s">
        <v>7787</v>
      </c>
      <c r="M4094" s="351"/>
      <c r="N4094" s="267">
        <f t="shared" si="1006"/>
        <v>0</v>
      </c>
      <c r="O4094" s="268">
        <f t="shared" si="1007"/>
        <v>0</v>
      </c>
      <c r="P4094" s="239"/>
      <c r="Q4094" s="239"/>
      <c r="R4094" s="239"/>
      <c r="S4094" s="239"/>
      <c r="T4094" s="239"/>
      <c r="U4094" s="240"/>
      <c r="V4094" s="240"/>
      <c r="W4094" s="240"/>
      <c r="X4094" s="278"/>
      <c r="Y4094" s="237"/>
      <c r="Z4094" s="237"/>
      <c r="AA4094" s="279"/>
      <c r="AB4094" s="238"/>
      <c r="AC4094" s="196">
        <f t="shared" si="1032"/>
        <v>0</v>
      </c>
      <c r="AD4094" s="196">
        <f t="shared" si="1033"/>
        <v>0</v>
      </c>
      <c r="AE4094" s="196">
        <f t="shared" si="1034"/>
        <v>0</v>
      </c>
      <c r="AF4094" s="2">
        <f t="shared" si="1035"/>
        <v>0</v>
      </c>
      <c r="AG4094" s="2">
        <f t="shared" si="1036"/>
        <v>0</v>
      </c>
    </row>
    <row r="4095" spans="1:33">
      <c r="A4095" s="20" t="s">
        <v>24668</v>
      </c>
      <c r="B4095" s="150"/>
      <c r="C4095" s="21" t="s">
        <v>24705</v>
      </c>
      <c r="D4095" s="109" t="s">
        <v>3137</v>
      </c>
      <c r="E4095" s="109" t="s">
        <v>24019</v>
      </c>
      <c r="F4095" s="391" t="s">
        <v>24707</v>
      </c>
      <c r="G4095" s="23" t="s">
        <v>22432</v>
      </c>
      <c r="H4095" s="23"/>
      <c r="I4095" s="23"/>
      <c r="J4095" s="23"/>
      <c r="K4095" s="23"/>
      <c r="L4095" s="375" t="s">
        <v>7787</v>
      </c>
      <c r="M4095" s="351"/>
      <c r="N4095" s="267">
        <f t="shared" ref="N4095" si="1039">SUM(L4095:M4095)</f>
        <v>0</v>
      </c>
      <c r="O4095" s="268">
        <f t="shared" ref="O4095" si="1040">SUM(P4095:Z4095)</f>
        <v>0</v>
      </c>
      <c r="P4095" s="239"/>
      <c r="Q4095" s="239"/>
      <c r="R4095" s="239"/>
      <c r="S4095" s="239"/>
      <c r="T4095" s="239"/>
      <c r="U4095" s="240"/>
      <c r="V4095" s="240"/>
      <c r="W4095" s="240"/>
      <c r="X4095" s="278"/>
      <c r="Y4095" s="237"/>
      <c r="Z4095" s="237"/>
      <c r="AA4095" s="279"/>
      <c r="AB4095" s="238"/>
      <c r="AC4095" s="196">
        <f t="shared" si="1032"/>
        <v>0</v>
      </c>
      <c r="AD4095" s="196">
        <f t="shared" si="1033"/>
        <v>0</v>
      </c>
      <c r="AE4095" s="196">
        <f t="shared" si="1034"/>
        <v>0</v>
      </c>
      <c r="AF4095" s="2">
        <f t="shared" si="1035"/>
        <v>0</v>
      </c>
      <c r="AG4095" s="2">
        <f t="shared" si="1036"/>
        <v>0</v>
      </c>
    </row>
    <row r="4096" spans="1:33">
      <c r="A4096" s="20" t="s">
        <v>23629</v>
      </c>
      <c r="B4096" s="150"/>
      <c r="C4096" s="21" t="s">
        <v>23647</v>
      </c>
      <c r="D4096" s="109" t="s">
        <v>3137</v>
      </c>
      <c r="E4096" s="109"/>
      <c r="F4096" s="391" t="s">
        <v>23650</v>
      </c>
      <c r="G4096" s="23" t="s">
        <v>6133</v>
      </c>
      <c r="H4096" s="23"/>
      <c r="I4096" s="23"/>
      <c r="J4096" s="23"/>
      <c r="K4096" s="23"/>
      <c r="L4096" s="375"/>
      <c r="M4096" s="351"/>
      <c r="N4096" s="267">
        <f t="shared" si="1006"/>
        <v>0</v>
      </c>
      <c r="O4096" s="268">
        <f t="shared" si="1007"/>
        <v>0</v>
      </c>
      <c r="P4096" s="239"/>
      <c r="Q4096" s="239"/>
      <c r="R4096" s="239"/>
      <c r="S4096" s="239"/>
      <c r="T4096" s="239"/>
      <c r="U4096" s="240"/>
      <c r="V4096" s="240"/>
      <c r="W4096" s="240"/>
      <c r="X4096" s="278"/>
      <c r="Y4096" s="237"/>
      <c r="Z4096" s="237"/>
      <c r="AA4096" s="279"/>
      <c r="AB4096" s="238"/>
      <c r="AC4096" s="196">
        <f t="shared" si="1032"/>
        <v>0</v>
      </c>
      <c r="AD4096" s="196">
        <f t="shared" si="1033"/>
        <v>0</v>
      </c>
      <c r="AE4096" s="196">
        <f t="shared" si="1034"/>
        <v>0</v>
      </c>
      <c r="AF4096" s="2">
        <f t="shared" si="1035"/>
        <v>0</v>
      </c>
      <c r="AG4096" s="2">
        <f t="shared" si="1036"/>
        <v>0</v>
      </c>
    </row>
    <row r="4097" spans="1:33">
      <c r="A4097" s="20" t="s">
        <v>23688</v>
      </c>
      <c r="B4097" s="150"/>
      <c r="C4097" s="21" t="s">
        <v>23732</v>
      </c>
      <c r="D4097" s="109" t="s">
        <v>7957</v>
      </c>
      <c r="E4097" s="109"/>
      <c r="F4097" s="391" t="s">
        <v>23752</v>
      </c>
      <c r="G4097" s="23" t="s">
        <v>15443</v>
      </c>
      <c r="H4097" s="23" t="s">
        <v>24412</v>
      </c>
      <c r="I4097" s="23"/>
      <c r="J4097" s="23"/>
      <c r="K4097" s="23"/>
      <c r="L4097" s="375"/>
      <c r="M4097" s="351" t="s">
        <v>45</v>
      </c>
      <c r="N4097" s="267">
        <f t="shared" si="1006"/>
        <v>0</v>
      </c>
      <c r="O4097" s="268">
        <f t="shared" si="1007"/>
        <v>0</v>
      </c>
      <c r="P4097" s="239"/>
      <c r="Q4097" s="239"/>
      <c r="R4097" s="239"/>
      <c r="S4097" s="239"/>
      <c r="T4097" s="239"/>
      <c r="U4097" s="240"/>
      <c r="V4097" s="240"/>
      <c r="W4097" s="240"/>
      <c r="X4097" s="278"/>
      <c r="Y4097" s="237"/>
      <c r="Z4097" s="237"/>
      <c r="AA4097" s="279"/>
      <c r="AB4097" s="238"/>
      <c r="AC4097" s="196">
        <f t="shared" si="1032"/>
        <v>0</v>
      </c>
      <c r="AD4097" s="196">
        <f t="shared" si="1033"/>
        <v>0</v>
      </c>
      <c r="AE4097" s="196">
        <f t="shared" si="1034"/>
        <v>0</v>
      </c>
      <c r="AF4097" s="2">
        <f t="shared" si="1035"/>
        <v>0</v>
      </c>
      <c r="AG4097" s="2">
        <f t="shared" si="1036"/>
        <v>0</v>
      </c>
    </row>
    <row r="4098" spans="1:33">
      <c r="A4098" s="20" t="s">
        <v>23983</v>
      </c>
      <c r="B4098" s="150"/>
      <c r="C4098" s="21" t="s">
        <v>24018</v>
      </c>
      <c r="D4098" s="109" t="s">
        <v>7957</v>
      </c>
      <c r="E4098" s="109" t="s">
        <v>24019</v>
      </c>
      <c r="F4098" s="391" t="s">
        <v>24021</v>
      </c>
      <c r="G4098" s="23" t="s">
        <v>15443</v>
      </c>
      <c r="H4098" s="23" t="s">
        <v>25666</v>
      </c>
      <c r="I4098" s="23"/>
      <c r="J4098" s="23"/>
      <c r="K4098" s="23"/>
      <c r="L4098" s="375" t="s">
        <v>27774</v>
      </c>
      <c r="M4098" s="351" t="s">
        <v>45</v>
      </c>
      <c r="N4098" s="267">
        <f t="shared" si="1006"/>
        <v>0</v>
      </c>
      <c r="O4098" s="268">
        <f t="shared" si="1007"/>
        <v>2000</v>
      </c>
      <c r="P4098" s="239"/>
      <c r="Q4098" s="239"/>
      <c r="R4098" s="239"/>
      <c r="S4098" s="239"/>
      <c r="T4098" s="239"/>
      <c r="U4098" s="240"/>
      <c r="V4098" s="240">
        <v>2000</v>
      </c>
      <c r="W4098" s="240"/>
      <c r="X4098" s="278"/>
      <c r="Y4098" s="237"/>
      <c r="Z4098" s="237"/>
      <c r="AA4098" s="279"/>
      <c r="AB4098" s="238" t="s">
        <v>27773</v>
      </c>
      <c r="AC4098" s="196">
        <f t="shared" si="1032"/>
        <v>2000</v>
      </c>
      <c r="AD4098" s="196">
        <f t="shared" si="1033"/>
        <v>2000</v>
      </c>
      <c r="AE4098" s="196">
        <f t="shared" si="1034"/>
        <v>0</v>
      </c>
      <c r="AF4098" s="2">
        <f t="shared" si="1035"/>
        <v>2000</v>
      </c>
      <c r="AG4098" s="2">
        <f t="shared" si="1036"/>
        <v>0</v>
      </c>
    </row>
    <row r="4099" spans="1:33">
      <c r="A4099" s="20" t="s">
        <v>25518</v>
      </c>
      <c r="B4099" s="150"/>
      <c r="C4099" s="21" t="s">
        <v>24962</v>
      </c>
      <c r="D4099" s="109" t="s">
        <v>24628</v>
      </c>
      <c r="E4099" s="109" t="s">
        <v>24963</v>
      </c>
      <c r="F4099" s="391" t="s">
        <v>25026</v>
      </c>
      <c r="G4099" s="23" t="s">
        <v>5334</v>
      </c>
      <c r="H4099" s="23"/>
      <c r="I4099" s="23"/>
      <c r="J4099" s="23"/>
      <c r="K4099" s="23"/>
      <c r="L4099" s="375" t="s">
        <v>45</v>
      </c>
      <c r="M4099" s="351" t="s">
        <v>45</v>
      </c>
      <c r="N4099" s="267">
        <f t="shared" ref="N4099" si="1041">SUM(L4099:M4099)</f>
        <v>0</v>
      </c>
      <c r="O4099" s="268">
        <f t="shared" ref="O4099" si="1042">SUM(P4099:Z4099)</f>
        <v>50</v>
      </c>
      <c r="P4099" s="239"/>
      <c r="Q4099" s="239"/>
      <c r="R4099" s="239"/>
      <c r="S4099" s="239"/>
      <c r="T4099" s="239"/>
      <c r="U4099" s="240">
        <f>800+2450-2900+1250+3050-400-500-500-200-500-900-900-700</f>
        <v>50</v>
      </c>
      <c r="V4099" s="240"/>
      <c r="W4099" s="240"/>
      <c r="X4099" s="278"/>
      <c r="Y4099" s="237"/>
      <c r="Z4099" s="237"/>
      <c r="AA4099" s="279"/>
      <c r="AB4099" s="238" t="s">
        <v>26968</v>
      </c>
      <c r="AC4099" s="196">
        <f t="shared" si="1032"/>
        <v>50</v>
      </c>
      <c r="AD4099" s="196">
        <f t="shared" si="1033"/>
        <v>50</v>
      </c>
      <c r="AE4099" s="196">
        <f t="shared" si="1034"/>
        <v>0</v>
      </c>
      <c r="AF4099" s="2">
        <f t="shared" si="1035"/>
        <v>50</v>
      </c>
      <c r="AG4099" s="2">
        <f t="shared" si="1036"/>
        <v>0</v>
      </c>
    </row>
    <row r="4100" spans="1:33">
      <c r="A4100" s="20" t="s">
        <v>23814</v>
      </c>
      <c r="B4100" s="150"/>
      <c r="C4100" s="21" t="s">
        <v>23852</v>
      </c>
      <c r="D4100" s="109" t="s">
        <v>4070</v>
      </c>
      <c r="E4100" s="109" t="s">
        <v>25975</v>
      </c>
      <c r="F4100" s="391" t="s">
        <v>23854</v>
      </c>
      <c r="G4100" s="23" t="s">
        <v>23936</v>
      </c>
      <c r="H4100" s="23" t="s">
        <v>24225</v>
      </c>
      <c r="I4100" s="23" t="s">
        <v>24523</v>
      </c>
      <c r="J4100" s="23"/>
      <c r="K4100" s="23"/>
      <c r="L4100" s="375" t="s">
        <v>45</v>
      </c>
      <c r="M4100" s="351" t="s">
        <v>45</v>
      </c>
      <c r="N4100" s="267">
        <f t="shared" si="1006"/>
        <v>0</v>
      </c>
      <c r="O4100" s="268">
        <f t="shared" si="1007"/>
        <v>350</v>
      </c>
      <c r="P4100" s="239"/>
      <c r="Q4100" s="239"/>
      <c r="R4100" s="239">
        <f>3000-750-300-300-300-900-100</f>
        <v>350</v>
      </c>
      <c r="S4100" s="239"/>
      <c r="T4100" s="239"/>
      <c r="U4100" s="240"/>
      <c r="V4100" s="240"/>
      <c r="W4100" s="240"/>
      <c r="X4100" s="278"/>
      <c r="Y4100" s="237"/>
      <c r="Z4100" s="237"/>
      <c r="AA4100" s="279"/>
      <c r="AB4100" s="238" t="s">
        <v>26130</v>
      </c>
      <c r="AC4100" s="196">
        <f t="shared" si="1032"/>
        <v>350</v>
      </c>
      <c r="AD4100" s="196">
        <f t="shared" si="1033"/>
        <v>350</v>
      </c>
      <c r="AE4100" s="196">
        <f t="shared" si="1034"/>
        <v>0</v>
      </c>
      <c r="AF4100" s="2">
        <f t="shared" si="1035"/>
        <v>350</v>
      </c>
      <c r="AG4100" s="2">
        <f t="shared" si="1036"/>
        <v>0</v>
      </c>
    </row>
    <row r="4101" spans="1:33">
      <c r="A4101" s="20" t="s">
        <v>23689</v>
      </c>
      <c r="B4101" s="150"/>
      <c r="C4101" s="21" t="s">
        <v>23736</v>
      </c>
      <c r="D4101" s="109" t="s">
        <v>7957</v>
      </c>
      <c r="E4101" s="109"/>
      <c r="F4101" s="391" t="s">
        <v>23753</v>
      </c>
      <c r="G4101" s="23" t="s">
        <v>15443</v>
      </c>
      <c r="H4101" s="23"/>
      <c r="I4101" s="23"/>
      <c r="J4101" s="23"/>
      <c r="K4101" s="23"/>
      <c r="L4101" s="375" t="s">
        <v>27835</v>
      </c>
      <c r="M4101" s="351" t="s">
        <v>45</v>
      </c>
      <c r="N4101" s="267">
        <f t="shared" si="1006"/>
        <v>0</v>
      </c>
      <c r="O4101" s="268">
        <f t="shared" si="1007"/>
        <v>2800</v>
      </c>
      <c r="P4101" s="239"/>
      <c r="Q4101" s="239"/>
      <c r="R4101" s="239"/>
      <c r="S4101" s="239"/>
      <c r="T4101" s="239"/>
      <c r="U4101" s="240"/>
      <c r="V4101" s="240">
        <f>4100+2800+2800-1700+3100+2300+200-3600-3600-3600</f>
        <v>2800</v>
      </c>
      <c r="W4101" s="240"/>
      <c r="X4101" s="278"/>
      <c r="Y4101" s="237"/>
      <c r="Z4101" s="237"/>
      <c r="AA4101" s="279"/>
      <c r="AB4101" s="238" t="s">
        <v>27830</v>
      </c>
      <c r="AC4101" s="196">
        <f t="shared" si="1032"/>
        <v>2800</v>
      </c>
      <c r="AD4101" s="196">
        <f t="shared" si="1033"/>
        <v>2800</v>
      </c>
      <c r="AE4101" s="196">
        <f t="shared" si="1034"/>
        <v>0</v>
      </c>
      <c r="AF4101" s="2">
        <f t="shared" si="1035"/>
        <v>2800</v>
      </c>
      <c r="AG4101" s="2">
        <f t="shared" si="1036"/>
        <v>0</v>
      </c>
    </row>
    <row r="4102" spans="1:33">
      <c r="A4102" s="20" t="s">
        <v>23745</v>
      </c>
      <c r="B4102" s="150"/>
      <c r="C4102" s="21" t="s">
        <v>23771</v>
      </c>
      <c r="D4102" s="109" t="s">
        <v>3137</v>
      </c>
      <c r="E4102" s="109" t="s">
        <v>26496</v>
      </c>
      <c r="F4102" s="391" t="s">
        <v>23774</v>
      </c>
      <c r="G4102" s="23" t="s">
        <v>23773</v>
      </c>
      <c r="H4102" s="23" t="s">
        <v>22604</v>
      </c>
      <c r="I4102" s="23" t="s">
        <v>24286</v>
      </c>
      <c r="J4102" s="23"/>
      <c r="K4102" s="23"/>
      <c r="L4102" s="375"/>
      <c r="M4102" s="351" t="s">
        <v>7787</v>
      </c>
      <c r="N4102" s="267">
        <f t="shared" si="1006"/>
        <v>0</v>
      </c>
      <c r="O4102" s="268">
        <f t="shared" si="1007"/>
        <v>0</v>
      </c>
      <c r="P4102" s="239"/>
      <c r="Q4102" s="239"/>
      <c r="R4102" s="239"/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/>
      <c r="AC4102" s="196">
        <f t="shared" si="1032"/>
        <v>0</v>
      </c>
      <c r="AD4102" s="196">
        <f t="shared" si="1033"/>
        <v>0</v>
      </c>
      <c r="AE4102" s="196">
        <f t="shared" si="1034"/>
        <v>0</v>
      </c>
      <c r="AF4102" s="2">
        <f t="shared" si="1035"/>
        <v>0</v>
      </c>
      <c r="AG4102" s="2">
        <f t="shared" si="1036"/>
        <v>0</v>
      </c>
    </row>
    <row r="4103" spans="1:33">
      <c r="A4103" s="20" t="s">
        <v>26379</v>
      </c>
      <c r="B4103" s="150"/>
      <c r="C4103" s="21" t="s">
        <v>23771</v>
      </c>
      <c r="D4103" s="109" t="s">
        <v>4070</v>
      </c>
      <c r="E4103" s="109" t="s">
        <v>26498</v>
      </c>
      <c r="F4103" s="391" t="s">
        <v>26497</v>
      </c>
      <c r="G4103" s="23" t="s">
        <v>21255</v>
      </c>
      <c r="H4103" s="23" t="s">
        <v>26490</v>
      </c>
      <c r="I4103" s="23" t="s">
        <v>26490</v>
      </c>
      <c r="J4103" s="23"/>
      <c r="K4103" s="23"/>
      <c r="L4103" s="375">
        <f>13600+520</f>
        <v>14120</v>
      </c>
      <c r="M4103" s="351" t="s">
        <v>7787</v>
      </c>
      <c r="N4103" s="267">
        <f t="shared" ref="N4103" si="1043">SUM(L4103:M4103)</f>
        <v>14120</v>
      </c>
      <c r="O4103" s="268">
        <f t="shared" ref="O4103" si="1044">SUM(P4103:Z4103)</f>
        <v>9750</v>
      </c>
      <c r="P4103" s="239"/>
      <c r="Q4103" s="239"/>
      <c r="R4103" s="239">
        <f>3000-2200+2600+2850+3500</f>
        <v>9750</v>
      </c>
      <c r="S4103" s="239"/>
      <c r="T4103" s="239"/>
      <c r="U4103" s="240"/>
      <c r="V4103" s="240"/>
      <c r="W4103" s="240"/>
      <c r="X4103" s="278"/>
      <c r="Y4103" s="237"/>
      <c r="Z4103" s="237"/>
      <c r="AA4103" s="239"/>
      <c r="AB4103" s="238" t="s">
        <v>28022</v>
      </c>
      <c r="AC4103" s="196">
        <f t="shared" si="1032"/>
        <v>9750</v>
      </c>
      <c r="AD4103" s="196">
        <f t="shared" si="1033"/>
        <v>9750</v>
      </c>
      <c r="AE4103" s="196">
        <f t="shared" si="1034"/>
        <v>0</v>
      </c>
      <c r="AF4103" s="2">
        <f t="shared" si="1035"/>
        <v>9750</v>
      </c>
      <c r="AG4103" s="2">
        <f t="shared" si="1036"/>
        <v>0</v>
      </c>
    </row>
    <row r="4104" spans="1:33">
      <c r="A4104" s="20" t="s">
        <v>26751</v>
      </c>
      <c r="B4104" s="150"/>
      <c r="C4104" s="21" t="s">
        <v>23771</v>
      </c>
      <c r="D4104" s="109" t="s">
        <v>4070</v>
      </c>
      <c r="E4104" s="109" t="s">
        <v>26584</v>
      </c>
      <c r="F4104" s="391" t="s">
        <v>25560</v>
      </c>
      <c r="G4104" s="23" t="s">
        <v>25561</v>
      </c>
      <c r="H4104" s="23" t="s">
        <v>26583</v>
      </c>
      <c r="I4104" s="23"/>
      <c r="J4104" s="23"/>
      <c r="K4104" s="23"/>
      <c r="L4104" s="375" t="s">
        <v>45</v>
      </c>
      <c r="M4104" s="351" t="s">
        <v>45</v>
      </c>
      <c r="N4104" s="267">
        <f t="shared" ref="N4104" si="1045">SUM(L4104:M4104)</f>
        <v>0</v>
      </c>
      <c r="O4104" s="268">
        <f t="shared" ref="O4104" si="1046">SUM(P4104:Z4104)</f>
        <v>550</v>
      </c>
      <c r="P4104" s="239"/>
      <c r="Q4104" s="239"/>
      <c r="R4104" s="239">
        <f>1350-1200+3450-1500-1500+1000+2000-3000-50</f>
        <v>550</v>
      </c>
      <c r="S4104" s="239"/>
      <c r="T4104" s="239"/>
      <c r="U4104" s="240"/>
      <c r="V4104" s="240"/>
      <c r="W4104" s="240"/>
      <c r="X4104" s="278"/>
      <c r="Y4104" s="237"/>
      <c r="Z4104" s="237"/>
      <c r="AA4104" s="279"/>
      <c r="AB4104" s="238" t="s">
        <v>27224</v>
      </c>
      <c r="AC4104" s="196">
        <f t="shared" si="1032"/>
        <v>550</v>
      </c>
      <c r="AD4104" s="196">
        <f t="shared" si="1033"/>
        <v>550</v>
      </c>
      <c r="AE4104" s="196">
        <f t="shared" si="1034"/>
        <v>0</v>
      </c>
      <c r="AF4104" s="2">
        <f t="shared" si="1035"/>
        <v>550</v>
      </c>
      <c r="AG4104" s="2">
        <f t="shared" si="1036"/>
        <v>0</v>
      </c>
    </row>
    <row r="4105" spans="1:33">
      <c r="A4105" s="20" t="s">
        <v>23679</v>
      </c>
      <c r="B4105" s="150"/>
      <c r="C4105" s="21" t="s">
        <v>23707</v>
      </c>
      <c r="D4105" s="109" t="s">
        <v>3137</v>
      </c>
      <c r="E4105" s="109"/>
      <c r="F4105" s="391" t="s">
        <v>23711</v>
      </c>
      <c r="G4105" s="23" t="s">
        <v>23710</v>
      </c>
      <c r="H4105" s="23"/>
      <c r="I4105" s="23"/>
      <c r="J4105" s="23"/>
      <c r="K4105" s="23"/>
      <c r="L4105" s="375" t="s">
        <v>7787</v>
      </c>
      <c r="M4105" s="351"/>
      <c r="N4105" s="267">
        <f t="shared" si="1006"/>
        <v>0</v>
      </c>
      <c r="O4105" s="268">
        <f t="shared" si="1007"/>
        <v>0</v>
      </c>
      <c r="P4105" s="239"/>
      <c r="Q4105" s="239"/>
      <c r="R4105" s="239"/>
      <c r="S4105" s="239"/>
      <c r="T4105" s="239"/>
      <c r="U4105" s="240"/>
      <c r="V4105" s="240"/>
      <c r="W4105" s="240"/>
      <c r="X4105" s="278"/>
      <c r="Y4105" s="237"/>
      <c r="Z4105" s="237"/>
      <c r="AA4105" s="279"/>
      <c r="AB4105" s="238"/>
      <c r="AC4105" s="196">
        <f t="shared" si="1032"/>
        <v>0</v>
      </c>
      <c r="AD4105" s="196">
        <f t="shared" si="1033"/>
        <v>0</v>
      </c>
      <c r="AE4105" s="196">
        <f t="shared" si="1034"/>
        <v>0</v>
      </c>
      <c r="AF4105" s="2">
        <f t="shared" si="1035"/>
        <v>0</v>
      </c>
      <c r="AG4105" s="2">
        <f t="shared" si="1036"/>
        <v>0</v>
      </c>
    </row>
    <row r="4106" spans="1:33">
      <c r="A4106" s="20" t="s">
        <v>23987</v>
      </c>
      <c r="B4106" s="150"/>
      <c r="C4106" s="21" t="s">
        <v>24027</v>
      </c>
      <c r="D4106" s="109" t="s">
        <v>3096</v>
      </c>
      <c r="E4106" s="109"/>
      <c r="F4106" s="391" t="s">
        <v>24029</v>
      </c>
      <c r="G4106" s="23" t="s">
        <v>23440</v>
      </c>
      <c r="H4106" s="23"/>
      <c r="I4106" s="23"/>
      <c r="J4106" s="23"/>
      <c r="K4106" s="23"/>
      <c r="L4106" s="375" t="s">
        <v>7787</v>
      </c>
      <c r="M4106" s="351"/>
      <c r="N4106" s="267">
        <f t="shared" si="1006"/>
        <v>0</v>
      </c>
      <c r="O4106" s="268">
        <f t="shared" si="1007"/>
        <v>0</v>
      </c>
      <c r="P4106" s="239"/>
      <c r="Q4106" s="239"/>
      <c r="R4106" s="239"/>
      <c r="S4106" s="239"/>
      <c r="T4106" s="239"/>
      <c r="U4106" s="240"/>
      <c r="V4106" s="240"/>
      <c r="W4106" s="240"/>
      <c r="X4106" s="278"/>
      <c r="Y4106" s="237"/>
      <c r="Z4106" s="237"/>
      <c r="AA4106" s="279"/>
      <c r="AB4106" s="238"/>
      <c r="AC4106" s="196">
        <f t="shared" si="1032"/>
        <v>0</v>
      </c>
      <c r="AD4106" s="196">
        <f t="shared" si="1033"/>
        <v>0</v>
      </c>
      <c r="AE4106" s="196">
        <f t="shared" si="1034"/>
        <v>0</v>
      </c>
      <c r="AF4106" s="2">
        <f t="shared" si="1035"/>
        <v>0</v>
      </c>
      <c r="AG4106" s="2">
        <f t="shared" si="1036"/>
        <v>0</v>
      </c>
    </row>
    <row r="4107" spans="1:33">
      <c r="A4107" s="20" t="s">
        <v>23808</v>
      </c>
      <c r="B4107" s="150"/>
      <c r="C4107" s="21" t="s">
        <v>23835</v>
      </c>
      <c r="D4107" s="109" t="s">
        <v>3958</v>
      </c>
      <c r="E4107" s="109"/>
      <c r="F4107" s="391" t="s">
        <v>23838</v>
      </c>
      <c r="G4107" s="23" t="s">
        <v>13610</v>
      </c>
      <c r="H4107" s="23" t="s">
        <v>25822</v>
      </c>
      <c r="I4107" s="23"/>
      <c r="J4107" s="23"/>
      <c r="K4107" s="23"/>
      <c r="L4107" s="375" t="s">
        <v>45</v>
      </c>
      <c r="M4107" s="351"/>
      <c r="N4107" s="267">
        <f t="shared" si="1006"/>
        <v>0</v>
      </c>
      <c r="O4107" s="268">
        <f t="shared" si="1007"/>
        <v>22500</v>
      </c>
      <c r="P4107" s="239"/>
      <c r="Q4107" s="239"/>
      <c r="R4107" s="239"/>
      <c r="S4107" s="239"/>
      <c r="T4107" s="239"/>
      <c r="U4107" s="240"/>
      <c r="V4107" s="240">
        <f>2400+2800+2600+2800+3000+2900+2000+3000+2200+2600+3200+2800-4400-5400</f>
        <v>22500</v>
      </c>
      <c r="W4107" s="240"/>
      <c r="X4107" s="278"/>
      <c r="Y4107" s="237"/>
      <c r="Z4107" s="237"/>
      <c r="AA4107" s="240"/>
      <c r="AB4107" s="238" t="s">
        <v>27919</v>
      </c>
      <c r="AC4107" s="196">
        <f t="shared" si="1032"/>
        <v>22500</v>
      </c>
      <c r="AD4107" s="196">
        <f t="shared" si="1033"/>
        <v>22500</v>
      </c>
      <c r="AE4107" s="196">
        <f t="shared" si="1034"/>
        <v>0</v>
      </c>
      <c r="AF4107" s="2">
        <f t="shared" si="1035"/>
        <v>22500</v>
      </c>
      <c r="AG4107" s="2">
        <f t="shared" si="1036"/>
        <v>0</v>
      </c>
    </row>
    <row r="4108" spans="1:33">
      <c r="A4108" s="20" t="s">
        <v>23906</v>
      </c>
      <c r="B4108" s="150"/>
      <c r="C4108" s="21" t="s">
        <v>23935</v>
      </c>
      <c r="D4108" s="109" t="s">
        <v>3137</v>
      </c>
      <c r="E4108" s="109" t="s">
        <v>26582</v>
      </c>
      <c r="F4108" s="391" t="s">
        <v>23937</v>
      </c>
      <c r="G4108" s="23" t="s">
        <v>23940</v>
      </c>
      <c r="H4108" s="23" t="s">
        <v>24286</v>
      </c>
      <c r="I4108" s="23" t="s">
        <v>25534</v>
      </c>
      <c r="J4108" s="23"/>
      <c r="K4108" s="23"/>
      <c r="L4108" s="375"/>
      <c r="M4108" s="351" t="s">
        <v>7787</v>
      </c>
      <c r="N4108" s="267">
        <f t="shared" si="1006"/>
        <v>0</v>
      </c>
      <c r="O4108" s="268">
        <f t="shared" si="1007"/>
        <v>2250</v>
      </c>
      <c r="P4108" s="239"/>
      <c r="Q4108" s="239"/>
      <c r="R4108" s="239">
        <f>1850+250-500+100+3200-1000-1800-800+2850-600-3100+3300-3400+1050+900-1000+950</f>
        <v>2250</v>
      </c>
      <c r="S4108" s="239"/>
      <c r="T4108" s="239"/>
      <c r="U4108" s="239"/>
      <c r="V4108" s="240"/>
      <c r="W4108" s="240"/>
      <c r="X4108" s="278"/>
      <c r="Y4108" s="237"/>
      <c r="Z4108" s="237"/>
      <c r="AA4108" s="279"/>
      <c r="AB4108" s="238" t="s">
        <v>27978</v>
      </c>
      <c r="AC4108" s="196">
        <f t="shared" si="1032"/>
        <v>2250</v>
      </c>
      <c r="AD4108" s="196">
        <f t="shared" si="1033"/>
        <v>2250</v>
      </c>
      <c r="AE4108" s="196">
        <f t="shared" si="1034"/>
        <v>0</v>
      </c>
      <c r="AF4108" s="2">
        <f t="shared" si="1035"/>
        <v>2250</v>
      </c>
      <c r="AG4108" s="2">
        <f t="shared" si="1036"/>
        <v>0</v>
      </c>
    </row>
    <row r="4109" spans="1:33">
      <c r="A4109" s="20" t="s">
        <v>26391</v>
      </c>
      <c r="B4109" s="150"/>
      <c r="C4109" s="21" t="s">
        <v>23935</v>
      </c>
      <c r="D4109" s="109" t="s">
        <v>3137</v>
      </c>
      <c r="E4109" s="109" t="s">
        <v>26581</v>
      </c>
      <c r="F4109" s="391" t="s">
        <v>23937</v>
      </c>
      <c r="G4109" s="23" t="s">
        <v>23056</v>
      </c>
      <c r="H4109" s="23" t="s">
        <v>24286</v>
      </c>
      <c r="I4109" s="23" t="s">
        <v>25534</v>
      </c>
      <c r="J4109" s="23"/>
      <c r="K4109" s="23"/>
      <c r="L4109" s="375"/>
      <c r="M4109" s="351"/>
      <c r="N4109" s="267">
        <f t="shared" ref="N4109" si="1047">SUM(L4109:M4109)</f>
        <v>0</v>
      </c>
      <c r="O4109" s="268">
        <f t="shared" ref="O4109" si="1048">SUM(P4109:Z4109)</f>
        <v>100</v>
      </c>
      <c r="P4109" s="239"/>
      <c r="Q4109" s="239"/>
      <c r="R4109" s="239">
        <f>600-500</f>
        <v>100</v>
      </c>
      <c r="S4109" s="239"/>
      <c r="T4109" s="239"/>
      <c r="U4109" s="239"/>
      <c r="V4109" s="240"/>
      <c r="W4109" s="240"/>
      <c r="X4109" s="278"/>
      <c r="Y4109" s="237"/>
      <c r="Z4109" s="237"/>
      <c r="AA4109" s="279"/>
      <c r="AB4109" s="238" t="s">
        <v>26540</v>
      </c>
      <c r="AC4109" s="196">
        <f t="shared" si="1032"/>
        <v>100</v>
      </c>
      <c r="AD4109" s="196">
        <f t="shared" si="1033"/>
        <v>100</v>
      </c>
      <c r="AE4109" s="196">
        <f t="shared" si="1034"/>
        <v>0</v>
      </c>
      <c r="AF4109" s="2">
        <f t="shared" si="1035"/>
        <v>100</v>
      </c>
      <c r="AG4109" s="2">
        <f t="shared" si="1036"/>
        <v>0</v>
      </c>
    </row>
    <row r="4110" spans="1:33">
      <c r="A4110" s="20" t="s">
        <v>23809</v>
      </c>
      <c r="B4110" s="150"/>
      <c r="C4110" s="21" t="s">
        <v>24739</v>
      </c>
      <c r="D4110" s="109" t="s">
        <v>3137</v>
      </c>
      <c r="E4110" s="109" t="s">
        <v>23278</v>
      </c>
      <c r="F4110" s="391" t="s">
        <v>23839</v>
      </c>
      <c r="G4110" s="23" t="s">
        <v>23860</v>
      </c>
      <c r="H4110" s="23" t="s">
        <v>13301</v>
      </c>
      <c r="I4110" s="23" t="s">
        <v>24443</v>
      </c>
      <c r="J4110" s="23"/>
      <c r="K4110" s="23"/>
      <c r="L4110" s="375"/>
      <c r="M4110" s="351" t="s">
        <v>7787</v>
      </c>
      <c r="N4110" s="267">
        <f t="shared" si="1006"/>
        <v>0</v>
      </c>
      <c r="O4110" s="268">
        <f t="shared" si="1007"/>
        <v>0</v>
      </c>
      <c r="P4110" s="239"/>
      <c r="Q4110" s="239"/>
      <c r="R4110" s="240"/>
      <c r="S4110" s="240"/>
      <c r="T4110" s="240"/>
      <c r="U4110" s="240"/>
      <c r="V4110" s="240"/>
      <c r="W4110" s="240"/>
      <c r="X4110" s="278"/>
      <c r="Y4110" s="237"/>
      <c r="Z4110" s="237"/>
      <c r="AA4110" s="279"/>
      <c r="AB4110" s="238"/>
      <c r="AC4110" s="196">
        <f t="shared" si="1032"/>
        <v>0</v>
      </c>
      <c r="AD4110" s="196">
        <f t="shared" si="1033"/>
        <v>0</v>
      </c>
      <c r="AE4110" s="196">
        <f t="shared" si="1034"/>
        <v>0</v>
      </c>
      <c r="AF4110" s="2">
        <f t="shared" si="1035"/>
        <v>0</v>
      </c>
      <c r="AG4110" s="2">
        <f t="shared" si="1036"/>
        <v>0</v>
      </c>
    </row>
    <row r="4111" spans="1:33">
      <c r="A4111" s="20" t="s">
        <v>24366</v>
      </c>
      <c r="B4111" s="150"/>
      <c r="C4111" s="21" t="s">
        <v>24739</v>
      </c>
      <c r="D4111" s="109" t="s">
        <v>24389</v>
      </c>
      <c r="E4111" s="109" t="s">
        <v>23278</v>
      </c>
      <c r="F4111" s="391" t="s">
        <v>23839</v>
      </c>
      <c r="G4111" s="23" t="s">
        <v>15190</v>
      </c>
      <c r="H4111" s="23" t="s">
        <v>13496</v>
      </c>
      <c r="I4111" s="23"/>
      <c r="J4111" s="23"/>
      <c r="K4111" s="23"/>
      <c r="L4111" s="375" t="s">
        <v>7787</v>
      </c>
      <c r="M4111" s="351" t="s">
        <v>7787</v>
      </c>
      <c r="N4111" s="267">
        <f t="shared" ref="N4111" si="1049">SUM(L4111:M4111)</f>
        <v>0</v>
      </c>
      <c r="O4111" s="268">
        <f t="shared" ref="O4111" si="1050">SUM(P4111:Z4111)</f>
        <v>0</v>
      </c>
      <c r="P4111" s="239"/>
      <c r="Q4111" s="239"/>
      <c r="R4111" s="239"/>
      <c r="S4111" s="239"/>
      <c r="T4111" s="239"/>
      <c r="U4111" s="240"/>
      <c r="V4111" s="240"/>
      <c r="W4111" s="240"/>
      <c r="X4111" s="278"/>
      <c r="Y4111" s="239"/>
      <c r="Z4111" s="237"/>
      <c r="AA4111" s="279"/>
      <c r="AB4111" s="238"/>
      <c r="AC4111" s="196">
        <f t="shared" si="1032"/>
        <v>0</v>
      </c>
      <c r="AD4111" s="196">
        <f t="shared" si="1033"/>
        <v>0</v>
      </c>
      <c r="AE4111" s="196">
        <f t="shared" si="1034"/>
        <v>0</v>
      </c>
      <c r="AF4111" s="2">
        <f t="shared" si="1035"/>
        <v>0</v>
      </c>
      <c r="AG4111" s="2">
        <f t="shared" si="1036"/>
        <v>0</v>
      </c>
    </row>
    <row r="4112" spans="1:33">
      <c r="A4112" s="20" t="s">
        <v>24719</v>
      </c>
      <c r="B4112" s="150"/>
      <c r="C4112" s="21" t="s">
        <v>24738</v>
      </c>
      <c r="D4112" s="109" t="s">
        <v>3137</v>
      </c>
      <c r="E4112" s="109" t="s">
        <v>23278</v>
      </c>
      <c r="F4112" s="391" t="s">
        <v>23839</v>
      </c>
      <c r="G4112" s="23" t="s">
        <v>6133</v>
      </c>
      <c r="H4112" s="23" t="s">
        <v>13301</v>
      </c>
      <c r="I4112" s="23" t="s">
        <v>22167</v>
      </c>
      <c r="J4112" s="23"/>
      <c r="K4112" s="23"/>
      <c r="L4112" s="375"/>
      <c r="M4112" s="351" t="s">
        <v>45</v>
      </c>
      <c r="N4112" s="267">
        <f t="shared" ref="N4112" si="1051">SUM(L4112:M4112)</f>
        <v>0</v>
      </c>
      <c r="O4112" s="268">
        <f t="shared" ref="O4112" si="1052">SUM(P4112:Z4112)</f>
        <v>1650</v>
      </c>
      <c r="P4112" s="239"/>
      <c r="Q4112" s="239"/>
      <c r="R4112" s="239">
        <v>1650</v>
      </c>
      <c r="S4112" s="239"/>
      <c r="T4112" s="239"/>
      <c r="U4112" s="240"/>
      <c r="V4112" s="240"/>
      <c r="W4112" s="240"/>
      <c r="X4112" s="278"/>
      <c r="Y4112" s="239"/>
      <c r="Z4112" s="237"/>
      <c r="AA4112" s="279"/>
      <c r="AB4112" s="238" t="s">
        <v>27975</v>
      </c>
      <c r="AC4112" s="196">
        <f t="shared" si="1032"/>
        <v>1650</v>
      </c>
      <c r="AD4112" s="196">
        <f t="shared" si="1033"/>
        <v>1650</v>
      </c>
      <c r="AE4112" s="196">
        <f t="shared" si="1034"/>
        <v>0</v>
      </c>
      <c r="AF4112" s="2">
        <f t="shared" si="1035"/>
        <v>1650</v>
      </c>
      <c r="AG4112" s="2">
        <f t="shared" si="1036"/>
        <v>0</v>
      </c>
    </row>
    <row r="4113" spans="1:33">
      <c r="A4113" s="20" t="s">
        <v>26017</v>
      </c>
      <c r="B4113" s="150"/>
      <c r="C4113" s="21" t="s">
        <v>25987</v>
      </c>
      <c r="D4113" s="109" t="s">
        <v>4070</v>
      </c>
      <c r="E4113" s="109" t="s">
        <v>25990</v>
      </c>
      <c r="F4113" s="391" t="s">
        <v>25988</v>
      </c>
      <c r="G4113" s="23" t="s">
        <v>10645</v>
      </c>
      <c r="H4113" s="23" t="s">
        <v>5334</v>
      </c>
      <c r="I4113" s="23" t="s">
        <v>25989</v>
      </c>
      <c r="J4113" s="23"/>
      <c r="K4113" s="23"/>
      <c r="L4113" s="375" t="s">
        <v>7787</v>
      </c>
      <c r="M4113" s="351" t="s">
        <v>7787</v>
      </c>
      <c r="N4113" s="267">
        <f t="shared" ref="N4113" si="1053">SUM(L4113:M4113)</f>
        <v>0</v>
      </c>
      <c r="O4113" s="268">
        <f t="shared" ref="O4113" si="1054">SUM(P4113:Z4113)</f>
        <v>3200</v>
      </c>
      <c r="P4113" s="239"/>
      <c r="Q4113" s="239"/>
      <c r="R4113" s="239">
        <f>7200-4000-400-2000-750+7200+7200-750-9000-1500</f>
        <v>3200</v>
      </c>
      <c r="S4113" s="239"/>
      <c r="T4113" s="239"/>
      <c r="U4113" s="240">
        <f>3600-3600</f>
        <v>0</v>
      </c>
      <c r="V4113" s="240"/>
      <c r="W4113" s="240"/>
      <c r="X4113" s="278"/>
      <c r="Y4113" s="239"/>
      <c r="Z4113" s="237"/>
      <c r="AA4113" s="279"/>
      <c r="AB4113" s="238"/>
      <c r="AC4113" s="196">
        <f t="shared" si="1032"/>
        <v>3200</v>
      </c>
      <c r="AD4113" s="196">
        <f t="shared" si="1033"/>
        <v>3200</v>
      </c>
      <c r="AE4113" s="196">
        <f t="shared" si="1034"/>
        <v>0</v>
      </c>
      <c r="AF4113" s="2">
        <f t="shared" si="1035"/>
        <v>3200</v>
      </c>
      <c r="AG4113" s="2">
        <f t="shared" si="1036"/>
        <v>0</v>
      </c>
    </row>
    <row r="4114" spans="1:33">
      <c r="A4114" s="20" t="s">
        <v>23902</v>
      </c>
      <c r="B4114" s="150"/>
      <c r="C4114" s="21" t="s">
        <v>23889</v>
      </c>
      <c r="D4114" s="109" t="s">
        <v>3137</v>
      </c>
      <c r="E4114" s="109" t="s">
        <v>23278</v>
      </c>
      <c r="F4114" s="391" t="s">
        <v>23919</v>
      </c>
      <c r="G4114" s="23" t="s">
        <v>22432</v>
      </c>
      <c r="H4114" s="23" t="s">
        <v>24176</v>
      </c>
      <c r="I4114" s="23"/>
      <c r="J4114" s="23"/>
      <c r="K4114" s="23"/>
      <c r="L4114" s="375"/>
      <c r="M4114" s="351" t="s">
        <v>7787</v>
      </c>
      <c r="N4114" s="267">
        <f t="shared" si="1006"/>
        <v>0</v>
      </c>
      <c r="O4114" s="268">
        <f t="shared" si="1007"/>
        <v>0</v>
      </c>
      <c r="P4114" s="239"/>
      <c r="Q4114" s="239"/>
      <c r="R4114" s="239"/>
      <c r="S4114" s="239"/>
      <c r="T4114" s="239"/>
      <c r="U4114" s="240"/>
      <c r="V4114" s="240"/>
      <c r="W4114" s="240"/>
      <c r="X4114" s="278"/>
      <c r="Y4114" s="237"/>
      <c r="Z4114" s="237"/>
      <c r="AA4114" s="279"/>
      <c r="AB4114" s="238"/>
      <c r="AC4114" s="196">
        <f t="shared" si="1032"/>
        <v>0</v>
      </c>
      <c r="AD4114" s="196">
        <f t="shared" si="1033"/>
        <v>0</v>
      </c>
      <c r="AE4114" s="196">
        <f t="shared" si="1034"/>
        <v>0</v>
      </c>
      <c r="AF4114" s="2">
        <f t="shared" si="1035"/>
        <v>0</v>
      </c>
      <c r="AG4114" s="2">
        <f t="shared" si="1036"/>
        <v>0</v>
      </c>
    </row>
    <row r="4115" spans="1:33">
      <c r="A4115" s="20" t="s">
        <v>23992</v>
      </c>
      <c r="B4115" s="150"/>
      <c r="C4115" s="21" t="s">
        <v>24042</v>
      </c>
      <c r="D4115" s="109" t="s">
        <v>3137</v>
      </c>
      <c r="E4115" s="109"/>
      <c r="F4115" s="391" t="s">
        <v>24045</v>
      </c>
      <c r="G4115" s="23" t="s">
        <v>21185</v>
      </c>
      <c r="H4115" s="23" t="s">
        <v>13301</v>
      </c>
      <c r="I4115" s="23" t="s">
        <v>27524</v>
      </c>
      <c r="J4115" s="23"/>
      <c r="K4115" s="23"/>
      <c r="L4115" s="375"/>
      <c r="M4115" s="351"/>
      <c r="N4115" s="267">
        <f t="shared" si="1006"/>
        <v>0</v>
      </c>
      <c r="O4115" s="268">
        <f t="shared" si="1007"/>
        <v>1400</v>
      </c>
      <c r="P4115" s="239"/>
      <c r="Q4115" s="239"/>
      <c r="R4115" s="239"/>
      <c r="S4115" s="239"/>
      <c r="T4115" s="239"/>
      <c r="U4115" s="240">
        <f>500+200+1000-300</f>
        <v>1400</v>
      </c>
      <c r="V4115" s="240"/>
      <c r="W4115" s="240"/>
      <c r="X4115" s="278"/>
      <c r="Y4115" s="237"/>
      <c r="Z4115" s="237"/>
      <c r="AA4115" s="279"/>
      <c r="AB4115" s="238" t="s">
        <v>27619</v>
      </c>
      <c r="AC4115" s="196">
        <f t="shared" si="1032"/>
        <v>1400</v>
      </c>
      <c r="AD4115" s="196">
        <f t="shared" si="1033"/>
        <v>1400</v>
      </c>
      <c r="AE4115" s="196">
        <f t="shared" si="1034"/>
        <v>0</v>
      </c>
      <c r="AF4115" s="2">
        <f t="shared" si="1035"/>
        <v>1400</v>
      </c>
      <c r="AG4115" s="2">
        <f t="shared" si="1036"/>
        <v>0</v>
      </c>
    </row>
    <row r="4116" spans="1:33">
      <c r="A4116" s="20" t="s">
        <v>23990</v>
      </c>
      <c r="B4116" s="150"/>
      <c r="C4116" s="21" t="s">
        <v>24042</v>
      </c>
      <c r="D4116" s="109" t="s">
        <v>3933</v>
      </c>
      <c r="E4116" s="109" t="s">
        <v>3117</v>
      </c>
      <c r="F4116" s="391" t="s">
        <v>24045</v>
      </c>
      <c r="G4116" s="23" t="s">
        <v>21185</v>
      </c>
      <c r="H4116" s="23"/>
      <c r="I4116" s="23"/>
      <c r="J4116" s="23"/>
      <c r="K4116" s="23"/>
      <c r="L4116" s="375" t="s">
        <v>7787</v>
      </c>
      <c r="M4116" s="351"/>
      <c r="N4116" s="267">
        <f t="shared" si="1006"/>
        <v>0</v>
      </c>
      <c r="O4116" s="268">
        <f t="shared" si="1007"/>
        <v>0</v>
      </c>
      <c r="P4116" s="239"/>
      <c r="Q4116" s="239"/>
      <c r="R4116" s="239"/>
      <c r="S4116" s="239"/>
      <c r="T4116" s="239"/>
      <c r="U4116" s="240"/>
      <c r="V4116" s="240"/>
      <c r="W4116" s="240"/>
      <c r="X4116" s="278"/>
      <c r="Y4116" s="237"/>
      <c r="Z4116" s="237"/>
      <c r="AA4116" s="279"/>
      <c r="AB4116" s="238"/>
      <c r="AC4116" s="196">
        <f t="shared" si="1032"/>
        <v>0</v>
      </c>
      <c r="AD4116" s="196">
        <f t="shared" si="1033"/>
        <v>0</v>
      </c>
      <c r="AE4116" s="196">
        <f t="shared" si="1034"/>
        <v>0</v>
      </c>
      <c r="AF4116" s="2">
        <f t="shared" si="1035"/>
        <v>0</v>
      </c>
      <c r="AG4116" s="2">
        <f t="shared" si="1036"/>
        <v>0</v>
      </c>
    </row>
    <row r="4117" spans="1:33">
      <c r="A4117" s="20" t="s">
        <v>23810</v>
      </c>
      <c r="B4117" s="150"/>
      <c r="C4117" s="21" t="s">
        <v>23829</v>
      </c>
      <c r="D4117" s="109" t="s">
        <v>23393</v>
      </c>
      <c r="E4117" s="109"/>
      <c r="F4117" s="391" t="s">
        <v>23840</v>
      </c>
      <c r="G4117" s="23" t="s">
        <v>15443</v>
      </c>
      <c r="H4117" s="23"/>
      <c r="I4117" s="23"/>
      <c r="J4117" s="23"/>
      <c r="K4117" s="23"/>
      <c r="L4117" s="375" t="s">
        <v>45</v>
      </c>
      <c r="M4117" s="351"/>
      <c r="N4117" s="267">
        <f t="shared" si="1006"/>
        <v>0</v>
      </c>
      <c r="O4117" s="268">
        <f t="shared" si="1007"/>
        <v>1100</v>
      </c>
      <c r="P4117" s="239"/>
      <c r="Q4117" s="239"/>
      <c r="R4117" s="239"/>
      <c r="S4117" s="239"/>
      <c r="T4117" s="239"/>
      <c r="U4117" s="240"/>
      <c r="V4117" s="240">
        <f>500+900-600+2100-1800</f>
        <v>1100</v>
      </c>
      <c r="W4117" s="240"/>
      <c r="X4117" s="278"/>
      <c r="Y4117" s="240"/>
      <c r="Z4117" s="237"/>
      <c r="AA4117" s="279"/>
      <c r="AB4117" s="238" t="s">
        <v>25386</v>
      </c>
      <c r="AC4117" s="196">
        <f t="shared" si="1032"/>
        <v>1100</v>
      </c>
      <c r="AD4117" s="196">
        <f t="shared" si="1033"/>
        <v>1100</v>
      </c>
      <c r="AE4117" s="196">
        <f t="shared" si="1034"/>
        <v>0</v>
      </c>
      <c r="AF4117" s="2">
        <f t="shared" si="1035"/>
        <v>1100</v>
      </c>
      <c r="AG4117" s="2">
        <f t="shared" si="1036"/>
        <v>0</v>
      </c>
    </row>
    <row r="4118" spans="1:33">
      <c r="A4118" s="20" t="s">
        <v>23905</v>
      </c>
      <c r="B4118" s="150"/>
      <c r="C4118" s="21" t="s">
        <v>23923</v>
      </c>
      <c r="D4118" s="109" t="s">
        <v>3137</v>
      </c>
      <c r="E4118" s="109"/>
      <c r="F4118" s="391" t="s">
        <v>23925</v>
      </c>
      <c r="G4118" s="23" t="s">
        <v>13409</v>
      </c>
      <c r="H4118" s="23" t="s">
        <v>23934</v>
      </c>
      <c r="I4118" s="23"/>
      <c r="J4118" s="23"/>
      <c r="K4118" s="23"/>
      <c r="L4118" s="375" t="s">
        <v>45</v>
      </c>
      <c r="M4118" s="351" t="s">
        <v>45</v>
      </c>
      <c r="N4118" s="267">
        <f t="shared" si="1006"/>
        <v>0</v>
      </c>
      <c r="O4118" s="268">
        <f t="shared" si="1007"/>
        <v>350</v>
      </c>
      <c r="P4118" s="239"/>
      <c r="Q4118" s="239"/>
      <c r="R4118" s="239"/>
      <c r="S4118" s="239"/>
      <c r="T4118" s="239"/>
      <c r="U4118" s="240">
        <f>550-450+850+1200-500-200-300-600-200</f>
        <v>350</v>
      </c>
      <c r="V4118" s="240"/>
      <c r="W4118" s="240"/>
      <c r="X4118" s="278"/>
      <c r="Y4118" s="240"/>
      <c r="Z4118" s="237"/>
      <c r="AA4118" s="279"/>
      <c r="AB4118" s="238" t="s">
        <v>26794</v>
      </c>
      <c r="AC4118" s="196">
        <f t="shared" si="1032"/>
        <v>350</v>
      </c>
      <c r="AD4118" s="196">
        <f t="shared" si="1033"/>
        <v>350</v>
      </c>
      <c r="AE4118" s="196">
        <f t="shared" si="1034"/>
        <v>0</v>
      </c>
      <c r="AF4118" s="2">
        <f t="shared" si="1035"/>
        <v>350</v>
      </c>
      <c r="AG4118" s="2">
        <f t="shared" si="1036"/>
        <v>0</v>
      </c>
    </row>
    <row r="4119" spans="1:33">
      <c r="A4119" s="20" t="s">
        <v>23903</v>
      </c>
      <c r="B4119" s="150"/>
      <c r="C4119" s="21" t="s">
        <v>23885</v>
      </c>
      <c r="D4119" s="109" t="s">
        <v>3137</v>
      </c>
      <c r="E4119" s="109" t="s">
        <v>23278</v>
      </c>
      <c r="F4119" s="391" t="s">
        <v>23920</v>
      </c>
      <c r="G4119" s="23" t="s">
        <v>22432</v>
      </c>
      <c r="H4119" s="23"/>
      <c r="I4119" s="23"/>
      <c r="J4119" s="23"/>
      <c r="K4119" s="23"/>
      <c r="L4119" s="375" t="s">
        <v>7787</v>
      </c>
      <c r="M4119" s="351"/>
      <c r="N4119" s="267">
        <f t="shared" si="1006"/>
        <v>0</v>
      </c>
      <c r="O4119" s="268">
        <f t="shared" si="1007"/>
        <v>0</v>
      </c>
      <c r="P4119" s="239"/>
      <c r="Q4119" s="239"/>
      <c r="R4119" s="239"/>
      <c r="S4119" s="239"/>
      <c r="T4119" s="239"/>
      <c r="U4119" s="240"/>
      <c r="V4119" s="240"/>
      <c r="W4119" s="240"/>
      <c r="X4119" s="278"/>
      <c r="Y4119" s="240"/>
      <c r="Z4119" s="237"/>
      <c r="AA4119" s="279"/>
      <c r="AB4119" s="238"/>
      <c r="AC4119" s="196">
        <f t="shared" si="1032"/>
        <v>0</v>
      </c>
      <c r="AD4119" s="196">
        <f t="shared" si="1033"/>
        <v>0</v>
      </c>
      <c r="AE4119" s="196">
        <f t="shared" si="1034"/>
        <v>0</v>
      </c>
      <c r="AF4119" s="2">
        <f t="shared" si="1035"/>
        <v>0</v>
      </c>
      <c r="AG4119" s="2">
        <f t="shared" si="1036"/>
        <v>0</v>
      </c>
    </row>
    <row r="4120" spans="1:33">
      <c r="A4120" s="20" t="s">
        <v>23912</v>
      </c>
      <c r="B4120" s="150"/>
      <c r="C4120" s="21" t="s">
        <v>23956</v>
      </c>
      <c r="D4120" s="109" t="s">
        <v>3137</v>
      </c>
      <c r="E4120" s="109"/>
      <c r="F4120" s="391" t="s">
        <v>23966</v>
      </c>
      <c r="G4120" s="23" t="s">
        <v>14311</v>
      </c>
      <c r="H4120" s="23"/>
      <c r="I4120" s="23"/>
      <c r="J4120" s="23"/>
      <c r="K4120" s="23"/>
      <c r="L4120" s="375"/>
      <c r="M4120" s="351"/>
      <c r="N4120" s="267">
        <f t="shared" si="1006"/>
        <v>0</v>
      </c>
      <c r="O4120" s="268">
        <f t="shared" si="1007"/>
        <v>0</v>
      </c>
      <c r="P4120" s="239"/>
      <c r="Q4120" s="239"/>
      <c r="R4120" s="239"/>
      <c r="S4120" s="239"/>
      <c r="T4120" s="239"/>
      <c r="U4120" s="240"/>
      <c r="V4120" s="240"/>
      <c r="W4120" s="240"/>
      <c r="X4120" s="278"/>
      <c r="Y4120" s="240"/>
      <c r="Z4120" s="237"/>
      <c r="AA4120" s="279"/>
      <c r="AB4120" s="238"/>
      <c r="AC4120" s="196">
        <f t="shared" si="1032"/>
        <v>0</v>
      </c>
      <c r="AD4120" s="196">
        <f t="shared" si="1033"/>
        <v>0</v>
      </c>
      <c r="AE4120" s="196">
        <f t="shared" si="1034"/>
        <v>0</v>
      </c>
      <c r="AF4120" s="2">
        <f t="shared" si="1035"/>
        <v>0</v>
      </c>
      <c r="AG4120" s="2">
        <f t="shared" si="1036"/>
        <v>0</v>
      </c>
    </row>
    <row r="4121" spans="1:33">
      <c r="A4121" s="20" t="s">
        <v>23904</v>
      </c>
      <c r="B4121" s="150"/>
      <c r="C4121" s="21" t="s">
        <v>23921</v>
      </c>
      <c r="D4121" s="109" t="s">
        <v>3137</v>
      </c>
      <c r="E4121" s="109"/>
      <c r="F4121" s="391" t="s">
        <v>23924</v>
      </c>
      <c r="G4121" s="23" t="s">
        <v>13942</v>
      </c>
      <c r="H4121" s="23"/>
      <c r="I4121" s="23"/>
      <c r="J4121" s="23"/>
      <c r="K4121" s="23"/>
      <c r="L4121" s="375" t="s">
        <v>7787</v>
      </c>
      <c r="M4121" s="351"/>
      <c r="N4121" s="267">
        <f t="shared" si="1006"/>
        <v>0</v>
      </c>
      <c r="O4121" s="268">
        <f t="shared" si="1007"/>
        <v>0</v>
      </c>
      <c r="P4121" s="239"/>
      <c r="Q4121" s="239"/>
      <c r="R4121" s="239"/>
      <c r="S4121" s="239"/>
      <c r="T4121" s="239"/>
      <c r="U4121" s="240"/>
      <c r="V4121" s="240"/>
      <c r="W4121" s="240"/>
      <c r="X4121" s="278"/>
      <c r="Y4121" s="240"/>
      <c r="Z4121" s="237"/>
      <c r="AA4121" s="279"/>
      <c r="AB4121" s="238"/>
      <c r="AC4121" s="196">
        <f t="shared" si="1032"/>
        <v>0</v>
      </c>
      <c r="AD4121" s="196">
        <f t="shared" si="1033"/>
        <v>0</v>
      </c>
      <c r="AE4121" s="196">
        <f t="shared" si="1034"/>
        <v>0</v>
      </c>
      <c r="AF4121" s="2">
        <f t="shared" si="1035"/>
        <v>0</v>
      </c>
      <c r="AG4121" s="2">
        <f t="shared" si="1036"/>
        <v>0</v>
      </c>
    </row>
    <row r="4122" spans="1:33">
      <c r="A4122" s="20" t="s">
        <v>24190</v>
      </c>
      <c r="B4122" s="150"/>
      <c r="C4122" s="21" t="s">
        <v>24204</v>
      </c>
      <c r="D4122" s="109" t="s">
        <v>7957</v>
      </c>
      <c r="E4122" s="109"/>
      <c r="F4122" s="391" t="s">
        <v>24208</v>
      </c>
      <c r="G4122" s="23" t="s">
        <v>15443</v>
      </c>
      <c r="H4122" s="23" t="s">
        <v>13942</v>
      </c>
      <c r="I4122" s="23"/>
      <c r="J4122" s="23"/>
      <c r="K4122" s="23"/>
      <c r="L4122" s="375" t="s">
        <v>27961</v>
      </c>
      <c r="M4122" s="351" t="s">
        <v>27523</v>
      </c>
      <c r="N4122" s="267">
        <f t="shared" ref="N4122" si="1055">SUM(L4122:M4122)</f>
        <v>0</v>
      </c>
      <c r="O4122" s="268">
        <f t="shared" ref="O4122" si="1056">SUM(P4122:Z4122)</f>
        <v>3150</v>
      </c>
      <c r="P4122" s="239"/>
      <c r="Q4122" s="239"/>
      <c r="R4122" s="239"/>
      <c r="S4122" s="239"/>
      <c r="T4122" s="239"/>
      <c r="U4122" s="240">
        <f>3350-650+450</f>
        <v>3150</v>
      </c>
      <c r="V4122" s="240"/>
      <c r="W4122" s="240"/>
      <c r="X4122" s="278"/>
      <c r="Y4122" s="240"/>
      <c r="Z4122" s="237"/>
      <c r="AA4122" s="279"/>
      <c r="AB4122" s="238" t="s">
        <v>27959</v>
      </c>
      <c r="AC4122" s="196">
        <f t="shared" si="1032"/>
        <v>3150</v>
      </c>
      <c r="AD4122" s="196">
        <f t="shared" si="1033"/>
        <v>3150</v>
      </c>
      <c r="AE4122" s="196">
        <f t="shared" si="1034"/>
        <v>0</v>
      </c>
      <c r="AF4122" s="2">
        <f t="shared" si="1035"/>
        <v>3150</v>
      </c>
      <c r="AG4122" s="2">
        <f t="shared" si="1036"/>
        <v>0</v>
      </c>
    </row>
    <row r="4123" spans="1:33">
      <c r="A4123" s="20" t="s">
        <v>23907</v>
      </c>
      <c r="B4123" s="150"/>
      <c r="C4123" s="21" t="s">
        <v>23926</v>
      </c>
      <c r="D4123" s="109" t="s">
        <v>7957</v>
      </c>
      <c r="E4123" s="109"/>
      <c r="F4123" s="391" t="s">
        <v>23938</v>
      </c>
      <c r="G4123" s="23" t="s">
        <v>15443</v>
      </c>
      <c r="H4123" s="23"/>
      <c r="I4123" s="23"/>
      <c r="J4123" s="23"/>
      <c r="K4123" s="23"/>
      <c r="L4123" s="375" t="s">
        <v>45</v>
      </c>
      <c r="M4123" s="351" t="s">
        <v>7787</v>
      </c>
      <c r="N4123" s="267">
        <f t="shared" ref="N4123:N4522" si="1057">SUM(L4123:M4123)</f>
        <v>0</v>
      </c>
      <c r="O4123" s="268">
        <f t="shared" ref="O4123:O4522" si="1058">SUM(P4123:Z4123)</f>
        <v>100</v>
      </c>
      <c r="P4123" s="239"/>
      <c r="Q4123" s="239"/>
      <c r="R4123" s="239"/>
      <c r="S4123" s="239"/>
      <c r="T4123" s="239"/>
      <c r="U4123" s="240"/>
      <c r="V4123" s="240">
        <f>200-100</f>
        <v>100</v>
      </c>
      <c r="W4123" s="240"/>
      <c r="X4123" s="278"/>
      <c r="Y4123" s="240"/>
      <c r="Z4123" s="237"/>
      <c r="AA4123" s="279"/>
      <c r="AB4123" s="238" t="s">
        <v>26025</v>
      </c>
      <c r="AC4123" s="196">
        <f t="shared" si="1032"/>
        <v>100</v>
      </c>
      <c r="AD4123" s="196">
        <f t="shared" si="1033"/>
        <v>100</v>
      </c>
      <c r="AE4123" s="196">
        <f t="shared" si="1034"/>
        <v>0</v>
      </c>
      <c r="AF4123" s="2">
        <f t="shared" si="1035"/>
        <v>100</v>
      </c>
      <c r="AG4123" s="2">
        <f t="shared" si="1036"/>
        <v>0</v>
      </c>
    </row>
    <row r="4124" spans="1:33">
      <c r="A4124" s="20" t="s">
        <v>24536</v>
      </c>
      <c r="B4124" s="150"/>
      <c r="C4124" s="21" t="s">
        <v>23926</v>
      </c>
      <c r="D4124" s="109" t="s">
        <v>7957</v>
      </c>
      <c r="E4124" s="109" t="s">
        <v>9189</v>
      </c>
      <c r="F4124" s="391" t="s">
        <v>23938</v>
      </c>
      <c r="G4124" s="23" t="s">
        <v>15443</v>
      </c>
      <c r="H4124" s="23" t="s">
        <v>24620</v>
      </c>
      <c r="I4124" s="23"/>
      <c r="J4124" s="23"/>
      <c r="K4124" s="23"/>
      <c r="L4124" s="375" t="s">
        <v>7787</v>
      </c>
      <c r="M4124" s="351"/>
      <c r="N4124" s="267">
        <f t="shared" ref="N4124" si="1059">SUM(L4124:M4124)</f>
        <v>0</v>
      </c>
      <c r="O4124" s="268">
        <f t="shared" ref="O4124" si="1060">SUM(P4124:Z4124)</f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40"/>
      <c r="Z4124" s="237"/>
      <c r="AA4124" s="279"/>
      <c r="AB4124" s="238"/>
      <c r="AC4124" s="196">
        <f t="shared" si="1032"/>
        <v>0</v>
      </c>
      <c r="AD4124" s="196">
        <f t="shared" si="1033"/>
        <v>0</v>
      </c>
      <c r="AE4124" s="196">
        <f t="shared" si="1034"/>
        <v>0</v>
      </c>
      <c r="AF4124" s="2">
        <f t="shared" si="1035"/>
        <v>0</v>
      </c>
      <c r="AG4124" s="2">
        <f t="shared" si="1036"/>
        <v>0</v>
      </c>
    </row>
    <row r="4125" spans="1:33">
      <c r="A4125" s="20" t="s">
        <v>23908</v>
      </c>
      <c r="B4125" s="150"/>
      <c r="C4125" s="21" t="s">
        <v>23927</v>
      </c>
      <c r="D4125" s="109" t="s">
        <v>7957</v>
      </c>
      <c r="E4125" s="109"/>
      <c r="F4125" s="391" t="s">
        <v>23939</v>
      </c>
      <c r="G4125" s="23" t="s">
        <v>15443</v>
      </c>
      <c r="H4125" s="23"/>
      <c r="I4125" s="23"/>
      <c r="J4125" s="23"/>
      <c r="K4125" s="23"/>
      <c r="L4125" s="375" t="s">
        <v>27925</v>
      </c>
      <c r="M4125" s="375" t="s">
        <v>27729</v>
      </c>
      <c r="N4125" s="267">
        <f t="shared" si="1057"/>
        <v>0</v>
      </c>
      <c r="O4125" s="268">
        <f t="shared" si="1058"/>
        <v>6400</v>
      </c>
      <c r="P4125" s="239"/>
      <c r="Q4125" s="239"/>
      <c r="R4125" s="239"/>
      <c r="S4125" s="239"/>
      <c r="T4125" s="239"/>
      <c r="U4125" s="240"/>
      <c r="V4125" s="240">
        <f>3500-3100+3900+7200-4500+500-7200+3300+2100+3000-7200+3300+4100+3300-7200-3600+4400-3600+11900+2400+4300-3600-7200-3600</f>
        <v>6400</v>
      </c>
      <c r="W4125" s="240"/>
      <c r="X4125" s="278"/>
      <c r="Y4125" s="240"/>
      <c r="Z4125" s="237"/>
      <c r="AA4125" s="279"/>
      <c r="AB4125" s="238" t="s">
        <v>27920</v>
      </c>
      <c r="AC4125" s="196">
        <f t="shared" si="1032"/>
        <v>6400</v>
      </c>
      <c r="AD4125" s="196">
        <f t="shared" si="1033"/>
        <v>6400</v>
      </c>
      <c r="AE4125" s="196">
        <f t="shared" si="1034"/>
        <v>0</v>
      </c>
      <c r="AF4125" s="2">
        <f t="shared" si="1035"/>
        <v>6400</v>
      </c>
      <c r="AG4125" s="2">
        <f t="shared" si="1036"/>
        <v>0</v>
      </c>
    </row>
    <row r="4126" spans="1:33">
      <c r="A4126" s="20" t="s">
        <v>24537</v>
      </c>
      <c r="B4126" s="150"/>
      <c r="C4126" s="21" t="s">
        <v>23927</v>
      </c>
      <c r="D4126" s="109" t="s">
        <v>7957</v>
      </c>
      <c r="E4126" s="109" t="s">
        <v>9189</v>
      </c>
      <c r="F4126" s="391" t="s">
        <v>23939</v>
      </c>
      <c r="G4126" s="23" t="s">
        <v>24575</v>
      </c>
      <c r="H4126" s="23"/>
      <c r="I4126" s="23"/>
      <c r="J4126" s="23"/>
      <c r="K4126" s="23"/>
      <c r="L4126" s="375" t="s">
        <v>7787</v>
      </c>
      <c r="M4126" s="351"/>
      <c r="N4126" s="267">
        <f t="shared" ref="N4126" si="1061">SUM(L4126:M4126)</f>
        <v>0</v>
      </c>
      <c r="O4126" s="268">
        <f t="shared" ref="O4126" si="1062">SUM(P4126:Z4126)</f>
        <v>0</v>
      </c>
      <c r="P4126" s="239"/>
      <c r="Q4126" s="239"/>
      <c r="R4126" s="239"/>
      <c r="S4126" s="239"/>
      <c r="T4126" s="239"/>
      <c r="U4126" s="240"/>
      <c r="V4126" s="240"/>
      <c r="W4126" s="240"/>
      <c r="X4126" s="278"/>
      <c r="Y4126" s="244"/>
      <c r="Z4126" s="237"/>
      <c r="AA4126" s="279"/>
      <c r="AB4126" s="238"/>
      <c r="AC4126" s="196">
        <f t="shared" si="1032"/>
        <v>0</v>
      </c>
      <c r="AD4126" s="196">
        <f t="shared" si="1033"/>
        <v>0</v>
      </c>
      <c r="AE4126" s="196">
        <f t="shared" si="1034"/>
        <v>0</v>
      </c>
      <c r="AF4126" s="2">
        <f t="shared" si="1035"/>
        <v>0</v>
      </c>
      <c r="AG4126" s="2">
        <f t="shared" si="1036"/>
        <v>0</v>
      </c>
    </row>
    <row r="4127" spans="1:33">
      <c r="A4127" s="20" t="s">
        <v>23984</v>
      </c>
      <c r="B4127" s="150"/>
      <c r="C4127" s="21" t="s">
        <v>24023</v>
      </c>
      <c r="D4127" s="109" t="s">
        <v>3137</v>
      </c>
      <c r="E4127" s="109"/>
      <c r="F4127" s="391" t="s">
        <v>24024</v>
      </c>
      <c r="G4127" s="23" t="s">
        <v>13942</v>
      </c>
      <c r="H4127" s="23"/>
      <c r="I4127" s="23"/>
      <c r="J4127" s="23"/>
      <c r="K4127" s="23"/>
      <c r="L4127" s="375" t="s">
        <v>7787</v>
      </c>
      <c r="M4127" s="351"/>
      <c r="N4127" s="267">
        <f t="shared" si="1057"/>
        <v>0</v>
      </c>
      <c r="O4127" s="268">
        <f t="shared" si="1058"/>
        <v>0</v>
      </c>
      <c r="P4127" s="239"/>
      <c r="Q4127" s="239"/>
      <c r="R4127" s="239"/>
      <c r="S4127" s="239"/>
      <c r="T4127" s="239"/>
      <c r="U4127" s="240"/>
      <c r="V4127" s="240"/>
      <c r="W4127" s="240"/>
      <c r="X4127" s="278"/>
      <c r="Y4127" s="244"/>
      <c r="Z4127" s="237"/>
      <c r="AA4127" s="279"/>
      <c r="AB4127" s="238"/>
      <c r="AC4127" s="196">
        <f t="shared" si="1032"/>
        <v>0</v>
      </c>
      <c r="AD4127" s="196">
        <f t="shared" si="1033"/>
        <v>0</v>
      </c>
      <c r="AE4127" s="196">
        <f t="shared" si="1034"/>
        <v>0</v>
      </c>
      <c r="AF4127" s="2">
        <f t="shared" si="1035"/>
        <v>0</v>
      </c>
      <c r="AG4127" s="2">
        <f t="shared" si="1036"/>
        <v>0</v>
      </c>
    </row>
    <row r="4128" spans="1:33">
      <c r="A4128" s="20" t="s">
        <v>23913</v>
      </c>
      <c r="B4128" s="150"/>
      <c r="C4128" s="21" t="s">
        <v>23955</v>
      </c>
      <c r="D4128" s="109" t="s">
        <v>3137</v>
      </c>
      <c r="E4128" s="109"/>
      <c r="F4128" s="391" t="s">
        <v>23968</v>
      </c>
      <c r="G4128" s="23" t="s">
        <v>23967</v>
      </c>
      <c r="H4128" s="23"/>
      <c r="I4128" s="23"/>
      <c r="J4128" s="23"/>
      <c r="K4128" s="23"/>
      <c r="L4128" s="375" t="s">
        <v>7787</v>
      </c>
      <c r="M4128" s="351" t="s">
        <v>7787</v>
      </c>
      <c r="N4128" s="267">
        <f t="shared" si="1057"/>
        <v>0</v>
      </c>
      <c r="O4128" s="268">
        <f t="shared" si="1058"/>
        <v>0</v>
      </c>
      <c r="P4128" s="239"/>
      <c r="Q4128" s="239"/>
      <c r="R4128" s="239"/>
      <c r="S4128" s="239"/>
      <c r="T4128" s="239"/>
      <c r="U4128" s="240"/>
      <c r="V4128" s="240"/>
      <c r="W4128" s="240"/>
      <c r="X4128" s="278"/>
      <c r="Y4128" s="239"/>
      <c r="Z4128" s="237"/>
      <c r="AA4128" s="279"/>
      <c r="AB4128" s="238"/>
      <c r="AC4128" s="196">
        <f t="shared" si="1032"/>
        <v>0</v>
      </c>
      <c r="AD4128" s="196">
        <f t="shared" si="1033"/>
        <v>0</v>
      </c>
      <c r="AE4128" s="196">
        <f t="shared" si="1034"/>
        <v>0</v>
      </c>
      <c r="AF4128" s="2">
        <f t="shared" si="1035"/>
        <v>0</v>
      </c>
      <c r="AG4128" s="2">
        <f t="shared" si="1036"/>
        <v>0</v>
      </c>
    </row>
    <row r="4129" spans="1:33">
      <c r="A4129" s="20" t="s">
        <v>24006</v>
      </c>
      <c r="B4129" s="150"/>
      <c r="C4129" s="240" t="s">
        <v>24091</v>
      </c>
      <c r="D4129" s="109" t="s">
        <v>7957</v>
      </c>
      <c r="E4129" s="109" t="s">
        <v>22282</v>
      </c>
      <c r="F4129" s="391" t="s">
        <v>24099</v>
      </c>
      <c r="G4129" s="23" t="s">
        <v>15443</v>
      </c>
      <c r="H4129" s="23"/>
      <c r="I4129" s="23"/>
      <c r="J4129" s="23"/>
      <c r="K4129" s="23"/>
      <c r="L4129" s="375" t="s">
        <v>7787</v>
      </c>
      <c r="M4129" s="351" t="s">
        <v>7787</v>
      </c>
      <c r="N4129" s="267">
        <f t="shared" si="1057"/>
        <v>0</v>
      </c>
      <c r="O4129" s="268">
        <f t="shared" si="1058"/>
        <v>100</v>
      </c>
      <c r="P4129" s="239"/>
      <c r="Q4129" s="239"/>
      <c r="R4129" s="239"/>
      <c r="S4129" s="239"/>
      <c r="T4129" s="239"/>
      <c r="U4129" s="240"/>
      <c r="V4129" s="240">
        <f>300-200</f>
        <v>100</v>
      </c>
      <c r="W4129" s="240"/>
      <c r="X4129" s="278"/>
      <c r="Y4129" s="239"/>
      <c r="Z4129" s="237"/>
      <c r="AA4129" s="279"/>
      <c r="AB4129" s="238" t="s">
        <v>24100</v>
      </c>
      <c r="AC4129" s="196">
        <f t="shared" si="1032"/>
        <v>100</v>
      </c>
      <c r="AD4129" s="196">
        <f t="shared" si="1033"/>
        <v>100</v>
      </c>
      <c r="AE4129" s="196">
        <f t="shared" si="1034"/>
        <v>0</v>
      </c>
      <c r="AF4129" s="2">
        <f t="shared" si="1035"/>
        <v>100</v>
      </c>
      <c r="AG4129" s="2">
        <f t="shared" si="1036"/>
        <v>0</v>
      </c>
    </row>
    <row r="4130" spans="1:33">
      <c r="A4130" s="20" t="s">
        <v>23986</v>
      </c>
      <c r="B4130" s="150"/>
      <c r="C4130" s="21" t="s">
        <v>24025</v>
      </c>
      <c r="D4130" s="109" t="s">
        <v>3137</v>
      </c>
      <c r="E4130" s="109" t="s">
        <v>26488</v>
      </c>
      <c r="F4130" s="391" t="s">
        <v>24026</v>
      </c>
      <c r="G4130" s="23" t="s">
        <v>13942</v>
      </c>
      <c r="H4130" s="23"/>
      <c r="I4130" s="23"/>
      <c r="J4130" s="23"/>
      <c r="K4130" s="23"/>
      <c r="L4130" s="375" t="s">
        <v>45</v>
      </c>
      <c r="M4130" s="351" t="s">
        <v>45</v>
      </c>
      <c r="N4130" s="267">
        <f t="shared" si="1057"/>
        <v>0</v>
      </c>
      <c r="O4130" s="268">
        <f t="shared" si="1058"/>
        <v>5350</v>
      </c>
      <c r="P4130" s="239"/>
      <c r="Q4130" s="239"/>
      <c r="R4130" s="239"/>
      <c r="S4130" s="239"/>
      <c r="T4130" s="239"/>
      <c r="U4130" s="239">
        <f>2050-2000+2600+1350-650-1200-1200+4400</f>
        <v>5350</v>
      </c>
      <c r="V4130" s="239"/>
      <c r="W4130" s="240"/>
      <c r="X4130" s="278"/>
      <c r="Y4130" s="239"/>
      <c r="Z4130" s="237"/>
      <c r="AA4130" s="279"/>
      <c r="AB4130" s="238" t="s">
        <v>27221</v>
      </c>
      <c r="AC4130" s="196">
        <f t="shared" si="1032"/>
        <v>5350</v>
      </c>
      <c r="AD4130" s="196">
        <f t="shared" si="1033"/>
        <v>5350</v>
      </c>
      <c r="AE4130" s="196">
        <f t="shared" si="1034"/>
        <v>0</v>
      </c>
      <c r="AF4130" s="2">
        <f t="shared" si="1035"/>
        <v>5350</v>
      </c>
      <c r="AG4130" s="2">
        <f t="shared" si="1036"/>
        <v>0</v>
      </c>
    </row>
    <row r="4131" spans="1:33">
      <c r="A4131" s="20" t="s">
        <v>27133</v>
      </c>
      <c r="B4131" s="150"/>
      <c r="C4131" s="21" t="s">
        <v>26046</v>
      </c>
      <c r="D4131" s="109" t="s">
        <v>4070</v>
      </c>
      <c r="E4131" s="109" t="s">
        <v>27205</v>
      </c>
      <c r="F4131" s="391" t="s">
        <v>26047</v>
      </c>
      <c r="G4131" s="23" t="s">
        <v>7858</v>
      </c>
      <c r="H4131" s="23" t="s">
        <v>27206</v>
      </c>
      <c r="I4131" s="23"/>
      <c r="J4131" s="23"/>
      <c r="K4131" s="23"/>
      <c r="L4131" s="375" t="s">
        <v>7787</v>
      </c>
      <c r="M4131" s="351" t="s">
        <v>7787</v>
      </c>
      <c r="N4131" s="267">
        <f t="shared" ref="N4131" si="1063">SUM(L4131:M4131)</f>
        <v>0</v>
      </c>
      <c r="O4131" s="268">
        <f t="shared" ref="O4131" si="1064">SUM(P4131:Z4131)</f>
        <v>5700</v>
      </c>
      <c r="P4131" s="239"/>
      <c r="Q4131" s="239"/>
      <c r="R4131" s="239"/>
      <c r="S4131" s="239"/>
      <c r="T4131" s="239">
        <f>1550+1400+450+900-800-1000-500+4000-300</f>
        <v>5700</v>
      </c>
      <c r="U4131" s="239"/>
      <c r="V4131" s="239"/>
      <c r="W4131" s="240"/>
      <c r="X4131" s="278"/>
      <c r="Y4131" s="241"/>
      <c r="Z4131" s="237"/>
      <c r="AA4131" s="279"/>
      <c r="AB4131" s="238" t="s">
        <v>27222</v>
      </c>
      <c r="AC4131" s="196">
        <f t="shared" ref="AC4131" si="1065">SUM(P4131:AA4131)</f>
        <v>5700</v>
      </c>
      <c r="AD4131" s="196">
        <f t="shared" ref="AD4131" si="1066">SUM(P4131:AB4131)</f>
        <v>5700</v>
      </c>
      <c r="AE4131" s="196">
        <f t="shared" ref="AE4131" si="1067">SUM(AC4131-AD4131)</f>
        <v>0</v>
      </c>
      <c r="AF4131" s="2">
        <f t="shared" ref="AF4131" si="1068">+AC4131</f>
        <v>5700</v>
      </c>
      <c r="AG4131" s="2">
        <f t="shared" ref="AG4131" si="1069">+AC4131-AF4131</f>
        <v>0</v>
      </c>
    </row>
    <row r="4132" spans="1:33">
      <c r="A4132" s="20" t="s">
        <v>26752</v>
      </c>
      <c r="B4132" s="150"/>
      <c r="C4132" s="21" t="s">
        <v>26046</v>
      </c>
      <c r="D4132" s="109" t="s">
        <v>4070</v>
      </c>
      <c r="E4132" s="109" t="s">
        <v>26675</v>
      </c>
      <c r="F4132" s="391" t="s">
        <v>26047</v>
      </c>
      <c r="G4132" s="23" t="s">
        <v>24860</v>
      </c>
      <c r="H4132" s="23"/>
      <c r="I4132" s="23"/>
      <c r="J4132" s="23"/>
      <c r="K4132" s="23"/>
      <c r="L4132" s="375" t="s">
        <v>45</v>
      </c>
      <c r="M4132" s="351" t="s">
        <v>45</v>
      </c>
      <c r="N4132" s="267">
        <f t="shared" ref="N4132" si="1070">SUM(L4132:M4132)</f>
        <v>0</v>
      </c>
      <c r="O4132" s="268">
        <f t="shared" ref="O4132" si="1071">SUM(P4132:Z4132)</f>
        <v>600</v>
      </c>
      <c r="P4132" s="239"/>
      <c r="Q4132" s="239"/>
      <c r="R4132" s="239"/>
      <c r="S4132" s="239"/>
      <c r="T4132" s="239">
        <f>5000-3400-1000</f>
        <v>600</v>
      </c>
      <c r="U4132" s="239"/>
      <c r="V4132" s="239"/>
      <c r="W4132" s="240"/>
      <c r="X4132" s="278"/>
      <c r="Y4132" s="239"/>
      <c r="Z4132" s="237"/>
      <c r="AA4132" s="279"/>
      <c r="AB4132" s="238" t="s">
        <v>26682</v>
      </c>
      <c r="AC4132" s="196">
        <f t="shared" si="1032"/>
        <v>600</v>
      </c>
      <c r="AD4132" s="196">
        <f t="shared" si="1033"/>
        <v>600</v>
      </c>
      <c r="AE4132" s="196">
        <f t="shared" si="1034"/>
        <v>0</v>
      </c>
      <c r="AF4132" s="2">
        <f t="shared" si="1035"/>
        <v>600</v>
      </c>
      <c r="AG4132" s="2">
        <f t="shared" si="1036"/>
        <v>0</v>
      </c>
    </row>
    <row r="4133" spans="1:33">
      <c r="A4133" s="20" t="s">
        <v>24137</v>
      </c>
      <c r="B4133" s="150"/>
      <c r="C4133" s="21" t="s">
        <v>24156</v>
      </c>
      <c r="D4133" s="109" t="s">
        <v>7957</v>
      </c>
      <c r="E4133" s="109"/>
      <c r="F4133" s="391" t="s">
        <v>24182</v>
      </c>
      <c r="G4133" s="23" t="s">
        <v>15443</v>
      </c>
      <c r="H4133" s="23" t="s">
        <v>24164</v>
      </c>
      <c r="I4133" s="23"/>
      <c r="J4133" s="23"/>
      <c r="K4133" s="23"/>
      <c r="L4133" s="375" t="s">
        <v>7787</v>
      </c>
      <c r="M4133" s="351" t="s">
        <v>7787</v>
      </c>
      <c r="N4133" s="267">
        <f t="shared" si="1057"/>
        <v>0</v>
      </c>
      <c r="O4133" s="268">
        <f t="shared" si="1058"/>
        <v>0</v>
      </c>
      <c r="P4133" s="239"/>
      <c r="Q4133" s="239"/>
      <c r="R4133" s="239"/>
      <c r="S4133" s="239"/>
      <c r="T4133" s="239"/>
      <c r="U4133" s="240"/>
      <c r="V4133" s="240"/>
      <c r="W4133" s="240"/>
      <c r="X4133" s="278"/>
      <c r="Y4133" s="240"/>
      <c r="Z4133" s="237"/>
      <c r="AA4133" s="279"/>
      <c r="AB4133" s="238"/>
      <c r="AC4133" s="196">
        <f t="shared" si="1032"/>
        <v>0</v>
      </c>
      <c r="AD4133" s="196">
        <f t="shared" si="1033"/>
        <v>0</v>
      </c>
      <c r="AE4133" s="196">
        <f t="shared" si="1034"/>
        <v>0</v>
      </c>
      <c r="AF4133" s="2">
        <f t="shared" si="1035"/>
        <v>0</v>
      </c>
      <c r="AG4133" s="2">
        <f t="shared" si="1036"/>
        <v>0</v>
      </c>
    </row>
    <row r="4134" spans="1:33">
      <c r="A4134" s="20" t="s">
        <v>24010</v>
      </c>
      <c r="B4134" s="150"/>
      <c r="C4134" s="21" t="s">
        <v>24109</v>
      </c>
      <c r="D4134" s="109" t="s">
        <v>5979</v>
      </c>
      <c r="E4134" s="109" t="s">
        <v>20884</v>
      </c>
      <c r="F4134" s="391" t="s">
        <v>24116</v>
      </c>
      <c r="G4134" s="23" t="s">
        <v>15443</v>
      </c>
      <c r="H4134" s="23"/>
      <c r="I4134" s="23"/>
      <c r="J4134" s="23"/>
      <c r="K4134" s="23"/>
      <c r="L4134" s="375" t="s">
        <v>7787</v>
      </c>
      <c r="M4134" s="351" t="s">
        <v>7787</v>
      </c>
      <c r="N4134" s="267">
        <f t="shared" si="1057"/>
        <v>0</v>
      </c>
      <c r="O4134" s="268">
        <f t="shared" si="1058"/>
        <v>0</v>
      </c>
      <c r="P4134" s="239"/>
      <c r="Q4134" s="239"/>
      <c r="R4134" s="239"/>
      <c r="S4134" s="239"/>
      <c r="T4134" s="239"/>
      <c r="U4134" s="240"/>
      <c r="V4134" s="240"/>
      <c r="W4134" s="240"/>
      <c r="X4134" s="278"/>
      <c r="Y4134" s="239"/>
      <c r="Z4134" s="237"/>
      <c r="AA4134" s="279"/>
      <c r="AB4134" s="238"/>
      <c r="AC4134" s="196">
        <f t="shared" si="1032"/>
        <v>0</v>
      </c>
      <c r="AD4134" s="196">
        <f t="shared" si="1033"/>
        <v>0</v>
      </c>
      <c r="AE4134" s="196">
        <f t="shared" si="1034"/>
        <v>0</v>
      </c>
      <c r="AF4134" s="2">
        <f t="shared" si="1035"/>
        <v>0</v>
      </c>
      <c r="AG4134" s="2">
        <f t="shared" si="1036"/>
        <v>0</v>
      </c>
    </row>
    <row r="4135" spans="1:33">
      <c r="A4135" s="20" t="s">
        <v>23988</v>
      </c>
      <c r="B4135" s="150"/>
      <c r="C4135" s="21" t="s">
        <v>24028</v>
      </c>
      <c r="D4135" s="109" t="s">
        <v>3137</v>
      </c>
      <c r="E4135" s="109"/>
      <c r="F4135" s="391" t="s">
        <v>24030</v>
      </c>
      <c r="G4135" s="23" t="s">
        <v>24031</v>
      </c>
      <c r="H4135" s="23" t="s">
        <v>25490</v>
      </c>
      <c r="I4135" s="23"/>
      <c r="J4135" s="23"/>
      <c r="K4135" s="23"/>
      <c r="L4135" s="375" t="s">
        <v>27931</v>
      </c>
      <c r="M4135" s="351"/>
      <c r="N4135" s="267">
        <f t="shared" si="1057"/>
        <v>0</v>
      </c>
      <c r="O4135" s="268">
        <f t="shared" si="1058"/>
        <v>2450</v>
      </c>
      <c r="P4135" s="239"/>
      <c r="Q4135" s="239">
        <f>550-450+2350+600+3000-1000-400-250-100-750-150-400-400+2100-500-500-1000-250</f>
        <v>2450</v>
      </c>
      <c r="R4135" s="239"/>
      <c r="S4135" s="239"/>
      <c r="T4135" s="239"/>
      <c r="U4135" s="240"/>
      <c r="V4135" s="240"/>
      <c r="W4135" s="240"/>
      <c r="X4135" s="278"/>
      <c r="Y4135" s="239"/>
      <c r="Z4135" s="237"/>
      <c r="AA4135" s="279"/>
      <c r="AB4135" s="238" t="s">
        <v>27938</v>
      </c>
      <c r="AC4135" s="196">
        <f t="shared" si="1032"/>
        <v>2450</v>
      </c>
      <c r="AD4135" s="196">
        <f t="shared" si="1033"/>
        <v>2450</v>
      </c>
      <c r="AE4135" s="196">
        <f t="shared" si="1034"/>
        <v>0</v>
      </c>
      <c r="AF4135" s="2">
        <f t="shared" si="1035"/>
        <v>2450</v>
      </c>
      <c r="AG4135" s="2">
        <f t="shared" si="1036"/>
        <v>0</v>
      </c>
    </row>
    <row r="4136" spans="1:33">
      <c r="A4136" s="20" t="s">
        <v>23980</v>
      </c>
      <c r="B4136" s="150"/>
      <c r="C4136" s="21" t="s">
        <v>23975</v>
      </c>
      <c r="D4136" s="109" t="s">
        <v>23976</v>
      </c>
      <c r="E4136" s="109"/>
      <c r="F4136" s="391" t="s">
        <v>24016</v>
      </c>
      <c r="G4136" s="23" t="s">
        <v>15443</v>
      </c>
      <c r="H4136" s="23" t="s">
        <v>24466</v>
      </c>
      <c r="I4136" s="23" t="s">
        <v>25247</v>
      </c>
      <c r="J4136" s="23"/>
      <c r="K4136" s="23"/>
      <c r="L4136" s="375" t="s">
        <v>27799</v>
      </c>
      <c r="M4136" s="351"/>
      <c r="N4136" s="267">
        <f t="shared" si="1057"/>
        <v>0</v>
      </c>
      <c r="O4136" s="268">
        <f t="shared" si="1058"/>
        <v>4900</v>
      </c>
      <c r="P4136" s="239"/>
      <c r="Q4136" s="239"/>
      <c r="R4136" s="239"/>
      <c r="S4136" s="239"/>
      <c r="T4136" s="239"/>
      <c r="U4136" s="240"/>
      <c r="V4136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6" s="240"/>
      <c r="X4136" s="278"/>
      <c r="Y4136" s="240"/>
      <c r="Z4136" s="237"/>
      <c r="AA4136" s="279"/>
      <c r="AB4136" s="238" t="s">
        <v>27793</v>
      </c>
      <c r="AC4136" s="196">
        <f t="shared" si="1032"/>
        <v>4900</v>
      </c>
      <c r="AD4136" s="196">
        <f t="shared" si="1033"/>
        <v>4900</v>
      </c>
      <c r="AE4136" s="196">
        <f t="shared" si="1034"/>
        <v>0</v>
      </c>
      <c r="AF4136" s="2">
        <f t="shared" si="1035"/>
        <v>4900</v>
      </c>
      <c r="AG4136" s="2">
        <f t="shared" si="1036"/>
        <v>0</v>
      </c>
    </row>
    <row r="4137" spans="1:33">
      <c r="A4137" s="20" t="s">
        <v>24140</v>
      </c>
      <c r="B4137" s="150"/>
      <c r="C4137" s="21" t="s">
        <v>23975</v>
      </c>
      <c r="D4137" s="109" t="s">
        <v>5979</v>
      </c>
      <c r="E4137" s="109" t="s">
        <v>9189</v>
      </c>
      <c r="F4137" s="391" t="s">
        <v>24016</v>
      </c>
      <c r="G4137" s="23" t="s">
        <v>15443</v>
      </c>
      <c r="H4137" s="23"/>
      <c r="I4137" s="23"/>
      <c r="J4137" s="23"/>
      <c r="K4137" s="23"/>
      <c r="L4137" s="375" t="s">
        <v>45</v>
      </c>
      <c r="M4137" s="351"/>
      <c r="N4137" s="267">
        <f t="shared" ref="N4137" si="1072">SUM(L4137:M4137)</f>
        <v>0</v>
      </c>
      <c r="O4137" s="268">
        <f t="shared" ref="O4137" si="1073">SUM(P4137:Z4137)</f>
        <v>0</v>
      </c>
      <c r="P4137" s="239"/>
      <c r="Q4137" s="239"/>
      <c r="R4137" s="239"/>
      <c r="S4137" s="239"/>
      <c r="T4137" s="239"/>
      <c r="U4137" s="240"/>
      <c r="V4137" s="240"/>
      <c r="W4137" s="240"/>
      <c r="X4137" s="278"/>
      <c r="Y4137" s="240"/>
      <c r="Z4137" s="237"/>
      <c r="AA4137" s="279"/>
      <c r="AB4137" s="238"/>
      <c r="AC4137" s="196">
        <f t="shared" si="1032"/>
        <v>0</v>
      </c>
      <c r="AD4137" s="196">
        <f t="shared" si="1033"/>
        <v>0</v>
      </c>
      <c r="AE4137" s="196">
        <f t="shared" si="1034"/>
        <v>0</v>
      </c>
      <c r="AF4137" s="2">
        <f t="shared" si="1035"/>
        <v>0</v>
      </c>
      <c r="AG4137" s="2">
        <f t="shared" si="1036"/>
        <v>0</v>
      </c>
    </row>
    <row r="4138" spans="1:33">
      <c r="A4138" s="20" t="s">
        <v>24004</v>
      </c>
      <c r="B4138" s="150"/>
      <c r="C4138" s="21" t="s">
        <v>24089</v>
      </c>
      <c r="D4138" s="109" t="s">
        <v>7960</v>
      </c>
      <c r="E4138" s="109"/>
      <c r="F4138" s="391" t="s">
        <v>24090</v>
      </c>
      <c r="G4138" s="23" t="s">
        <v>24165</v>
      </c>
      <c r="H4138" s="23" t="s">
        <v>24183</v>
      </c>
      <c r="I4138" s="23" t="s">
        <v>24219</v>
      </c>
      <c r="J4138" s="23"/>
      <c r="K4138" s="23"/>
      <c r="L4138" s="375" t="s">
        <v>45</v>
      </c>
      <c r="M4138" s="351" t="s">
        <v>45</v>
      </c>
      <c r="N4138" s="267">
        <f t="shared" si="1057"/>
        <v>0</v>
      </c>
      <c r="O4138" s="268">
        <f t="shared" si="1058"/>
        <v>0</v>
      </c>
      <c r="P4138" s="239"/>
      <c r="Q4138" s="239"/>
      <c r="R4138" s="239"/>
      <c r="S4138" s="239"/>
      <c r="T4138" s="239"/>
      <c r="U4138" s="240"/>
      <c r="V4138" s="240"/>
      <c r="W4138" s="240"/>
      <c r="X4138" s="278"/>
      <c r="Y4138" s="240"/>
      <c r="Z4138" s="237"/>
      <c r="AA4138" s="279"/>
      <c r="AB4138" s="238"/>
      <c r="AC4138" s="196">
        <f t="shared" si="1032"/>
        <v>0</v>
      </c>
      <c r="AD4138" s="196">
        <f t="shared" si="1033"/>
        <v>0</v>
      </c>
      <c r="AE4138" s="196">
        <f t="shared" si="1034"/>
        <v>0</v>
      </c>
      <c r="AF4138" s="2">
        <f t="shared" si="1035"/>
        <v>0</v>
      </c>
      <c r="AG4138" s="2">
        <f t="shared" si="1036"/>
        <v>0</v>
      </c>
    </row>
    <row r="4139" spans="1:33">
      <c r="A4139" s="20" t="s">
        <v>25156</v>
      </c>
      <c r="B4139" s="150"/>
      <c r="C4139" s="21" t="s">
        <v>24089</v>
      </c>
      <c r="D4139" s="109" t="s">
        <v>7960</v>
      </c>
      <c r="E4139" s="109" t="s">
        <v>6737</v>
      </c>
      <c r="F4139" s="391" t="s">
        <v>24090</v>
      </c>
      <c r="G4139" s="23" t="s">
        <v>15190</v>
      </c>
      <c r="H4139" s="23" t="s">
        <v>25538</v>
      </c>
      <c r="I4139" s="23" t="s">
        <v>24219</v>
      </c>
      <c r="J4139" s="23"/>
      <c r="K4139" s="23"/>
      <c r="L4139" s="375" t="s">
        <v>27757</v>
      </c>
      <c r="M4139" s="351" t="s">
        <v>27557</v>
      </c>
      <c r="N4139" s="267">
        <f t="shared" ref="N4139" si="1074">SUM(L4139:M4139)</f>
        <v>0</v>
      </c>
      <c r="O4139" s="268">
        <f t="shared" ref="O4139" si="1075">SUM(P4139:Z4139)</f>
        <v>0</v>
      </c>
      <c r="P4139" s="239"/>
      <c r="Q4139" s="239"/>
      <c r="R4139" s="239"/>
      <c r="S4139" s="239"/>
      <c r="T4139" s="239"/>
      <c r="U4139" s="240"/>
      <c r="V4139" s="240"/>
      <c r="W4139" s="240"/>
      <c r="X4139" s="278"/>
      <c r="Y4139" s="240"/>
      <c r="Z4139" s="237"/>
      <c r="AA4139" s="279"/>
      <c r="AB4139" s="238"/>
      <c r="AC4139" s="196">
        <f t="shared" si="1032"/>
        <v>0</v>
      </c>
      <c r="AD4139" s="196">
        <f t="shared" si="1033"/>
        <v>0</v>
      </c>
      <c r="AE4139" s="196">
        <f t="shared" si="1034"/>
        <v>0</v>
      </c>
      <c r="AF4139" s="2">
        <f t="shared" si="1035"/>
        <v>0</v>
      </c>
      <c r="AG4139" s="2">
        <f t="shared" si="1036"/>
        <v>0</v>
      </c>
    </row>
    <row r="4140" spans="1:33">
      <c r="A4140" s="20" t="s">
        <v>23993</v>
      </c>
      <c r="B4140" s="150"/>
      <c r="C4140" s="21" t="s">
        <v>24054</v>
      </c>
      <c r="D4140" s="109" t="s">
        <v>3137</v>
      </c>
      <c r="E4140" s="109"/>
      <c r="F4140" s="391" t="s">
        <v>24055</v>
      </c>
      <c r="G4140" s="23" t="s">
        <v>24056</v>
      </c>
      <c r="H4140" s="23"/>
      <c r="I4140" s="23"/>
      <c r="J4140" s="23"/>
      <c r="K4140" s="23"/>
      <c r="L4140" s="375" t="s">
        <v>45</v>
      </c>
      <c r="M4140" s="351" t="s">
        <v>7787</v>
      </c>
      <c r="N4140" s="267">
        <f t="shared" si="1057"/>
        <v>0</v>
      </c>
      <c r="O4140" s="268">
        <f t="shared" si="1058"/>
        <v>550</v>
      </c>
      <c r="P4140" s="239"/>
      <c r="Q4140" s="239">
        <f>1550-1000</f>
        <v>550</v>
      </c>
      <c r="R4140" s="239"/>
      <c r="S4140" s="239"/>
      <c r="T4140" s="239"/>
      <c r="U4140" s="240"/>
      <c r="V4140" s="240"/>
      <c r="W4140" s="240"/>
      <c r="X4140" s="278"/>
      <c r="Y4140" s="240"/>
      <c r="Z4140" s="237"/>
      <c r="AA4140" s="279"/>
      <c r="AB4140" s="238" t="s">
        <v>26172</v>
      </c>
      <c r="AC4140" s="196">
        <f t="shared" si="1032"/>
        <v>550</v>
      </c>
      <c r="AD4140" s="196">
        <f t="shared" si="1033"/>
        <v>550</v>
      </c>
      <c r="AE4140" s="196">
        <f t="shared" si="1034"/>
        <v>0</v>
      </c>
      <c r="AF4140" s="2">
        <f t="shared" si="1035"/>
        <v>550</v>
      </c>
      <c r="AG4140" s="2">
        <f t="shared" si="1036"/>
        <v>0</v>
      </c>
    </row>
    <row r="4141" spans="1:33">
      <c r="A4141" s="20" t="s">
        <v>25477</v>
      </c>
      <c r="B4141" s="150"/>
      <c r="C4141" s="21" t="s">
        <v>25087</v>
      </c>
      <c r="D4141" s="109" t="s">
        <v>4070</v>
      </c>
      <c r="E4141" s="109"/>
      <c r="F4141" s="391" t="s">
        <v>25088</v>
      </c>
      <c r="G4141" s="23" t="s">
        <v>21255</v>
      </c>
      <c r="H4141" s="23"/>
      <c r="I4141" s="23"/>
      <c r="J4141" s="23"/>
      <c r="K4141" s="23"/>
      <c r="L4141" s="375" t="s">
        <v>7787</v>
      </c>
      <c r="M4141" s="351" t="s">
        <v>7787</v>
      </c>
      <c r="N4141" s="267">
        <f t="shared" ref="N4141" si="1076">SUM(L4141:M4141)</f>
        <v>0</v>
      </c>
      <c r="O4141" s="268">
        <f t="shared" ref="O4141" si="1077">SUM(P4141:Z4141)</f>
        <v>450</v>
      </c>
      <c r="P4141" s="239"/>
      <c r="Q4141" s="239">
        <f>2200+2800+3000-950-1000-3000-3000+2200-2000+2800-2000-500-100</f>
        <v>450</v>
      </c>
      <c r="R4141" s="239"/>
      <c r="S4141" s="239"/>
      <c r="T4141" s="239"/>
      <c r="U4141" s="240"/>
      <c r="V4141" s="240"/>
      <c r="W4141" s="240"/>
      <c r="X4141" s="278"/>
      <c r="Y4141" s="240"/>
      <c r="Z4141" s="237"/>
      <c r="AA4141" s="279"/>
      <c r="AB4141" s="238" t="s">
        <v>25470</v>
      </c>
      <c r="AC4141" s="196">
        <f t="shared" si="1032"/>
        <v>450</v>
      </c>
      <c r="AD4141" s="196">
        <f t="shared" si="1033"/>
        <v>450</v>
      </c>
      <c r="AE4141" s="196">
        <f t="shared" si="1034"/>
        <v>0</v>
      </c>
      <c r="AF4141" s="2">
        <f t="shared" si="1035"/>
        <v>450</v>
      </c>
      <c r="AG4141" s="2">
        <f t="shared" si="1036"/>
        <v>0</v>
      </c>
    </row>
    <row r="4142" spans="1:33">
      <c r="A4142" s="20" t="s">
        <v>24005</v>
      </c>
      <c r="B4142" s="150"/>
      <c r="C4142" s="21" t="s">
        <v>24097</v>
      </c>
      <c r="D4142" s="109" t="s">
        <v>3958</v>
      </c>
      <c r="E4142" s="109"/>
      <c r="F4142" s="391" t="s">
        <v>24098</v>
      </c>
      <c r="G4142" s="23" t="s">
        <v>25751</v>
      </c>
      <c r="H4142" s="23" t="s">
        <v>25205</v>
      </c>
      <c r="I4142" s="23"/>
      <c r="J4142" s="23"/>
      <c r="K4142" s="23"/>
      <c r="L4142" s="375" t="s">
        <v>45</v>
      </c>
      <c r="M4142" s="351" t="s">
        <v>45</v>
      </c>
      <c r="N4142" s="267">
        <f t="shared" si="1057"/>
        <v>0</v>
      </c>
      <c r="O4142" s="268">
        <f t="shared" si="1058"/>
        <v>4300</v>
      </c>
      <c r="P4142" s="239"/>
      <c r="Q4142" s="239"/>
      <c r="R4142" s="239"/>
      <c r="S4142" s="239"/>
      <c r="T4142" s="239"/>
      <c r="U4142" s="240">
        <f>2200+3600-5400+3600+3600-5400+3300-1000-100-100</f>
        <v>4300</v>
      </c>
      <c r="V4142" s="240"/>
      <c r="W4142" s="240"/>
      <c r="X4142" s="278"/>
      <c r="Y4142" s="240"/>
      <c r="Z4142" s="237"/>
      <c r="AA4142" s="279"/>
      <c r="AB4142" s="238" t="s">
        <v>26129</v>
      </c>
      <c r="AC4142" s="196">
        <f t="shared" si="1032"/>
        <v>4300</v>
      </c>
      <c r="AD4142" s="196">
        <f t="shared" si="1033"/>
        <v>4300</v>
      </c>
      <c r="AE4142" s="196">
        <f t="shared" si="1034"/>
        <v>0</v>
      </c>
      <c r="AF4142" s="2">
        <f t="shared" si="1035"/>
        <v>4300</v>
      </c>
      <c r="AG4142" s="2">
        <f t="shared" si="1036"/>
        <v>0</v>
      </c>
    </row>
    <row r="4143" spans="1:33">
      <c r="A4143" s="20" t="s">
        <v>24003</v>
      </c>
      <c r="B4143" s="150"/>
      <c r="C4143" s="21" t="s">
        <v>24082</v>
      </c>
      <c r="D4143" s="109" t="s">
        <v>3096</v>
      </c>
      <c r="E4143" s="109"/>
      <c r="F4143" s="391" t="s">
        <v>24088</v>
      </c>
      <c r="G4143" s="23" t="s">
        <v>14311</v>
      </c>
      <c r="H4143" s="23"/>
      <c r="I4143" s="23"/>
      <c r="J4143" s="23"/>
      <c r="K4143" s="23"/>
      <c r="L4143" s="375" t="s">
        <v>27500</v>
      </c>
      <c r="M4143" s="351" t="s">
        <v>7787</v>
      </c>
      <c r="N4143" s="267">
        <f t="shared" si="1057"/>
        <v>0</v>
      </c>
      <c r="O4143" s="268">
        <f t="shared" si="1058"/>
        <v>100</v>
      </c>
      <c r="P4143" s="239"/>
      <c r="Q4143" s="239"/>
      <c r="R4143" s="239">
        <f>400-300</f>
        <v>100</v>
      </c>
      <c r="S4143" s="239"/>
      <c r="T4143" s="239"/>
      <c r="U4143" s="240"/>
      <c r="V4143" s="240"/>
      <c r="W4143" s="240"/>
      <c r="X4143" s="278"/>
      <c r="Y4143" s="240"/>
      <c r="Z4143" s="237"/>
      <c r="AA4143" s="279"/>
      <c r="AB4143" s="342" t="s">
        <v>27498</v>
      </c>
      <c r="AC4143" s="196">
        <f t="shared" si="1032"/>
        <v>100</v>
      </c>
      <c r="AD4143" s="196">
        <f t="shared" si="1033"/>
        <v>100</v>
      </c>
      <c r="AE4143" s="196">
        <f t="shared" si="1034"/>
        <v>0</v>
      </c>
      <c r="AF4143" s="2">
        <f t="shared" si="1035"/>
        <v>100</v>
      </c>
      <c r="AG4143" s="2">
        <f t="shared" si="1036"/>
        <v>0</v>
      </c>
    </row>
    <row r="4144" spans="1:33">
      <c r="A4144" s="20" t="s">
        <v>24009</v>
      </c>
      <c r="B4144" s="150"/>
      <c r="C4144" s="21" t="s">
        <v>24107</v>
      </c>
      <c r="D4144" s="109" t="s">
        <v>3137</v>
      </c>
      <c r="E4144" s="109"/>
      <c r="F4144" s="391" t="s">
        <v>24115</v>
      </c>
      <c r="G4144" s="23" t="s">
        <v>13215</v>
      </c>
      <c r="H4144" s="23"/>
      <c r="I4144" s="23"/>
      <c r="J4144" s="23"/>
      <c r="K4144" s="23"/>
      <c r="L4144" s="375" t="s">
        <v>7787</v>
      </c>
      <c r="M4144" s="351" t="s">
        <v>7787</v>
      </c>
      <c r="N4144" s="267">
        <f t="shared" si="1057"/>
        <v>0</v>
      </c>
      <c r="O4144" s="268">
        <f t="shared" si="1058"/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32"/>
        <v>0</v>
      </c>
      <c r="AD4144" s="196">
        <f t="shared" si="1033"/>
        <v>0</v>
      </c>
      <c r="AE4144" s="196">
        <f t="shared" si="1034"/>
        <v>0</v>
      </c>
      <c r="AF4144" s="2">
        <f t="shared" si="1035"/>
        <v>0</v>
      </c>
      <c r="AG4144" s="2">
        <f t="shared" si="1036"/>
        <v>0</v>
      </c>
    </row>
    <row r="4145" spans="1:33">
      <c r="A4145" s="20" t="s">
        <v>23997</v>
      </c>
      <c r="B4145" s="150"/>
      <c r="C4145" s="21" t="s">
        <v>24065</v>
      </c>
      <c r="D4145" s="109" t="s">
        <v>3927</v>
      </c>
      <c r="E4145" s="109"/>
      <c r="F4145" s="391" t="s">
        <v>24067</v>
      </c>
      <c r="G4145" s="23" t="s">
        <v>16333</v>
      </c>
      <c r="H4145" s="23"/>
      <c r="I4145" s="23"/>
      <c r="J4145" s="23"/>
      <c r="K4145" s="23"/>
      <c r="L4145" s="375"/>
      <c r="M4145" s="351" t="s">
        <v>45</v>
      </c>
      <c r="N4145" s="267">
        <f t="shared" si="1057"/>
        <v>0</v>
      </c>
      <c r="O4145" s="268">
        <f t="shared" si="1058"/>
        <v>21400</v>
      </c>
      <c r="P4145" s="239"/>
      <c r="Q4145" s="239"/>
      <c r="R4145" s="239"/>
      <c r="S4145" s="239"/>
      <c r="T4145" s="239"/>
      <c r="U4145" s="240"/>
      <c r="V4145" s="240">
        <f>2800+2200+2600+2800+1800+2800+3200+3200</f>
        <v>21400</v>
      </c>
      <c r="W4145" s="240"/>
      <c r="X4145" s="278"/>
      <c r="Y4145" s="240"/>
      <c r="Z4145" s="237"/>
      <c r="AA4145" s="279"/>
      <c r="AB4145" s="238" t="s">
        <v>27960</v>
      </c>
      <c r="AC4145" s="196">
        <f t="shared" si="1032"/>
        <v>21400</v>
      </c>
      <c r="AD4145" s="196">
        <f t="shared" si="1033"/>
        <v>21400</v>
      </c>
      <c r="AE4145" s="196">
        <f t="shared" si="1034"/>
        <v>0</v>
      </c>
      <c r="AF4145" s="2">
        <f t="shared" si="1035"/>
        <v>21400</v>
      </c>
      <c r="AG4145" s="2">
        <f t="shared" si="1036"/>
        <v>0</v>
      </c>
    </row>
    <row r="4146" spans="1:33">
      <c r="A4146" s="20" t="s">
        <v>24256</v>
      </c>
      <c r="B4146" s="150"/>
      <c r="C4146" s="21" t="s">
        <v>24303</v>
      </c>
      <c r="D4146" s="109" t="s">
        <v>3137</v>
      </c>
      <c r="E4146" s="109" t="s">
        <v>23278</v>
      </c>
      <c r="F4146" s="391" t="s">
        <v>24339</v>
      </c>
      <c r="G4146" s="23" t="s">
        <v>22432</v>
      </c>
      <c r="H4146" s="23"/>
      <c r="I4146" s="23"/>
      <c r="J4146" s="23"/>
      <c r="K4146" s="23"/>
      <c r="L4146" s="375" t="s">
        <v>7787</v>
      </c>
      <c r="M4146" s="351" t="s">
        <v>7787</v>
      </c>
      <c r="N4146" s="267">
        <f t="shared" ref="N4146" si="1078">SUM(L4146:M4146)</f>
        <v>0</v>
      </c>
      <c r="O4146" s="268">
        <f t="shared" ref="O4146" si="1079">SUM(P4146:Z4146)</f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32"/>
        <v>0</v>
      </c>
      <c r="AD4146" s="196">
        <f t="shared" si="1033"/>
        <v>0</v>
      </c>
      <c r="AE4146" s="196">
        <f t="shared" si="1034"/>
        <v>0</v>
      </c>
      <c r="AF4146" s="2">
        <f t="shared" si="1035"/>
        <v>0</v>
      </c>
      <c r="AG4146" s="2">
        <f t="shared" si="1036"/>
        <v>0</v>
      </c>
    </row>
    <row r="4147" spans="1:33">
      <c r="A4147" s="20" t="s">
        <v>24830</v>
      </c>
      <c r="B4147" s="150"/>
      <c r="C4147" s="21" t="s">
        <v>24865</v>
      </c>
      <c r="D4147" s="109" t="s">
        <v>3099</v>
      </c>
      <c r="E4147" s="109"/>
      <c r="F4147" s="391" t="s">
        <v>24870</v>
      </c>
      <c r="G4147" s="23" t="s">
        <v>13826</v>
      </c>
      <c r="H4147" s="23"/>
      <c r="I4147" s="23"/>
      <c r="J4147" s="23"/>
      <c r="K4147" s="23"/>
      <c r="L4147" s="375" t="s">
        <v>7787</v>
      </c>
      <c r="M4147" s="351" t="s">
        <v>7787</v>
      </c>
      <c r="N4147" s="267">
        <f t="shared" ref="N4147" si="1080">SUM(L4147:M4147)</f>
        <v>0</v>
      </c>
      <c r="O4147" s="268">
        <f t="shared" ref="O4147" si="1081">SUM(P4147:Z4147)</f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32"/>
        <v>0</v>
      </c>
      <c r="AD4147" s="196">
        <f t="shared" si="1033"/>
        <v>0</v>
      </c>
      <c r="AE4147" s="196">
        <f t="shared" si="1034"/>
        <v>0</v>
      </c>
      <c r="AF4147" s="2">
        <f t="shared" si="1035"/>
        <v>0</v>
      </c>
      <c r="AG4147" s="2">
        <f t="shared" si="1036"/>
        <v>0</v>
      </c>
    </row>
    <row r="4148" spans="1:33">
      <c r="A4148" s="20" t="s">
        <v>24247</v>
      </c>
      <c r="B4148" s="150"/>
      <c r="C4148" s="21" t="s">
        <v>24298</v>
      </c>
      <c r="D4148" s="109" t="s">
        <v>3137</v>
      </c>
      <c r="E4148" s="109"/>
      <c r="F4148" s="391" t="s">
        <v>24300</v>
      </c>
      <c r="G4148" s="23" t="s">
        <v>24299</v>
      </c>
      <c r="H4148" s="23"/>
      <c r="I4148" s="23"/>
      <c r="J4148" s="23"/>
      <c r="K4148" s="23"/>
      <c r="L4148" s="375" t="s">
        <v>7787</v>
      </c>
      <c r="M4148" s="351"/>
      <c r="N4148" s="267">
        <f t="shared" ref="N4148" si="1082">SUM(L4148:M4148)</f>
        <v>0</v>
      </c>
      <c r="O4148" s="268">
        <f t="shared" ref="O4148" si="1083">SUM(P4148:Z4148)</f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32"/>
        <v>0</v>
      </c>
      <c r="AD4148" s="196">
        <f t="shared" si="1033"/>
        <v>0</v>
      </c>
      <c r="AE4148" s="196">
        <f t="shared" si="1034"/>
        <v>0</v>
      </c>
      <c r="AF4148" s="2">
        <f t="shared" si="1035"/>
        <v>0</v>
      </c>
      <c r="AG4148" s="2">
        <f t="shared" si="1036"/>
        <v>0</v>
      </c>
    </row>
    <row r="4149" spans="1:33">
      <c r="A4149" s="20" t="s">
        <v>26753</v>
      </c>
      <c r="B4149" s="150"/>
      <c r="C4149" s="21" t="s">
        <v>26430</v>
      </c>
      <c r="D4149" s="109" t="s">
        <v>3958</v>
      </c>
      <c r="E4149" s="109" t="s">
        <v>26429</v>
      </c>
      <c r="F4149" s="391" t="s">
        <v>26432</v>
      </c>
      <c r="G4149" s="23" t="s">
        <v>26431</v>
      </c>
      <c r="H4149" s="23"/>
      <c r="I4149" s="23"/>
      <c r="J4149" s="23"/>
      <c r="K4149" s="23"/>
      <c r="L4149" s="375" t="s">
        <v>7787</v>
      </c>
      <c r="M4149" s="351"/>
      <c r="N4149" s="267">
        <f t="shared" ref="N4149" si="1084">SUM(L4149:M4149)</f>
        <v>0</v>
      </c>
      <c r="O4149" s="268">
        <f t="shared" ref="O4149" si="1085">SUM(P4149:Z4149)</f>
        <v>0</v>
      </c>
      <c r="P4149" s="239"/>
      <c r="Q4149" s="239"/>
      <c r="R4149" s="239"/>
      <c r="S4149" s="239"/>
      <c r="T4149" s="239"/>
      <c r="U4149" s="240"/>
      <c r="V4149" s="240"/>
      <c r="W4149" s="240"/>
      <c r="X4149" s="278"/>
      <c r="Y4149" s="240"/>
      <c r="Z4149" s="237"/>
      <c r="AA4149" s="279"/>
      <c r="AB4149" s="238"/>
      <c r="AC4149" s="196">
        <f t="shared" si="1032"/>
        <v>0</v>
      </c>
      <c r="AD4149" s="196">
        <f t="shared" si="1033"/>
        <v>0</v>
      </c>
      <c r="AE4149" s="196">
        <f t="shared" si="1034"/>
        <v>0</v>
      </c>
      <c r="AF4149" s="2">
        <f t="shared" si="1035"/>
        <v>0</v>
      </c>
      <c r="AG4149" s="2">
        <f t="shared" si="1036"/>
        <v>0</v>
      </c>
    </row>
    <row r="4150" spans="1:33">
      <c r="A4150" s="20" t="s">
        <v>24007</v>
      </c>
      <c r="B4150" s="150"/>
      <c r="C4150" s="21" t="s">
        <v>24102</v>
      </c>
      <c r="D4150" s="109" t="s">
        <v>3137</v>
      </c>
      <c r="E4150" s="109"/>
      <c r="F4150" s="391" t="s">
        <v>24105</v>
      </c>
      <c r="G4150" s="23" t="s">
        <v>14311</v>
      </c>
      <c r="H4150" s="23" t="s">
        <v>24108</v>
      </c>
      <c r="I4150" s="23"/>
      <c r="J4150" s="23"/>
      <c r="K4150" s="23"/>
      <c r="L4150" s="375" t="s">
        <v>7787</v>
      </c>
      <c r="M4150" s="351"/>
      <c r="N4150" s="267">
        <f t="shared" si="1057"/>
        <v>0</v>
      </c>
      <c r="O4150" s="268">
        <f t="shared" si="1058"/>
        <v>0</v>
      </c>
      <c r="P4150" s="239"/>
      <c r="Q4150" s="239"/>
      <c r="R4150" s="239"/>
      <c r="S4150" s="239"/>
      <c r="T4150" s="239"/>
      <c r="U4150" s="240"/>
      <c r="V4150" s="240"/>
      <c r="W4150" s="240"/>
      <c r="X4150" s="278"/>
      <c r="Y4150" s="240"/>
      <c r="Z4150" s="237"/>
      <c r="AA4150" s="279"/>
      <c r="AB4150" s="238"/>
      <c r="AC4150" s="196">
        <f t="shared" si="1032"/>
        <v>0</v>
      </c>
      <c r="AD4150" s="196">
        <f t="shared" si="1033"/>
        <v>0</v>
      </c>
      <c r="AE4150" s="196">
        <f t="shared" si="1034"/>
        <v>0</v>
      </c>
      <c r="AF4150" s="2">
        <f t="shared" si="1035"/>
        <v>0</v>
      </c>
      <c r="AG4150" s="2">
        <f t="shared" si="1036"/>
        <v>0</v>
      </c>
    </row>
    <row r="4151" spans="1:33">
      <c r="A4151" s="20" t="s">
        <v>24134</v>
      </c>
      <c r="B4151" s="150"/>
      <c r="C4151" s="21" t="s">
        <v>24170</v>
      </c>
      <c r="D4151" s="109" t="s">
        <v>3137</v>
      </c>
      <c r="E4151" s="109"/>
      <c r="F4151" s="391" t="s">
        <v>24173</v>
      </c>
      <c r="G4151" s="23" t="s">
        <v>24174</v>
      </c>
      <c r="H4151" s="23"/>
      <c r="I4151" s="23"/>
      <c r="J4151" s="23"/>
      <c r="K4151" s="23"/>
      <c r="L4151" s="375" t="s">
        <v>7787</v>
      </c>
      <c r="M4151" s="351"/>
      <c r="N4151" s="267">
        <f t="shared" ref="N4151" si="1086">SUM(L4151:M4151)</f>
        <v>0</v>
      </c>
      <c r="O4151" s="268">
        <f t="shared" ref="O4151" si="1087">SUM(P4151:Z4151)</f>
        <v>0</v>
      </c>
      <c r="P4151" s="239"/>
      <c r="Q4151" s="239"/>
      <c r="R4151" s="239"/>
      <c r="S4151" s="239"/>
      <c r="T4151" s="239"/>
      <c r="U4151" s="240"/>
      <c r="V4151" s="240"/>
      <c r="W4151" s="240"/>
      <c r="X4151" s="278"/>
      <c r="Y4151" s="240"/>
      <c r="Z4151" s="237"/>
      <c r="AA4151" s="279"/>
      <c r="AB4151" s="238"/>
      <c r="AC4151" s="196">
        <f t="shared" si="1032"/>
        <v>0</v>
      </c>
      <c r="AD4151" s="196">
        <f t="shared" si="1033"/>
        <v>0</v>
      </c>
      <c r="AE4151" s="196">
        <f t="shared" si="1034"/>
        <v>0</v>
      </c>
      <c r="AF4151" s="2">
        <f t="shared" si="1035"/>
        <v>0</v>
      </c>
      <c r="AG4151" s="2">
        <f t="shared" si="1036"/>
        <v>0</v>
      </c>
    </row>
    <row r="4152" spans="1:33">
      <c r="A4152" s="20" t="s">
        <v>24425</v>
      </c>
      <c r="B4152" s="150"/>
      <c r="C4152" s="21" t="s">
        <v>24472</v>
      </c>
      <c r="D4152" s="109" t="s">
        <v>3137</v>
      </c>
      <c r="E4152" s="109" t="s">
        <v>24473</v>
      </c>
      <c r="F4152" s="391" t="s">
        <v>24486</v>
      </c>
      <c r="G4152" s="23" t="s">
        <v>22432</v>
      </c>
      <c r="H4152" s="23" t="s">
        <v>24524</v>
      </c>
      <c r="I4152" s="23"/>
      <c r="J4152" s="23"/>
      <c r="K4152" s="23"/>
      <c r="L4152" s="375"/>
      <c r="M4152" s="351" t="s">
        <v>45</v>
      </c>
      <c r="N4152" s="267">
        <f t="shared" ref="N4152" si="1088">SUM(L4152:M4152)</f>
        <v>0</v>
      </c>
      <c r="O4152" s="268">
        <f t="shared" ref="O4152" si="1089">SUM(P4152:Z4152)</f>
        <v>0</v>
      </c>
      <c r="P4152" s="239"/>
      <c r="Q4152" s="239"/>
      <c r="R4152" s="239"/>
      <c r="S4152" s="239"/>
      <c r="T4152" s="239"/>
      <c r="U4152" s="240"/>
      <c r="V4152" s="240"/>
      <c r="W4152" s="240"/>
      <c r="X4152" s="278"/>
      <c r="Y4152" s="240"/>
      <c r="Z4152" s="237"/>
      <c r="AA4152" s="279"/>
      <c r="AB4152" s="238"/>
      <c r="AC4152" s="196">
        <f t="shared" si="1032"/>
        <v>0</v>
      </c>
      <c r="AD4152" s="196">
        <f t="shared" si="1033"/>
        <v>0</v>
      </c>
      <c r="AE4152" s="196">
        <f t="shared" si="1034"/>
        <v>0</v>
      </c>
      <c r="AF4152" s="2">
        <f t="shared" si="1035"/>
        <v>0</v>
      </c>
      <c r="AG4152" s="2">
        <f t="shared" si="1036"/>
        <v>0</v>
      </c>
    </row>
    <row r="4153" spans="1:33">
      <c r="A4153" s="20" t="s">
        <v>24531</v>
      </c>
      <c r="B4153" s="150"/>
      <c r="C4153" s="21" t="s">
        <v>24472</v>
      </c>
      <c r="D4153" s="109" t="s">
        <v>3137</v>
      </c>
      <c r="E4153" s="109" t="s">
        <v>24547</v>
      </c>
      <c r="F4153" s="391" t="s">
        <v>24486</v>
      </c>
      <c r="G4153" s="23" t="s">
        <v>22432</v>
      </c>
      <c r="H4153" s="23" t="s">
        <v>13301</v>
      </c>
      <c r="I4153" s="23"/>
      <c r="J4153" s="23"/>
      <c r="K4153" s="23"/>
      <c r="L4153" s="375" t="s">
        <v>27925</v>
      </c>
      <c r="M4153" s="351" t="s">
        <v>45</v>
      </c>
      <c r="N4153" s="267">
        <f t="shared" ref="N4153" si="1090">SUM(L4153:M4153)</f>
        <v>0</v>
      </c>
      <c r="O4153" s="268">
        <f t="shared" ref="O4153" si="1091">SUM(P4153:Z4153)</f>
        <v>800</v>
      </c>
      <c r="P4153" s="239"/>
      <c r="Q4153" s="239"/>
      <c r="R4153" s="239"/>
      <c r="S4153" s="239"/>
      <c r="T4153" s="239"/>
      <c r="U4153" s="240">
        <f>950-150</f>
        <v>800</v>
      </c>
      <c r="V4153" s="240"/>
      <c r="W4153" s="240"/>
      <c r="X4153" s="278"/>
      <c r="Y4153" s="240"/>
      <c r="Z4153" s="237"/>
      <c r="AA4153" s="279"/>
      <c r="AB4153" s="238" t="s">
        <v>27918</v>
      </c>
      <c r="AC4153" s="196">
        <f t="shared" ref="AC4153:AC4235" si="1092">SUM(P4153:AA4153)</f>
        <v>800</v>
      </c>
      <c r="AD4153" s="196">
        <f t="shared" ref="AD4153:AD4235" si="1093">SUM(P4153:AB4153)</f>
        <v>800</v>
      </c>
      <c r="AE4153" s="196">
        <f t="shared" ref="AE4153:AE4235" si="1094">SUM(AC4153-AD4153)</f>
        <v>0</v>
      </c>
      <c r="AF4153" s="2">
        <f t="shared" ref="AF4153:AF4235" si="1095">+AC4153</f>
        <v>800</v>
      </c>
      <c r="AG4153" s="2">
        <f t="shared" ref="AG4153:AG4235" si="1096">+AC4153-AF4153</f>
        <v>0</v>
      </c>
    </row>
    <row r="4154" spans="1:33">
      <c r="A4154" s="20" t="s">
        <v>24241</v>
      </c>
      <c r="B4154" s="150"/>
      <c r="C4154" s="21" t="s">
        <v>24237</v>
      </c>
      <c r="D4154" s="109" t="s">
        <v>3137</v>
      </c>
      <c r="E4154" s="109" t="s">
        <v>3128</v>
      </c>
      <c r="F4154" s="391" t="s">
        <v>24268</v>
      </c>
      <c r="G4154" s="23" t="s">
        <v>21185</v>
      </c>
      <c r="H4154" s="23"/>
      <c r="I4154" s="23"/>
      <c r="J4154" s="23"/>
      <c r="K4154" s="23"/>
      <c r="L4154" s="375" t="s">
        <v>7787</v>
      </c>
      <c r="M4154" s="351"/>
      <c r="N4154" s="267">
        <f t="shared" ref="N4154" si="1097">SUM(L4154:M4154)</f>
        <v>0</v>
      </c>
      <c r="O4154" s="268">
        <f t="shared" ref="O4154" si="1098">SUM(P4154:Z4154)</f>
        <v>0</v>
      </c>
      <c r="P4154" s="239"/>
      <c r="Q4154" s="239"/>
      <c r="R4154" s="239"/>
      <c r="S4154" s="239"/>
      <c r="T4154" s="239"/>
      <c r="U4154" s="240"/>
      <c r="V4154" s="240"/>
      <c r="W4154" s="240"/>
      <c r="X4154" s="278"/>
      <c r="Y4154" s="240"/>
      <c r="Z4154" s="237"/>
      <c r="AA4154" s="279"/>
      <c r="AB4154" s="238"/>
      <c r="AC4154" s="196">
        <f t="shared" si="1092"/>
        <v>0</v>
      </c>
      <c r="AD4154" s="196">
        <f t="shared" si="1093"/>
        <v>0</v>
      </c>
      <c r="AE4154" s="196">
        <f t="shared" si="1094"/>
        <v>0</v>
      </c>
      <c r="AF4154" s="2">
        <f t="shared" si="1095"/>
        <v>0</v>
      </c>
      <c r="AG4154" s="2">
        <f t="shared" si="1096"/>
        <v>0</v>
      </c>
    </row>
    <row r="4155" spans="1:33">
      <c r="A4155" s="20" t="s">
        <v>24141</v>
      </c>
      <c r="B4155" s="150"/>
      <c r="C4155" s="21" t="s">
        <v>24186</v>
      </c>
      <c r="D4155" s="109" t="s">
        <v>5979</v>
      </c>
      <c r="E4155" s="109"/>
      <c r="F4155" s="391" t="s">
        <v>24201</v>
      </c>
      <c r="G4155" s="23" t="s">
        <v>13942</v>
      </c>
      <c r="H4155" s="23"/>
      <c r="I4155" s="23"/>
      <c r="J4155" s="23"/>
      <c r="K4155" s="23"/>
      <c r="L4155" s="375" t="s">
        <v>7787</v>
      </c>
      <c r="M4155" s="351"/>
      <c r="N4155" s="267">
        <f t="shared" ref="N4155" si="1099">SUM(L4155:M4155)</f>
        <v>0</v>
      </c>
      <c r="O4155" s="268">
        <f t="shared" ref="O4155" si="1100">SUM(P4155:Z4155)</f>
        <v>0</v>
      </c>
      <c r="P4155" s="239"/>
      <c r="Q4155" s="239"/>
      <c r="R4155" s="239"/>
      <c r="S4155" s="239"/>
      <c r="T4155" s="239"/>
      <c r="U4155" s="240"/>
      <c r="V4155" s="240"/>
      <c r="W4155" s="240"/>
      <c r="X4155" s="278"/>
      <c r="Y4155" s="240"/>
      <c r="Z4155" s="237"/>
      <c r="AA4155" s="279"/>
      <c r="AB4155" s="238"/>
      <c r="AC4155" s="196">
        <f t="shared" si="1092"/>
        <v>0</v>
      </c>
      <c r="AD4155" s="196">
        <f t="shared" si="1093"/>
        <v>0</v>
      </c>
      <c r="AE4155" s="196">
        <f t="shared" si="1094"/>
        <v>0</v>
      </c>
      <c r="AF4155" s="2">
        <f t="shared" si="1095"/>
        <v>0</v>
      </c>
      <c r="AG4155" s="2">
        <f t="shared" si="1096"/>
        <v>0</v>
      </c>
    </row>
    <row r="4156" spans="1:33">
      <c r="A4156" s="20" t="s">
        <v>24008</v>
      </c>
      <c r="B4156" s="150"/>
      <c r="C4156" s="21" t="s">
        <v>24101</v>
      </c>
      <c r="D4156" s="109" t="s">
        <v>5979</v>
      </c>
      <c r="E4156" s="109"/>
      <c r="F4156" s="391" t="s">
        <v>24106</v>
      </c>
      <c r="G4156" s="23" t="s">
        <v>15443</v>
      </c>
      <c r="H4156" s="23"/>
      <c r="I4156" s="23"/>
      <c r="J4156" s="23"/>
      <c r="K4156" s="23"/>
      <c r="L4156" s="375" t="s">
        <v>27620</v>
      </c>
      <c r="M4156" s="351" t="s">
        <v>45</v>
      </c>
      <c r="N4156" s="267">
        <f t="shared" si="1057"/>
        <v>0</v>
      </c>
      <c r="O4156" s="268">
        <f t="shared" si="1058"/>
        <v>900</v>
      </c>
      <c r="P4156" s="239"/>
      <c r="Q4156" s="239"/>
      <c r="R4156" s="239"/>
      <c r="S4156" s="239"/>
      <c r="T4156" s="239"/>
      <c r="U4156" s="240"/>
      <c r="V4156" s="240">
        <f>1000-400+300+2000-2000</f>
        <v>900</v>
      </c>
      <c r="W4156" s="240"/>
      <c r="X4156" s="278"/>
      <c r="Y4156" s="240"/>
      <c r="Z4156" s="237"/>
      <c r="AA4156" s="240"/>
      <c r="AB4156" s="238" t="s">
        <v>27617</v>
      </c>
      <c r="AC4156" s="196">
        <f t="shared" si="1092"/>
        <v>900</v>
      </c>
      <c r="AD4156" s="196">
        <f t="shared" si="1093"/>
        <v>900</v>
      </c>
      <c r="AE4156" s="196">
        <f t="shared" si="1094"/>
        <v>0</v>
      </c>
      <c r="AF4156" s="2">
        <f t="shared" si="1095"/>
        <v>900</v>
      </c>
      <c r="AG4156" s="2">
        <f t="shared" si="1096"/>
        <v>0</v>
      </c>
    </row>
    <row r="4157" spans="1:33">
      <c r="A4157" s="20" t="s">
        <v>24367</v>
      </c>
      <c r="B4157" s="150"/>
      <c r="C4157" s="21" t="s">
        <v>24101</v>
      </c>
      <c r="D4157" s="109" t="s">
        <v>5979</v>
      </c>
      <c r="E4157" s="109" t="s">
        <v>9189</v>
      </c>
      <c r="F4157" s="391" t="s">
        <v>24106</v>
      </c>
      <c r="G4157" s="23" t="s">
        <v>24378</v>
      </c>
      <c r="H4157" s="23"/>
      <c r="I4157" s="23"/>
      <c r="J4157" s="23"/>
      <c r="K4157" s="23"/>
      <c r="L4157" s="375" t="s">
        <v>7787</v>
      </c>
      <c r="M4157" s="351"/>
      <c r="N4157" s="267">
        <f t="shared" ref="N4157" si="1101">SUM(L4157:M4157)</f>
        <v>0</v>
      </c>
      <c r="O4157" s="268">
        <f t="shared" ref="O4157" si="1102">SUM(P4157:Z4157)</f>
        <v>0</v>
      </c>
      <c r="P4157" s="239"/>
      <c r="Q4157" s="239"/>
      <c r="R4157" s="239"/>
      <c r="S4157" s="239"/>
      <c r="T4157" s="239"/>
      <c r="U4157" s="240"/>
      <c r="V4157" s="240"/>
      <c r="W4157" s="240"/>
      <c r="X4157" s="278"/>
      <c r="Y4157" s="240"/>
      <c r="Z4157" s="237"/>
      <c r="AA4157" s="279"/>
      <c r="AB4157" s="238"/>
      <c r="AC4157" s="196">
        <f t="shared" si="1092"/>
        <v>0</v>
      </c>
      <c r="AD4157" s="196">
        <f t="shared" si="1093"/>
        <v>0</v>
      </c>
      <c r="AE4157" s="196">
        <f t="shared" si="1094"/>
        <v>0</v>
      </c>
      <c r="AF4157" s="2">
        <f t="shared" si="1095"/>
        <v>0</v>
      </c>
      <c r="AG4157" s="2">
        <f t="shared" si="1096"/>
        <v>0</v>
      </c>
    </row>
    <row r="4158" spans="1:33">
      <c r="A4158" s="20" t="s">
        <v>24248</v>
      </c>
      <c r="B4158" s="150"/>
      <c r="C4158" s="21" t="s">
        <v>24295</v>
      </c>
      <c r="D4158" s="109" t="s">
        <v>3137</v>
      </c>
      <c r="E4158" s="109"/>
      <c r="F4158" s="391" t="s">
        <v>24301</v>
      </c>
      <c r="G4158" s="23" t="s">
        <v>23440</v>
      </c>
      <c r="H4158" s="23"/>
      <c r="I4158" s="23"/>
      <c r="J4158" s="23"/>
      <c r="K4158" s="23"/>
      <c r="L4158" s="375" t="s">
        <v>7787</v>
      </c>
      <c r="M4158" s="351" t="s">
        <v>7787</v>
      </c>
      <c r="N4158" s="267">
        <f t="shared" ref="N4158" si="1103">SUM(L4158:M4158)</f>
        <v>0</v>
      </c>
      <c r="O4158" s="268">
        <f t="shared" ref="O4158" si="1104">SUM(P4158:Z4158)</f>
        <v>0</v>
      </c>
      <c r="P4158" s="239"/>
      <c r="Q4158" s="239"/>
      <c r="R4158" s="239"/>
      <c r="S4158" s="239"/>
      <c r="T4158" s="239"/>
      <c r="U4158" s="240"/>
      <c r="V4158" s="240"/>
      <c r="W4158" s="240"/>
      <c r="X4158" s="278"/>
      <c r="Y4158" s="240"/>
      <c r="Z4158" s="237"/>
      <c r="AA4158" s="279"/>
      <c r="AB4158" s="238"/>
      <c r="AC4158" s="196">
        <f t="shared" si="1092"/>
        <v>0</v>
      </c>
      <c r="AD4158" s="196">
        <f t="shared" si="1093"/>
        <v>0</v>
      </c>
      <c r="AE4158" s="196">
        <f t="shared" si="1094"/>
        <v>0</v>
      </c>
      <c r="AF4158" s="2">
        <f t="shared" si="1095"/>
        <v>0</v>
      </c>
      <c r="AG4158" s="2">
        <f t="shared" si="1096"/>
        <v>0</v>
      </c>
    </row>
    <row r="4159" spans="1:33">
      <c r="A4159" s="20" t="s">
        <v>24135</v>
      </c>
      <c r="B4159" s="150"/>
      <c r="C4159" s="21" t="s">
        <v>25110</v>
      </c>
      <c r="D4159" s="109" t="s">
        <v>5979</v>
      </c>
      <c r="E4159" s="109"/>
      <c r="F4159" s="391" t="s">
        <v>24175</v>
      </c>
      <c r="G4159" s="23" t="s">
        <v>15443</v>
      </c>
      <c r="H4159" s="23" t="s">
        <v>24209</v>
      </c>
      <c r="I4159" s="23"/>
      <c r="J4159" s="23"/>
      <c r="K4159" s="23"/>
      <c r="L4159" s="375" t="s">
        <v>45</v>
      </c>
      <c r="M4159" s="351" t="s">
        <v>45</v>
      </c>
      <c r="N4159" s="267">
        <f t="shared" ref="N4159" si="1105">SUM(L4159:M4159)</f>
        <v>0</v>
      </c>
      <c r="O4159" s="268">
        <f t="shared" ref="O4159" si="1106">SUM(P4159:Z4159)</f>
        <v>800</v>
      </c>
      <c r="P4159" s="239"/>
      <c r="Q4159" s="239"/>
      <c r="R4159" s="239"/>
      <c r="S4159" s="239"/>
      <c r="T4159" s="239"/>
      <c r="U4159" s="240">
        <v>800</v>
      </c>
      <c r="V4159" s="240"/>
      <c r="W4159" s="240"/>
      <c r="X4159" s="278"/>
      <c r="Y4159" s="240"/>
      <c r="Z4159" s="237"/>
      <c r="AA4159" s="279"/>
      <c r="AB4159" s="238"/>
      <c r="AC4159" s="196">
        <f t="shared" si="1092"/>
        <v>800</v>
      </c>
      <c r="AD4159" s="196">
        <f t="shared" si="1093"/>
        <v>800</v>
      </c>
      <c r="AE4159" s="196">
        <f t="shared" si="1094"/>
        <v>0</v>
      </c>
      <c r="AF4159" s="2">
        <f t="shared" si="1095"/>
        <v>800</v>
      </c>
      <c r="AG4159" s="2">
        <f t="shared" si="1096"/>
        <v>0</v>
      </c>
    </row>
    <row r="4160" spans="1:33">
      <c r="A4160" s="20" t="s">
        <v>25165</v>
      </c>
      <c r="B4160" s="150"/>
      <c r="C4160" s="21" t="s">
        <v>25111</v>
      </c>
      <c r="D4160" s="109" t="s">
        <v>5979</v>
      </c>
      <c r="E4160" s="109"/>
      <c r="F4160" s="391" t="s">
        <v>24175</v>
      </c>
      <c r="G4160" s="23" t="s">
        <v>15443</v>
      </c>
      <c r="H4160" s="23" t="s">
        <v>15958</v>
      </c>
      <c r="I4160" s="23"/>
      <c r="J4160" s="23"/>
      <c r="K4160" s="23"/>
      <c r="L4160" s="375">
        <f>5740+3120</f>
        <v>8860</v>
      </c>
      <c r="M4160" s="351" t="s">
        <v>45</v>
      </c>
      <c r="N4160" s="267">
        <f t="shared" ref="N4160" si="1107">SUM(L4160:M4160)</f>
        <v>8860</v>
      </c>
      <c r="O4160" s="268">
        <f t="shared" ref="O4160" si="1108">SUM(P4160:Z4160)</f>
        <v>6900</v>
      </c>
      <c r="P4160" s="239"/>
      <c r="Q4160" s="239"/>
      <c r="R4160" s="239"/>
      <c r="S4160" s="240"/>
      <c r="T4160" s="240"/>
      <c r="U4160" s="240"/>
      <c r="V4160" s="240">
        <f>4700+2900+1900+3000+1400-10800+4300+4500-3600-3600-100+900-3600+3000-3600+2900+2700</f>
        <v>6900</v>
      </c>
      <c r="W4160" s="240"/>
      <c r="X4160" s="278"/>
      <c r="Y4160" s="240"/>
      <c r="Z4160" s="237"/>
      <c r="AA4160" s="279"/>
      <c r="AB4160" s="238" t="s">
        <v>28026</v>
      </c>
      <c r="AC4160" s="196">
        <f t="shared" si="1092"/>
        <v>6900</v>
      </c>
      <c r="AD4160" s="196">
        <f t="shared" si="1093"/>
        <v>6900</v>
      </c>
      <c r="AE4160" s="196">
        <f t="shared" si="1094"/>
        <v>0</v>
      </c>
      <c r="AF4160" s="2">
        <f t="shared" si="1095"/>
        <v>6900</v>
      </c>
      <c r="AG4160" s="2">
        <f t="shared" si="1096"/>
        <v>0</v>
      </c>
    </row>
    <row r="4161" spans="1:33">
      <c r="A4161" s="20" t="s">
        <v>24418</v>
      </c>
      <c r="B4161" s="150"/>
      <c r="C4161" s="21" t="s">
        <v>24440</v>
      </c>
      <c r="D4161" s="109" t="s">
        <v>5979</v>
      </c>
      <c r="E4161" s="109"/>
      <c r="F4161" s="440" t="s">
        <v>24449</v>
      </c>
      <c r="G4161" s="23" t="s">
        <v>13942</v>
      </c>
      <c r="H4161" s="23"/>
      <c r="I4161" s="23"/>
      <c r="J4161" s="23"/>
      <c r="K4161" s="23"/>
      <c r="L4161" s="375" t="s">
        <v>45</v>
      </c>
      <c r="M4161" s="351" t="s">
        <v>7787</v>
      </c>
      <c r="N4161" s="267">
        <f t="shared" ref="N4161" si="1109">SUM(L4161:M4161)</f>
        <v>0</v>
      </c>
      <c r="O4161" s="268">
        <f t="shared" ref="O4161" si="1110">SUM(P4161:Z4161)</f>
        <v>100</v>
      </c>
      <c r="P4161" s="239"/>
      <c r="Q4161" s="239"/>
      <c r="R4161" s="239"/>
      <c r="S4161" s="239"/>
      <c r="T4161" s="239"/>
      <c r="U4161" s="240">
        <f>200-100</f>
        <v>100</v>
      </c>
      <c r="V4161" s="240"/>
      <c r="W4161" s="240"/>
      <c r="X4161" s="278"/>
      <c r="Y4161" s="240"/>
      <c r="Z4161" s="237"/>
      <c r="AA4161" s="279"/>
      <c r="AB4161" s="238" t="s">
        <v>25513</v>
      </c>
      <c r="AC4161" s="196">
        <f t="shared" si="1092"/>
        <v>100</v>
      </c>
      <c r="AD4161" s="196">
        <f t="shared" si="1093"/>
        <v>100</v>
      </c>
      <c r="AE4161" s="196">
        <f t="shared" si="1094"/>
        <v>0</v>
      </c>
      <c r="AF4161" s="2">
        <f t="shared" si="1095"/>
        <v>100</v>
      </c>
      <c r="AG4161" s="2">
        <f t="shared" si="1096"/>
        <v>0</v>
      </c>
    </row>
    <row r="4162" spans="1:33">
      <c r="A4162" s="20" t="s">
        <v>24196</v>
      </c>
      <c r="B4162" s="150"/>
      <c r="C4162" s="21" t="s">
        <v>24226</v>
      </c>
      <c r="D4162" s="109" t="s">
        <v>3927</v>
      </c>
      <c r="E4162" s="109"/>
      <c r="F4162" s="391" t="s">
        <v>24227</v>
      </c>
      <c r="G4162" s="23" t="s">
        <v>13610</v>
      </c>
      <c r="H4162" s="23"/>
      <c r="I4162" s="23"/>
      <c r="J4162" s="23"/>
      <c r="K4162" s="23"/>
      <c r="L4162" s="375"/>
      <c r="M4162" s="351"/>
      <c r="N4162" s="267">
        <f t="shared" ref="N4162:N4210" si="1111">SUM(L4162:M4162)</f>
        <v>0</v>
      </c>
      <c r="O4162" s="268">
        <f t="shared" ref="O4162:O4210" si="1112">SUM(P4162:Z4162)</f>
        <v>0</v>
      </c>
      <c r="P4162" s="239"/>
      <c r="Q4162" s="239"/>
      <c r="R4162" s="239"/>
      <c r="S4162" s="239"/>
      <c r="T4162" s="239"/>
      <c r="U4162" s="240"/>
      <c r="V4162" s="278"/>
      <c r="W4162" s="240"/>
      <c r="X4162" s="278"/>
      <c r="Y4162" s="240"/>
      <c r="Z4162" s="237"/>
      <c r="AA4162" s="279"/>
      <c r="AB4162" s="238"/>
      <c r="AC4162" s="196">
        <f t="shared" si="1092"/>
        <v>0</v>
      </c>
      <c r="AD4162" s="196">
        <f t="shared" si="1093"/>
        <v>0</v>
      </c>
      <c r="AE4162" s="196">
        <f t="shared" si="1094"/>
        <v>0</v>
      </c>
      <c r="AF4162" s="2">
        <f t="shared" si="1095"/>
        <v>0</v>
      </c>
      <c r="AG4162" s="2">
        <f t="shared" si="1096"/>
        <v>0</v>
      </c>
    </row>
    <row r="4163" spans="1:33">
      <c r="A4163" s="20" t="s">
        <v>25063</v>
      </c>
      <c r="B4163" s="150"/>
      <c r="C4163" s="21" t="s">
        <v>25147</v>
      </c>
      <c r="D4163" s="109" t="s">
        <v>3137</v>
      </c>
      <c r="E4163" s="109"/>
      <c r="F4163" s="391" t="s">
        <v>25152</v>
      </c>
      <c r="G4163" s="23" t="s">
        <v>25148</v>
      </c>
      <c r="H4163" s="23"/>
      <c r="I4163" s="23"/>
      <c r="J4163" s="23"/>
      <c r="K4163" s="23"/>
      <c r="L4163" s="375" t="s">
        <v>45</v>
      </c>
      <c r="M4163" s="351"/>
      <c r="N4163" s="267">
        <f t="shared" ref="N4163" si="1113">SUM(L4163:M4163)</f>
        <v>0</v>
      </c>
      <c r="O4163" s="268">
        <f t="shared" ref="O4163" si="1114">SUM(P4163:Z4163)</f>
        <v>100</v>
      </c>
      <c r="P4163" s="239"/>
      <c r="Q4163" s="239"/>
      <c r="R4163" s="239">
        <f>1100-1000</f>
        <v>100</v>
      </c>
      <c r="S4163" s="239"/>
      <c r="T4163" s="239"/>
      <c r="U4163" s="240"/>
      <c r="V4163" s="240"/>
      <c r="W4163" s="240"/>
      <c r="X4163" s="278"/>
      <c r="Y4163" s="240"/>
      <c r="Z4163" s="237"/>
      <c r="AA4163" s="279"/>
      <c r="AB4163" s="238" t="s">
        <v>25175</v>
      </c>
      <c r="AC4163" s="196">
        <f t="shared" si="1092"/>
        <v>100</v>
      </c>
      <c r="AD4163" s="196">
        <f t="shared" si="1093"/>
        <v>100</v>
      </c>
      <c r="AE4163" s="196">
        <f t="shared" si="1094"/>
        <v>0</v>
      </c>
      <c r="AF4163" s="2">
        <f t="shared" si="1095"/>
        <v>100</v>
      </c>
      <c r="AG4163" s="2">
        <f t="shared" si="1096"/>
        <v>0</v>
      </c>
    </row>
    <row r="4164" spans="1:33">
      <c r="A4164" s="20" t="s">
        <v>24424</v>
      </c>
      <c r="B4164" s="150"/>
      <c r="C4164" s="21" t="s">
        <v>24468</v>
      </c>
      <c r="D4164" s="109" t="s">
        <v>5979</v>
      </c>
      <c r="E4164" s="109" t="s">
        <v>24469</v>
      </c>
      <c r="F4164" s="391" t="s">
        <v>24474</v>
      </c>
      <c r="G4164" s="23" t="s">
        <v>24470</v>
      </c>
      <c r="H4164" s="23" t="s">
        <v>13942</v>
      </c>
      <c r="I4164" s="23" t="s">
        <v>24888</v>
      </c>
      <c r="J4164" s="23"/>
      <c r="K4164" s="23"/>
      <c r="L4164" s="375"/>
      <c r="M4164" s="351" t="s">
        <v>7787</v>
      </c>
      <c r="N4164" s="267">
        <f t="shared" ref="N4164" si="1115">SUM(L4164:M4164)</f>
        <v>0</v>
      </c>
      <c r="O4164" s="268">
        <f t="shared" ref="O4164" si="1116">SUM(P4164:Z4164)</f>
        <v>0</v>
      </c>
      <c r="P4164" s="239"/>
      <c r="Q4164" s="239"/>
      <c r="R4164" s="239"/>
      <c r="S4164" s="239"/>
      <c r="T4164" s="239"/>
      <c r="U4164" s="240"/>
      <c r="V4164" s="240"/>
      <c r="W4164" s="240"/>
      <c r="X4164" s="278"/>
      <c r="Y4164" s="240"/>
      <c r="Z4164" s="237"/>
      <c r="AA4164" s="279"/>
      <c r="AB4164" s="238"/>
      <c r="AC4164" s="196">
        <f t="shared" si="1092"/>
        <v>0</v>
      </c>
      <c r="AD4164" s="196">
        <f t="shared" si="1093"/>
        <v>0</v>
      </c>
      <c r="AE4164" s="196">
        <f t="shared" si="1094"/>
        <v>0</v>
      </c>
      <c r="AF4164" s="2">
        <f t="shared" si="1095"/>
        <v>0</v>
      </c>
      <c r="AG4164" s="2">
        <f t="shared" si="1096"/>
        <v>0</v>
      </c>
    </row>
    <row r="4165" spans="1:33">
      <c r="A4165" s="20" t="s">
        <v>24189</v>
      </c>
      <c r="B4165" s="150"/>
      <c r="C4165" s="21" t="s">
        <v>24203</v>
      </c>
      <c r="D4165" s="109" t="s">
        <v>5979</v>
      </c>
      <c r="E4165" s="109"/>
      <c r="F4165" s="391" t="s">
        <v>24206</v>
      </c>
      <c r="G4165" s="23" t="s">
        <v>15443</v>
      </c>
      <c r="H4165" s="23"/>
      <c r="I4165" s="23"/>
      <c r="J4165" s="23"/>
      <c r="K4165" s="23"/>
      <c r="L4165" s="375"/>
      <c r="M4165" s="351" t="s">
        <v>7787</v>
      </c>
      <c r="N4165" s="267">
        <f t="shared" si="1111"/>
        <v>0</v>
      </c>
      <c r="O4165" s="268">
        <f t="shared" si="1112"/>
        <v>300</v>
      </c>
      <c r="P4165" s="239"/>
      <c r="Q4165" s="239"/>
      <c r="R4165" s="239"/>
      <c r="S4165" s="239"/>
      <c r="T4165" s="239"/>
      <c r="U4165" s="240"/>
      <c r="V4165" s="240">
        <f>400-300+500-300</f>
        <v>300</v>
      </c>
      <c r="W4165" s="240"/>
      <c r="X4165" s="278"/>
      <c r="Y4165" s="240"/>
      <c r="Z4165" s="237"/>
      <c r="AA4165" s="279"/>
      <c r="AB4165" s="238" t="s">
        <v>24560</v>
      </c>
      <c r="AC4165" s="196">
        <f t="shared" si="1092"/>
        <v>300</v>
      </c>
      <c r="AD4165" s="196">
        <f t="shared" si="1093"/>
        <v>300</v>
      </c>
      <c r="AE4165" s="196">
        <f t="shared" si="1094"/>
        <v>0</v>
      </c>
      <c r="AF4165" s="2">
        <f t="shared" si="1095"/>
        <v>300</v>
      </c>
      <c r="AG4165" s="2">
        <f t="shared" si="1096"/>
        <v>0</v>
      </c>
    </row>
    <row r="4166" spans="1:33">
      <c r="A4166" s="20" t="s">
        <v>24263</v>
      </c>
      <c r="B4166" s="150"/>
      <c r="C4166" s="21" t="s">
        <v>24373</v>
      </c>
      <c r="D4166" s="109" t="s">
        <v>3137</v>
      </c>
      <c r="E4166" s="109"/>
      <c r="F4166" s="391" t="s">
        <v>24374</v>
      </c>
      <c r="G4166" s="23" t="s">
        <v>6133</v>
      </c>
      <c r="H4166" s="23" t="s">
        <v>24508</v>
      </c>
      <c r="I4166" s="23"/>
      <c r="J4166" s="23"/>
      <c r="K4166" s="23"/>
      <c r="L4166" s="375" t="s">
        <v>7787</v>
      </c>
      <c r="M4166" s="351" t="s">
        <v>7787</v>
      </c>
      <c r="N4166" s="267">
        <f t="shared" ref="N4166" si="1117">SUM(L4166:M4166)</f>
        <v>0</v>
      </c>
      <c r="O4166" s="268">
        <f t="shared" ref="O4166" si="1118">SUM(P4166:Z4166)</f>
        <v>1000</v>
      </c>
      <c r="P4166" s="239"/>
      <c r="Q4166" s="239">
        <f>750+650-100-200-500-200+1100-500</f>
        <v>1000</v>
      </c>
      <c r="R4166" s="239"/>
      <c r="S4166" s="239"/>
      <c r="T4166" s="239"/>
      <c r="U4166" s="240"/>
      <c r="V4166" s="240"/>
      <c r="W4166" s="240"/>
      <c r="X4166" s="278"/>
      <c r="Y4166" s="240"/>
      <c r="Z4166" s="237"/>
      <c r="AA4166" s="279"/>
      <c r="AB4166" s="238" t="s">
        <v>25075</v>
      </c>
      <c r="AC4166" s="196">
        <f t="shared" si="1092"/>
        <v>1000</v>
      </c>
      <c r="AD4166" s="196">
        <f t="shared" si="1093"/>
        <v>1000</v>
      </c>
      <c r="AE4166" s="196">
        <f t="shared" si="1094"/>
        <v>0</v>
      </c>
      <c r="AF4166" s="2">
        <f t="shared" si="1095"/>
        <v>1000</v>
      </c>
      <c r="AG4166" s="2">
        <f t="shared" si="1096"/>
        <v>0</v>
      </c>
    </row>
    <row r="4167" spans="1:33">
      <c r="A4167" s="20" t="s">
        <v>24245</v>
      </c>
      <c r="B4167" s="150"/>
      <c r="C4167" s="21" t="s">
        <v>24279</v>
      </c>
      <c r="D4167" s="109" t="s">
        <v>3137</v>
      </c>
      <c r="E4167" s="109"/>
      <c r="F4167" s="391" t="s">
        <v>24287</v>
      </c>
      <c r="G4167" s="23" t="s">
        <v>6133</v>
      </c>
      <c r="H4167" s="23" t="s">
        <v>24375</v>
      </c>
      <c r="I4167" s="23"/>
      <c r="J4167" s="23"/>
      <c r="K4167" s="23"/>
      <c r="L4167" s="375" t="s">
        <v>7787</v>
      </c>
      <c r="M4167" s="351"/>
      <c r="N4167" s="267">
        <f t="shared" ref="N4167" si="1119">SUM(L4167:M4167)</f>
        <v>0</v>
      </c>
      <c r="O4167" s="268">
        <f t="shared" ref="O4167" si="1120">SUM(P4167:Z4167)</f>
        <v>0</v>
      </c>
      <c r="P4167" s="239"/>
      <c r="Q4167" s="239"/>
      <c r="R4167" s="239"/>
      <c r="S4167" s="239"/>
      <c r="T4167" s="239"/>
      <c r="U4167" s="240"/>
      <c r="V4167" s="240"/>
      <c r="W4167" s="240"/>
      <c r="X4167" s="278"/>
      <c r="Y4167" s="240"/>
      <c r="Z4167" s="237"/>
      <c r="AA4167" s="279"/>
      <c r="AB4167" s="238"/>
      <c r="AC4167" s="196">
        <f t="shared" si="1092"/>
        <v>0</v>
      </c>
      <c r="AD4167" s="196">
        <f t="shared" si="1093"/>
        <v>0</v>
      </c>
      <c r="AE4167" s="196">
        <f t="shared" si="1094"/>
        <v>0</v>
      </c>
      <c r="AF4167" s="2">
        <f t="shared" si="1095"/>
        <v>0</v>
      </c>
      <c r="AG4167" s="2">
        <f t="shared" si="1096"/>
        <v>0</v>
      </c>
    </row>
    <row r="4168" spans="1:33">
      <c r="A4168" s="20" t="s">
        <v>26754</v>
      </c>
      <c r="B4168" s="150"/>
      <c r="C4168" s="21" t="s">
        <v>24279</v>
      </c>
      <c r="D4168" s="109" t="s">
        <v>3137</v>
      </c>
      <c r="E4168" s="109" t="s">
        <v>25639</v>
      </c>
      <c r="F4168" s="391" t="s">
        <v>25652</v>
      </c>
      <c r="G4168" s="23" t="s">
        <v>16333</v>
      </c>
      <c r="H4168" s="23"/>
      <c r="I4168" s="23"/>
      <c r="J4168" s="23"/>
      <c r="K4168" s="23"/>
      <c r="L4168" s="375" t="s">
        <v>45</v>
      </c>
      <c r="M4168" s="351" t="s">
        <v>45</v>
      </c>
      <c r="N4168" s="267">
        <f t="shared" ref="N4168" si="1121">SUM(L4168:M4168)</f>
        <v>0</v>
      </c>
      <c r="O4168" s="268">
        <f t="shared" ref="O4168" si="1122">SUM(P4168:Z4168)</f>
        <v>100</v>
      </c>
      <c r="P4168" s="239"/>
      <c r="Q4168" s="239"/>
      <c r="R4168" s="239"/>
      <c r="S4168" s="239"/>
      <c r="T4168" s="239"/>
      <c r="U4168" s="240">
        <f>400-300</f>
        <v>100</v>
      </c>
      <c r="V4168" s="240"/>
      <c r="W4168" s="240"/>
      <c r="X4168" s="278"/>
      <c r="Y4168" s="240"/>
      <c r="Z4168" s="237"/>
      <c r="AA4168" s="279"/>
      <c r="AB4168" s="238" t="s">
        <v>25650</v>
      </c>
      <c r="AC4168" s="196">
        <f t="shared" si="1092"/>
        <v>100</v>
      </c>
      <c r="AD4168" s="196">
        <f t="shared" si="1093"/>
        <v>100</v>
      </c>
      <c r="AE4168" s="196">
        <f t="shared" si="1094"/>
        <v>0</v>
      </c>
      <c r="AF4168" s="2">
        <f t="shared" si="1095"/>
        <v>100</v>
      </c>
      <c r="AG4168" s="2">
        <f t="shared" si="1096"/>
        <v>0</v>
      </c>
    </row>
    <row r="4169" spans="1:33">
      <c r="A4169" s="20" t="s">
        <v>24246</v>
      </c>
      <c r="B4169" s="150"/>
      <c r="C4169" s="21" t="s">
        <v>24280</v>
      </c>
      <c r="D4169" s="109" t="s">
        <v>5979</v>
      </c>
      <c r="E4169" s="109"/>
      <c r="F4169" s="391" t="s">
        <v>24288</v>
      </c>
      <c r="G4169" s="23" t="s">
        <v>15443</v>
      </c>
      <c r="H4169" s="23" t="s">
        <v>25717</v>
      </c>
      <c r="I4169" s="23" t="s">
        <v>25788</v>
      </c>
      <c r="J4169" s="23" t="s">
        <v>25803</v>
      </c>
      <c r="K4169" s="23"/>
      <c r="L4169" s="375" t="s">
        <v>27439</v>
      </c>
      <c r="M4169" s="351" t="s">
        <v>27399</v>
      </c>
      <c r="N4169" s="267">
        <f t="shared" ref="N4169" si="1123">SUM(L4169:M4169)</f>
        <v>0</v>
      </c>
      <c r="O4169" s="268">
        <f t="shared" ref="O4169" si="1124">SUM(P4169:Z4169)</f>
        <v>0</v>
      </c>
      <c r="P4169" s="239"/>
      <c r="Q4169" s="239"/>
      <c r="R4169" s="239"/>
      <c r="S4169" s="239"/>
      <c r="T4169" s="239"/>
      <c r="U4169" s="240"/>
      <c r="V4169" s="240"/>
      <c r="W4169" s="240"/>
      <c r="X4169" s="278"/>
      <c r="Y4169" s="240"/>
      <c r="Z4169" s="237"/>
      <c r="AA4169" s="279"/>
      <c r="AB4169" s="238"/>
      <c r="AC4169" s="196">
        <f t="shared" si="1092"/>
        <v>0</v>
      </c>
      <c r="AD4169" s="196">
        <f t="shared" si="1093"/>
        <v>0</v>
      </c>
      <c r="AE4169" s="196">
        <f t="shared" si="1094"/>
        <v>0</v>
      </c>
      <c r="AF4169" s="2">
        <f t="shared" si="1095"/>
        <v>0</v>
      </c>
      <c r="AG4169" s="2">
        <f t="shared" si="1096"/>
        <v>0</v>
      </c>
    </row>
    <row r="4170" spans="1:33">
      <c r="A4170" s="20"/>
      <c r="B4170" s="150"/>
      <c r="C4170" s="21" t="s">
        <v>27417</v>
      </c>
      <c r="D4170" s="109" t="s">
        <v>20994</v>
      </c>
      <c r="E4170" s="109"/>
      <c r="F4170" s="391" t="s">
        <v>27414</v>
      </c>
      <c r="G4170" s="23" t="s">
        <v>25826</v>
      </c>
      <c r="H4170" s="23" t="s">
        <v>27415</v>
      </c>
      <c r="I4170" s="23" t="s">
        <v>27416</v>
      </c>
      <c r="J4170" s="23" t="s">
        <v>5416</v>
      </c>
      <c r="K4170" s="23"/>
      <c r="L4170" s="375"/>
      <c r="M4170" s="351" t="s">
        <v>7787</v>
      </c>
      <c r="N4170" s="267">
        <f t="shared" ref="N4170" si="1125">SUM(L4170:M4170)</f>
        <v>0</v>
      </c>
      <c r="O4170" s="268">
        <f t="shared" ref="O4170" si="1126">SUM(P4170:Z4170)</f>
        <v>15800</v>
      </c>
      <c r="P4170" s="239"/>
      <c r="Q4170" s="239"/>
      <c r="R4170" s="239"/>
      <c r="S4170" s="239"/>
      <c r="T4170" s="239"/>
      <c r="U4170" s="240"/>
      <c r="V4170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+3600-4800-2500+3800-3000-1800-700-700</f>
        <v>15800</v>
      </c>
      <c r="W4170" s="240"/>
      <c r="X4170" s="278"/>
      <c r="Y4170" s="240"/>
      <c r="Z4170" s="237"/>
      <c r="AA4170" s="279"/>
      <c r="AB4170" s="238" t="s">
        <v>27924</v>
      </c>
      <c r="AC4170" s="196">
        <f t="shared" ref="AC4170" si="1127">SUM(P4170:AA4170)</f>
        <v>15800</v>
      </c>
      <c r="AD4170" s="196">
        <f t="shared" ref="AD4170" si="1128">SUM(P4170:AB4170)</f>
        <v>15800</v>
      </c>
      <c r="AE4170" s="196">
        <f t="shared" ref="AE4170" si="1129">SUM(AC4170-AD4170)</f>
        <v>0</v>
      </c>
      <c r="AF4170" s="2">
        <f t="shared" ref="AF4170" si="1130">+AC4170</f>
        <v>15800</v>
      </c>
      <c r="AG4170" s="2">
        <f t="shared" ref="AG4170" si="1131">+AC4170-AF4170</f>
        <v>0</v>
      </c>
    </row>
    <row r="4171" spans="1:33">
      <c r="A4171" s="20" t="s">
        <v>27103</v>
      </c>
      <c r="B4171" s="150"/>
      <c r="C4171" s="21" t="s">
        <v>24280</v>
      </c>
      <c r="D4171" s="109" t="s">
        <v>5979</v>
      </c>
      <c r="E4171" s="109" t="s">
        <v>9189</v>
      </c>
      <c r="F4171" s="391" t="s">
        <v>24288</v>
      </c>
      <c r="G4171" s="23" t="s">
        <v>13240</v>
      </c>
      <c r="H4171" s="23"/>
      <c r="I4171" s="23"/>
      <c r="J4171" s="23"/>
      <c r="K4171" s="23"/>
      <c r="L4171" s="375" t="s">
        <v>45</v>
      </c>
      <c r="M4171" s="351"/>
      <c r="N4171" s="267">
        <f t="shared" ref="N4171" si="1132">SUM(L4171:M4171)</f>
        <v>0</v>
      </c>
      <c r="O4171" s="268">
        <f t="shared" ref="O4171" si="1133">SUM(P4171:Z4171)</f>
        <v>0</v>
      </c>
      <c r="P4171" s="239"/>
      <c r="Q4171" s="239"/>
      <c r="R4171" s="239"/>
      <c r="S4171" s="239"/>
      <c r="T4171" s="239"/>
      <c r="U4171" s="240"/>
      <c r="V4171" s="240"/>
      <c r="W4171" s="240"/>
      <c r="X4171" s="278"/>
      <c r="Y4171" s="240"/>
      <c r="Z4171" s="237"/>
      <c r="AA4171" s="279"/>
      <c r="AB4171" s="238"/>
      <c r="AC4171" s="196"/>
      <c r="AD4171" s="196"/>
      <c r="AE4171" s="196"/>
    </row>
    <row r="4172" spans="1:33">
      <c r="A4172" s="20" t="s">
        <v>24485</v>
      </c>
      <c r="B4172" s="150"/>
      <c r="C4172" s="21" t="s">
        <v>24541</v>
      </c>
      <c r="D4172" s="109" t="s">
        <v>3137</v>
      </c>
      <c r="E4172" s="109"/>
      <c r="F4172" s="391" t="s">
        <v>24542</v>
      </c>
      <c r="G4172" s="23" t="s">
        <v>15071</v>
      </c>
      <c r="H4172" s="23" t="s">
        <v>25455</v>
      </c>
      <c r="I4172" s="23"/>
      <c r="J4172" s="23"/>
      <c r="K4172" s="23"/>
      <c r="L4172" s="375" t="s">
        <v>45</v>
      </c>
      <c r="M4172" s="351" t="s">
        <v>45</v>
      </c>
      <c r="N4172" s="267">
        <f t="shared" ref="N4172" si="1134">SUM(L4172:M4172)</f>
        <v>0</v>
      </c>
      <c r="O4172" s="268">
        <f t="shared" ref="O4172" si="1135">SUM(P4172:Z4172)</f>
        <v>150</v>
      </c>
      <c r="P4172" s="239"/>
      <c r="Q4172" s="239"/>
      <c r="R4172" s="239"/>
      <c r="S4172" s="239"/>
      <c r="T4172" s="239"/>
      <c r="U4172" s="240">
        <f>500-300-100+550-400+450-400+550-500+300-500</f>
        <v>150</v>
      </c>
      <c r="V4172" s="240"/>
      <c r="W4172" s="240"/>
      <c r="X4172" s="278"/>
      <c r="Y4172" s="240"/>
      <c r="Z4172" s="237"/>
      <c r="AA4172" s="279"/>
      <c r="AB4172" s="238" t="s">
        <v>26484</v>
      </c>
      <c r="AC4172" s="196">
        <f t="shared" si="1092"/>
        <v>150</v>
      </c>
      <c r="AD4172" s="196">
        <f t="shared" si="1093"/>
        <v>150</v>
      </c>
      <c r="AE4172" s="196">
        <f t="shared" si="1094"/>
        <v>0</v>
      </c>
      <c r="AF4172" s="2">
        <f t="shared" si="1095"/>
        <v>150</v>
      </c>
      <c r="AG4172" s="2">
        <f t="shared" si="1096"/>
        <v>0</v>
      </c>
    </row>
    <row r="4173" spans="1:33">
      <c r="A4173" s="20" t="s">
        <v>24198</v>
      </c>
      <c r="B4173" s="150"/>
      <c r="C4173" s="21" t="s">
        <v>24556</v>
      </c>
      <c r="D4173" s="109" t="s">
        <v>5979</v>
      </c>
      <c r="E4173" s="109"/>
      <c r="F4173" s="391" t="s">
        <v>24236</v>
      </c>
      <c r="G4173" s="23" t="s">
        <v>15443</v>
      </c>
      <c r="H4173" s="23" t="s">
        <v>25229</v>
      </c>
      <c r="I4173" s="23" t="s">
        <v>26135</v>
      </c>
      <c r="J4173" s="23"/>
      <c r="K4173" s="23"/>
      <c r="L4173" s="375" t="s">
        <v>45</v>
      </c>
      <c r="M4173" s="351" t="s">
        <v>45</v>
      </c>
      <c r="N4173" s="267">
        <f t="shared" ref="N4173" si="1136">SUM(L4173:M4173)</f>
        <v>0</v>
      </c>
      <c r="O4173" s="268">
        <f t="shared" ref="O4173" si="1137">SUM(P4173:Z4173)</f>
        <v>3000</v>
      </c>
      <c r="P4173" s="239"/>
      <c r="Q4173" s="239"/>
      <c r="R4173" s="239"/>
      <c r="S4173" s="239"/>
      <c r="T4173" s="239"/>
      <c r="U4173" s="240"/>
      <c r="V4173" s="240">
        <f>1800+3200+3600+3100-10400+3000+3300+3200+3000+3200+3100-15400+3200+3200+3200-3600+3100+3200-14200+3400+3200-200+3000+3200-3600+3100+3000+3000-10800+3200+3300+3200+3600+3600-7200+3100+3600+3100+3400-3600-3600-3600-19200</f>
        <v>3000</v>
      </c>
      <c r="W4173" s="240"/>
      <c r="X4173" s="278"/>
      <c r="Y4173" s="240"/>
      <c r="Z4173" s="237"/>
      <c r="AA4173" s="279"/>
      <c r="AB4173" s="238" t="s">
        <v>27861</v>
      </c>
      <c r="AC4173" s="196">
        <f t="shared" si="1092"/>
        <v>3000</v>
      </c>
      <c r="AD4173" s="196">
        <f t="shared" si="1093"/>
        <v>3000</v>
      </c>
      <c r="AE4173" s="196">
        <f t="shared" si="1094"/>
        <v>0</v>
      </c>
      <c r="AF4173" s="2">
        <f t="shared" si="1095"/>
        <v>3000</v>
      </c>
      <c r="AG4173" s="2">
        <f t="shared" si="1096"/>
        <v>0</v>
      </c>
    </row>
    <row r="4174" spans="1:33" ht="18.600000000000001" customHeight="1">
      <c r="A4174" s="20" t="s">
        <v>24533</v>
      </c>
      <c r="B4174" s="150"/>
      <c r="C4174" s="21" t="s">
        <v>24557</v>
      </c>
      <c r="D4174" s="109" t="s">
        <v>5979</v>
      </c>
      <c r="E4174" s="109"/>
      <c r="F4174" s="391" t="s">
        <v>24236</v>
      </c>
      <c r="G4174" s="23" t="s">
        <v>15443</v>
      </c>
      <c r="H4174" s="23" t="s">
        <v>26134</v>
      </c>
      <c r="I4174" s="23"/>
      <c r="J4174" s="23"/>
      <c r="K4174" s="23"/>
      <c r="L4174" s="375" t="s">
        <v>45</v>
      </c>
      <c r="M4174" s="351" t="s">
        <v>45</v>
      </c>
      <c r="N4174" s="267">
        <f t="shared" ref="N4174" si="1138">SUM(L4174:M4174)</f>
        <v>0</v>
      </c>
      <c r="O4174" s="268">
        <f t="shared" ref="O4174" si="1139">SUM(P4174:Z4174)</f>
        <v>11400</v>
      </c>
      <c r="P4174" s="239"/>
      <c r="Q4174" s="239"/>
      <c r="R4174" s="239"/>
      <c r="S4174" s="239"/>
      <c r="T4174" s="239"/>
      <c r="U4174" s="240">
        <f>3400+3200-400+3200+3300+2800+2100+2800-6400-8800+3200+3300+3000+2800+3800+3100-10800+3000+3000+3200-19800+3500+3000+3300+3200+3100-3600+2200+2800+3600-18000+3600+3200-3600+3400+3500+2800+3800-5700-13500+3200+3200+2500+3000+3200+3400-3600+3200+3600+500-14400</f>
        <v>11400</v>
      </c>
      <c r="V4174" s="240"/>
      <c r="W4174" s="240"/>
      <c r="X4174" s="278"/>
      <c r="Y4174" s="240"/>
      <c r="Z4174" s="237"/>
      <c r="AA4174" s="279"/>
      <c r="AB4174" s="238" t="s">
        <v>27854</v>
      </c>
      <c r="AC4174" s="196">
        <f t="shared" si="1092"/>
        <v>11400</v>
      </c>
      <c r="AD4174" s="196">
        <f t="shared" si="1093"/>
        <v>11400</v>
      </c>
      <c r="AE4174" s="196">
        <f t="shared" si="1094"/>
        <v>0</v>
      </c>
      <c r="AF4174" s="2">
        <f t="shared" si="1095"/>
        <v>11400</v>
      </c>
      <c r="AG4174" s="2">
        <f t="shared" si="1096"/>
        <v>0</v>
      </c>
    </row>
    <row r="4175" spans="1:33" ht="18.600000000000001" customHeight="1">
      <c r="A4175" s="20" t="s">
        <v>26755</v>
      </c>
      <c r="B4175" s="150"/>
      <c r="C4175" s="21" t="s">
        <v>26507</v>
      </c>
      <c r="D4175" s="109" t="s">
        <v>5979</v>
      </c>
      <c r="E4175" s="109" t="s">
        <v>26508</v>
      </c>
      <c r="F4175" s="391" t="s">
        <v>24236</v>
      </c>
      <c r="G4175" s="23" t="s">
        <v>26509</v>
      </c>
      <c r="H4175" s="23"/>
      <c r="I4175" s="23"/>
      <c r="J4175" s="23"/>
      <c r="K4175" s="23"/>
      <c r="L4175" s="375"/>
      <c r="M4175" s="351"/>
      <c r="N4175" s="267">
        <f t="shared" ref="N4175" si="1140">SUM(L4175:M4175)</f>
        <v>0</v>
      </c>
      <c r="O4175" s="268">
        <f t="shared" ref="O4175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>
        <f t="shared" si="1092"/>
        <v>0</v>
      </c>
      <c r="AD4175" s="196">
        <f t="shared" si="1093"/>
        <v>0</v>
      </c>
      <c r="AE4175" s="196">
        <f t="shared" si="1094"/>
        <v>0</v>
      </c>
      <c r="AF4175" s="2">
        <f t="shared" si="1095"/>
        <v>0</v>
      </c>
      <c r="AG4175" s="2">
        <f t="shared" si="1096"/>
        <v>0</v>
      </c>
    </row>
    <row r="4176" spans="1:33">
      <c r="A4176" s="20" t="s">
        <v>24851</v>
      </c>
      <c r="B4176" s="150"/>
      <c r="C4176" s="21" t="s">
        <v>24816</v>
      </c>
      <c r="D4176" s="109" t="s">
        <v>5979</v>
      </c>
      <c r="E4176" s="109"/>
      <c r="F4176" s="391" t="s">
        <v>24236</v>
      </c>
      <c r="G4176" s="23" t="s">
        <v>15443</v>
      </c>
      <c r="H4176" s="23" t="s">
        <v>26134</v>
      </c>
      <c r="I4176" s="23"/>
      <c r="J4176" s="23"/>
      <c r="K4176" s="23"/>
      <c r="L4176" s="375" t="s">
        <v>45</v>
      </c>
      <c r="M4176" s="351" t="s">
        <v>45</v>
      </c>
      <c r="N4176" s="267">
        <f t="shared" ref="N4176" si="1142">SUM(L4176:M4176)</f>
        <v>0</v>
      </c>
      <c r="O4176" s="268">
        <f t="shared" ref="O4176" si="1143">SUM(P4176:Z4176)</f>
        <v>1500</v>
      </c>
      <c r="P4176" s="239"/>
      <c r="Q4176" s="239"/>
      <c r="R4176" s="239"/>
      <c r="S4176" s="239"/>
      <c r="T4176" s="239"/>
      <c r="U4176" s="240"/>
      <c r="V4176" s="240">
        <f>3200+3000+3100+3200+3600+2900-18000+3200+3100+3200+3200+3400+3300-14400+3000+3400+3200+3100+3400-15600+3400-3600+2700+3400-3600+3200+3600+2600-3600+3500-2200-14400</f>
        <v>1500</v>
      </c>
      <c r="W4176" s="240"/>
      <c r="X4176" s="278"/>
      <c r="Y4176" s="240"/>
      <c r="Z4176" s="237"/>
      <c r="AA4176" s="279"/>
      <c r="AB4176" s="238" t="s">
        <v>27807</v>
      </c>
      <c r="AC4176" s="196">
        <f t="shared" si="1092"/>
        <v>1500</v>
      </c>
      <c r="AD4176" s="196">
        <f t="shared" si="1093"/>
        <v>1500</v>
      </c>
      <c r="AE4176" s="196">
        <f t="shared" si="1094"/>
        <v>0</v>
      </c>
      <c r="AF4176" s="2">
        <f t="shared" si="1095"/>
        <v>1500</v>
      </c>
      <c r="AG4176" s="2">
        <f t="shared" si="1096"/>
        <v>0</v>
      </c>
    </row>
    <row r="4177" spans="1:33">
      <c r="A4177" s="20" t="s">
        <v>26756</v>
      </c>
      <c r="B4177" s="150"/>
      <c r="C4177" s="21" t="s">
        <v>25444</v>
      </c>
      <c r="D4177" s="109" t="s">
        <v>5979</v>
      </c>
      <c r="E4177" s="109"/>
      <c r="F4177" s="391" t="s">
        <v>24236</v>
      </c>
      <c r="G4177" s="23" t="s">
        <v>15443</v>
      </c>
      <c r="H4177" s="23" t="s">
        <v>26134</v>
      </c>
      <c r="I4177" s="23"/>
      <c r="J4177" s="23"/>
      <c r="K4177" s="23"/>
      <c r="L4177" s="375" t="s">
        <v>45</v>
      </c>
      <c r="M4177" s="351" t="s">
        <v>45</v>
      </c>
      <c r="N4177" s="267">
        <f t="shared" ref="N4177:N4185" si="1144">SUM(L4177:M4177)</f>
        <v>0</v>
      </c>
      <c r="O4177" s="268">
        <f t="shared" ref="O4177:O4185" si="1145">SUM(P4177:Z4177)</f>
        <v>0</v>
      </c>
      <c r="P4177" s="239"/>
      <c r="Q4177" s="239"/>
      <c r="R4177" s="239"/>
      <c r="S4177" s="239"/>
      <c r="T4177" s="239"/>
      <c r="U4177" s="240"/>
      <c r="V4177" s="240"/>
      <c r="W4177" s="240"/>
      <c r="X4177" s="278"/>
      <c r="Y4177" s="240"/>
      <c r="Z4177" s="237"/>
      <c r="AA4177" s="279"/>
      <c r="AB4177" s="238"/>
      <c r="AC4177" s="196">
        <f t="shared" si="1092"/>
        <v>0</v>
      </c>
      <c r="AD4177" s="196">
        <f t="shared" si="1093"/>
        <v>0</v>
      </c>
      <c r="AE4177" s="196">
        <f t="shared" si="1094"/>
        <v>0</v>
      </c>
      <c r="AF4177" s="2">
        <f t="shared" si="1095"/>
        <v>0</v>
      </c>
      <c r="AG4177" s="2">
        <f t="shared" si="1096"/>
        <v>0</v>
      </c>
    </row>
    <row r="4178" spans="1:33">
      <c r="A4178" s="20"/>
      <c r="B4178" s="150"/>
      <c r="C4178" s="21" t="s">
        <v>27558</v>
      </c>
      <c r="D4178" s="109" t="s">
        <v>5979</v>
      </c>
      <c r="E4178" s="109"/>
      <c r="F4178" s="391" t="s">
        <v>24236</v>
      </c>
      <c r="G4178" s="23" t="s">
        <v>27559</v>
      </c>
      <c r="H4178" s="23"/>
      <c r="I4178" s="23"/>
      <c r="J4178" s="23"/>
      <c r="K4178" s="23"/>
      <c r="L4178" s="375" t="s">
        <v>27639</v>
      </c>
      <c r="M4178" s="351"/>
      <c r="N4178" s="267">
        <f t="shared" ref="N4178" si="1146">SUM(L4178:M4178)</f>
        <v>0</v>
      </c>
      <c r="O4178" s="268">
        <f t="shared" ref="O4178" si="1147">SUM(P4178:Z4178)</f>
        <v>0</v>
      </c>
      <c r="P4178" s="239"/>
      <c r="Q4178" s="239"/>
      <c r="R4178" s="239"/>
      <c r="S4178" s="239"/>
      <c r="T4178" s="239"/>
      <c r="U4178" s="240"/>
      <c r="V4178" s="240"/>
      <c r="W4178" s="240"/>
      <c r="X4178" s="278"/>
      <c r="Y4178" s="240"/>
      <c r="Z4178" s="237"/>
      <c r="AA4178" s="279"/>
      <c r="AB4178" s="238"/>
      <c r="AC4178" s="196"/>
      <c r="AD4178" s="196"/>
      <c r="AE4178" s="196"/>
    </row>
    <row r="4179" spans="1:33">
      <c r="A4179" s="20"/>
      <c r="B4179" s="150"/>
      <c r="C4179" s="21" t="s">
        <v>27570</v>
      </c>
      <c r="D4179" s="109" t="s">
        <v>20994</v>
      </c>
      <c r="E4179" s="109"/>
      <c r="F4179" s="391" t="s">
        <v>24236</v>
      </c>
      <c r="G4179" s="23" t="s">
        <v>27569</v>
      </c>
      <c r="H4179" s="23"/>
      <c r="I4179" s="23"/>
      <c r="J4179" s="23"/>
      <c r="K4179" s="23"/>
      <c r="L4179" s="375"/>
      <c r="M4179" s="351"/>
      <c r="N4179" s="267">
        <f t="shared" ref="N4179" si="1148">SUM(L4179:M4179)</f>
        <v>0</v>
      </c>
      <c r="O4179" s="268">
        <f t="shared" ref="O4179" si="1149">SUM(P4179:Z4179)</f>
        <v>0</v>
      </c>
      <c r="P4179" s="239"/>
      <c r="Q4179" s="239"/>
      <c r="R4179" s="239"/>
      <c r="S4179" s="239"/>
      <c r="T4179" s="239"/>
      <c r="U4179" s="240"/>
      <c r="V4179" s="240"/>
      <c r="W4179" s="240"/>
      <c r="X4179" s="278"/>
      <c r="Y4179" s="240"/>
      <c r="Z4179" s="237"/>
      <c r="AA4179" s="279"/>
      <c r="AB4179" s="238"/>
      <c r="AC4179" s="196"/>
      <c r="AD4179" s="196"/>
      <c r="AE4179" s="196"/>
    </row>
    <row r="4180" spans="1:33">
      <c r="A4180" s="20"/>
      <c r="B4180" s="150"/>
      <c r="C4180" s="21" t="s">
        <v>27814</v>
      </c>
      <c r="D4180" s="109" t="s">
        <v>20994</v>
      </c>
      <c r="E4180" s="109"/>
      <c r="F4180" s="391"/>
      <c r="G4180" s="23"/>
      <c r="H4180" s="23"/>
      <c r="I4180" s="23"/>
      <c r="J4180" s="23"/>
      <c r="K4180" s="23"/>
      <c r="L4180" s="375"/>
      <c r="M4180" s="351"/>
      <c r="N4180" s="267">
        <f t="shared" ref="N4180:N4181" si="1150">SUM(L4180:M4180)</f>
        <v>0</v>
      </c>
      <c r="O4180" s="268">
        <f t="shared" ref="O4180:O4181" si="1151">SUM(P4180:Z4180)</f>
        <v>4300</v>
      </c>
      <c r="P4180" s="239"/>
      <c r="Q4180" s="239"/>
      <c r="R4180" s="239"/>
      <c r="S4180" s="239"/>
      <c r="T4180" s="239"/>
      <c r="U4180" s="240"/>
      <c r="V4180" s="240">
        <f>1600+3500+2700+3800+3600+3200+3600+3100+4400-3600-7200-14400</f>
        <v>4300</v>
      </c>
      <c r="W4180" s="240"/>
      <c r="X4180" s="278"/>
      <c r="Y4180" s="240"/>
      <c r="Z4180" s="237"/>
      <c r="AA4180" s="279"/>
      <c r="AB4180" s="238" t="s">
        <v>27860</v>
      </c>
      <c r="AC4180" s="196"/>
      <c r="AD4180" s="196"/>
      <c r="AE4180" s="196"/>
    </row>
    <row r="4181" spans="1:33">
      <c r="A4181" s="20"/>
      <c r="B4181" s="150"/>
      <c r="C4181" s="190" t="s">
        <v>27735</v>
      </c>
      <c r="D4181" s="190" t="s">
        <v>20994</v>
      </c>
      <c r="E4181" s="190" t="s">
        <v>27733</v>
      </c>
      <c r="F4181" s="391" t="s">
        <v>27734</v>
      </c>
      <c r="G4181" s="23" t="s">
        <v>27569</v>
      </c>
      <c r="H4181" s="23"/>
      <c r="I4181" s="23"/>
      <c r="J4181" s="23"/>
      <c r="K4181" s="23"/>
      <c r="L4181" s="375"/>
      <c r="M4181" s="351"/>
      <c r="N4181" s="267">
        <f t="shared" si="1150"/>
        <v>0</v>
      </c>
      <c r="O4181" s="268">
        <f t="shared" si="1151"/>
        <v>25800</v>
      </c>
      <c r="P4181" s="239"/>
      <c r="Q4181" s="239"/>
      <c r="R4181" s="239"/>
      <c r="S4181" s="239"/>
      <c r="T4181" s="239"/>
      <c r="U4181" s="240"/>
      <c r="V4181" s="240">
        <f>10800+10800+10800-7100-25300+10800+3600+11400</f>
        <v>25800</v>
      </c>
      <c r="W4181" s="240"/>
      <c r="X4181" s="278"/>
      <c r="Y4181" s="240"/>
      <c r="Z4181" s="237"/>
      <c r="AA4181" s="279"/>
      <c r="AB4181" s="238"/>
      <c r="AC4181" s="196"/>
      <c r="AD4181" s="196"/>
      <c r="AE4181" s="196"/>
    </row>
    <row r="4182" spans="1:33">
      <c r="A4182" s="20"/>
      <c r="B4182" s="150"/>
      <c r="C4182" s="189" t="s">
        <v>27754</v>
      </c>
      <c r="D4182" s="189" t="s">
        <v>20994</v>
      </c>
      <c r="E4182" s="189" t="s">
        <v>27755</v>
      </c>
      <c r="F4182" s="391" t="s">
        <v>27734</v>
      </c>
      <c r="G4182" s="23" t="s">
        <v>27569</v>
      </c>
      <c r="H4182" s="23"/>
      <c r="I4182" s="23"/>
      <c r="J4182" s="23"/>
      <c r="K4182" s="23"/>
      <c r="L4182" s="375"/>
      <c r="M4182" s="351"/>
      <c r="N4182" s="267">
        <f t="shared" ref="N4182" si="1152">SUM(L4182:M4182)</f>
        <v>0</v>
      </c>
      <c r="O4182" s="268">
        <f t="shared" ref="O4182" si="1153">SUM(P4182:Z4182)</f>
        <v>22200</v>
      </c>
      <c r="P4182" s="239"/>
      <c r="Q4182" s="239"/>
      <c r="R4182" s="239"/>
      <c r="S4182" s="239"/>
      <c r="T4182" s="239"/>
      <c r="U4182" s="240"/>
      <c r="V4182" s="240">
        <f>72000+72000-18000-20400-14400-7200+72000-100000+48000-3600-10800-21600-14400-2000-3600-11400-14400</f>
        <v>22200</v>
      </c>
      <c r="W4182" s="240"/>
      <c r="X4182" s="278"/>
      <c r="Y4182" s="240"/>
      <c r="Z4182" s="237"/>
      <c r="AA4182" s="279"/>
      <c r="AB4182" s="238"/>
      <c r="AC4182" s="196"/>
      <c r="AD4182" s="196"/>
      <c r="AE4182" s="196"/>
    </row>
    <row r="4183" spans="1:33">
      <c r="A4183" s="20" t="s">
        <v>24362</v>
      </c>
      <c r="B4183" s="150"/>
      <c r="C4183" s="21" t="s">
        <v>24377</v>
      </c>
      <c r="D4183" s="109" t="s">
        <v>3137</v>
      </c>
      <c r="E4183" s="109" t="s">
        <v>24376</v>
      </c>
      <c r="F4183" s="391" t="s">
        <v>24381</v>
      </c>
      <c r="G4183" s="23" t="s">
        <v>6133</v>
      </c>
      <c r="H4183" s="23" t="s">
        <v>24577</v>
      </c>
      <c r="I4183" s="23"/>
      <c r="J4183" s="23"/>
      <c r="K4183" s="23"/>
      <c r="L4183" s="375"/>
      <c r="M4183" s="351"/>
      <c r="N4183" s="267">
        <f t="shared" si="1144"/>
        <v>0</v>
      </c>
      <c r="O4183" s="268">
        <f t="shared" si="1145"/>
        <v>0</v>
      </c>
      <c r="P4183" s="239"/>
      <c r="Q4183" s="239"/>
      <c r="R4183" s="239"/>
      <c r="S4183" s="239"/>
      <c r="T4183" s="239"/>
      <c r="U4183" s="240"/>
      <c r="V4183" s="240"/>
      <c r="W4183" s="240"/>
      <c r="X4183" s="278"/>
      <c r="Y4183" s="240"/>
      <c r="Z4183" s="237"/>
      <c r="AA4183" s="279"/>
      <c r="AB4183" s="238"/>
      <c r="AC4183" s="196">
        <f t="shared" si="1092"/>
        <v>0</v>
      </c>
      <c r="AD4183" s="196">
        <f t="shared" si="1093"/>
        <v>0</v>
      </c>
      <c r="AE4183" s="196">
        <f t="shared" si="1094"/>
        <v>0</v>
      </c>
      <c r="AF4183" s="2">
        <f t="shared" si="1095"/>
        <v>0</v>
      </c>
      <c r="AG4183" s="2">
        <f t="shared" si="1096"/>
        <v>0</v>
      </c>
    </row>
    <row r="4184" spans="1:33">
      <c r="A4184" s="20" t="s">
        <v>24477</v>
      </c>
      <c r="B4184" s="150"/>
      <c r="C4184" s="21" t="s">
        <v>24497</v>
      </c>
      <c r="D4184" s="109" t="s">
        <v>3137</v>
      </c>
      <c r="E4184" s="109"/>
      <c r="F4184" s="391" t="s">
        <v>24502</v>
      </c>
      <c r="G4184" s="23" t="s">
        <v>13301</v>
      </c>
      <c r="H4184" s="23" t="s">
        <v>26578</v>
      </c>
      <c r="I4184" s="23"/>
      <c r="J4184" s="23"/>
      <c r="K4184" s="23"/>
      <c r="L4184" s="375"/>
      <c r="M4184" s="351"/>
      <c r="N4184" s="267">
        <f t="shared" si="1144"/>
        <v>0</v>
      </c>
      <c r="O4184" s="268">
        <f t="shared" si="1145"/>
        <v>400</v>
      </c>
      <c r="P4184" s="239"/>
      <c r="Q4184" s="239"/>
      <c r="R4184" s="239"/>
      <c r="S4184" s="239"/>
      <c r="T4184" s="239"/>
      <c r="U4184" s="240">
        <f>500-100</f>
        <v>400</v>
      </c>
      <c r="V4184" s="240"/>
      <c r="W4184" s="240"/>
      <c r="X4184" s="278"/>
      <c r="Y4184" s="240"/>
      <c r="Z4184" s="237"/>
      <c r="AA4184" s="279"/>
      <c r="AB4184" s="238" t="s">
        <v>27231</v>
      </c>
      <c r="AC4184" s="196">
        <f t="shared" si="1092"/>
        <v>400</v>
      </c>
      <c r="AD4184" s="196">
        <f t="shared" si="1093"/>
        <v>400</v>
      </c>
      <c r="AE4184" s="196">
        <f t="shared" si="1094"/>
        <v>0</v>
      </c>
      <c r="AF4184" s="2">
        <f t="shared" si="1095"/>
        <v>400</v>
      </c>
      <c r="AG4184" s="2">
        <f t="shared" si="1096"/>
        <v>0</v>
      </c>
    </row>
    <row r="4185" spans="1:33">
      <c r="A4185" s="20" t="s">
        <v>24423</v>
      </c>
      <c r="B4185" s="150"/>
      <c r="C4185" s="21" t="s">
        <v>24461</v>
      </c>
      <c r="D4185" s="109" t="s">
        <v>3137</v>
      </c>
      <c r="E4185" s="109" t="s">
        <v>23083</v>
      </c>
      <c r="F4185" s="391" t="s">
        <v>24464</v>
      </c>
      <c r="G4185" s="23" t="s">
        <v>6133</v>
      </c>
      <c r="H4185" s="23"/>
      <c r="I4185" s="23"/>
      <c r="J4185" s="23"/>
      <c r="K4185" s="23"/>
      <c r="L4185" s="375" t="s">
        <v>45</v>
      </c>
      <c r="M4185" s="351" t="s">
        <v>45</v>
      </c>
      <c r="N4185" s="267">
        <f t="shared" si="1144"/>
        <v>0</v>
      </c>
      <c r="O4185" s="268">
        <f t="shared" si="1145"/>
        <v>650</v>
      </c>
      <c r="P4185" s="239"/>
      <c r="Q4185" s="239">
        <f>1350+550-1250</f>
        <v>650</v>
      </c>
      <c r="R4185" s="239"/>
      <c r="S4185" s="239"/>
      <c r="T4185" s="239"/>
      <c r="U4185" s="240"/>
      <c r="V4185" s="240"/>
      <c r="W4185" s="240"/>
      <c r="X4185" s="278"/>
      <c r="Y4185" s="240"/>
      <c r="Z4185" s="237"/>
      <c r="AA4185" s="279"/>
      <c r="AB4185" s="238" t="s">
        <v>25132</v>
      </c>
      <c r="AC4185" s="196">
        <f t="shared" si="1092"/>
        <v>650</v>
      </c>
      <c r="AD4185" s="196">
        <f t="shared" si="1093"/>
        <v>650</v>
      </c>
      <c r="AE4185" s="196">
        <f t="shared" si="1094"/>
        <v>0</v>
      </c>
      <c r="AF4185" s="2">
        <f t="shared" si="1095"/>
        <v>650</v>
      </c>
      <c r="AG4185" s="2">
        <f t="shared" si="1096"/>
        <v>0</v>
      </c>
    </row>
    <row r="4186" spans="1:33">
      <c r="A4186" s="20" t="s">
        <v>24480</v>
      </c>
      <c r="B4186" s="150"/>
      <c r="C4186" s="21" t="s">
        <v>24505</v>
      </c>
      <c r="D4186" s="109" t="s">
        <v>3137</v>
      </c>
      <c r="E4186" s="109"/>
      <c r="F4186" s="391" t="s">
        <v>24507</v>
      </c>
      <c r="G4186" s="23" t="s">
        <v>24506</v>
      </c>
      <c r="H4186" s="23"/>
      <c r="I4186" s="23"/>
      <c r="J4186" s="23"/>
      <c r="K4186" s="23"/>
      <c r="L4186" s="375"/>
      <c r="M4186" s="351"/>
      <c r="N4186" s="267">
        <f t="shared" ref="N4186:N4187" si="1154">SUM(L4186:M4186)</f>
        <v>0</v>
      </c>
      <c r="O4186" s="268">
        <f t="shared" ref="O4186:O4187" si="1155">SUM(P4186:Z4186)</f>
        <v>0</v>
      </c>
      <c r="P4186" s="239"/>
      <c r="Q4186" s="239"/>
      <c r="R4186" s="239"/>
      <c r="S4186" s="239"/>
      <c r="T4186" s="239"/>
      <c r="U4186" s="240"/>
      <c r="V4186" s="240"/>
      <c r="W4186" s="240"/>
      <c r="X4186" s="278"/>
      <c r="Y4186" s="240"/>
      <c r="Z4186" s="237"/>
      <c r="AA4186" s="279"/>
      <c r="AB4186" s="238"/>
      <c r="AC4186" s="196">
        <f t="shared" si="1092"/>
        <v>0</v>
      </c>
      <c r="AD4186" s="196">
        <f t="shared" si="1093"/>
        <v>0</v>
      </c>
      <c r="AE4186" s="196">
        <f t="shared" si="1094"/>
        <v>0</v>
      </c>
      <c r="AF4186" s="2">
        <f t="shared" si="1095"/>
        <v>0</v>
      </c>
      <c r="AG4186" s="2">
        <f t="shared" si="1096"/>
        <v>0</v>
      </c>
    </row>
    <row r="4187" spans="1:33">
      <c r="A4187" s="20" t="s">
        <v>24478</v>
      </c>
      <c r="B4187" s="150"/>
      <c r="C4187" s="21" t="s">
        <v>24498</v>
      </c>
      <c r="D4187" s="109" t="s">
        <v>3137</v>
      </c>
      <c r="E4187" s="109"/>
      <c r="F4187" s="391" t="s">
        <v>24503</v>
      </c>
      <c r="G4187" s="23" t="s">
        <v>24499</v>
      </c>
      <c r="H4187" s="23" t="s">
        <v>25073</v>
      </c>
      <c r="I4187" s="23" t="s">
        <v>25712</v>
      </c>
      <c r="J4187" s="23"/>
      <c r="K4187" s="23"/>
      <c r="L4187" s="375" t="s">
        <v>27613</v>
      </c>
      <c r="M4187" s="351" t="s">
        <v>45</v>
      </c>
      <c r="N4187" s="267">
        <f t="shared" si="1154"/>
        <v>0</v>
      </c>
      <c r="O4187" s="268">
        <f t="shared" si="1155"/>
        <v>1300</v>
      </c>
      <c r="P4187" s="239"/>
      <c r="Q4187" s="239"/>
      <c r="R4187" s="239"/>
      <c r="S4187" s="239"/>
      <c r="T4187" s="239"/>
      <c r="U4187" s="240">
        <f>1000-300-200+800</f>
        <v>1300</v>
      </c>
      <c r="V4187" s="240"/>
      <c r="W4187" s="240"/>
      <c r="X4187" s="278"/>
      <c r="Y4187" s="240"/>
      <c r="Z4187" s="237"/>
      <c r="AA4187" s="279"/>
      <c r="AB4187" s="238" t="s">
        <v>27611</v>
      </c>
      <c r="AC4187" s="196">
        <f t="shared" si="1092"/>
        <v>1300</v>
      </c>
      <c r="AD4187" s="196">
        <f t="shared" si="1093"/>
        <v>1300</v>
      </c>
      <c r="AE4187" s="196">
        <f t="shared" si="1094"/>
        <v>0</v>
      </c>
      <c r="AF4187" s="2">
        <f t="shared" si="1095"/>
        <v>1300</v>
      </c>
      <c r="AG4187" s="2">
        <f t="shared" si="1096"/>
        <v>0</v>
      </c>
    </row>
    <row r="4188" spans="1:33">
      <c r="A4188" s="20" t="s">
        <v>24251</v>
      </c>
      <c r="B4188" s="150"/>
      <c r="C4188" s="21" t="s">
        <v>24314</v>
      </c>
      <c r="D4188" s="109" t="s">
        <v>3137</v>
      </c>
      <c r="E4188" s="109"/>
      <c r="F4188" s="391" t="s">
        <v>24316</v>
      </c>
      <c r="G4188" s="23" t="s">
        <v>24326</v>
      </c>
      <c r="H4188" s="23" t="s">
        <v>24327</v>
      </c>
      <c r="I4188" s="23" t="s">
        <v>24400</v>
      </c>
      <c r="J4188" s="23"/>
      <c r="K4188" s="23"/>
      <c r="L4188" s="375" t="s">
        <v>27961</v>
      </c>
      <c r="M4188" s="351" t="s">
        <v>45</v>
      </c>
      <c r="N4188" s="267">
        <f t="shared" ref="N4188" si="1156">SUM(L4188:M4188)</f>
        <v>0</v>
      </c>
      <c r="O4188" s="268">
        <f t="shared" ref="O4188" si="1157">SUM(P4188:Z4188)</f>
        <v>4450</v>
      </c>
      <c r="P4188" s="239"/>
      <c r="Q4188" s="240"/>
      <c r="R4188" s="239"/>
      <c r="S4188" s="240"/>
      <c r="T4188" s="239"/>
      <c r="U4188" s="240">
        <f>3650-400+1500-300</f>
        <v>4450</v>
      </c>
      <c r="V4188" s="240"/>
      <c r="W4188" s="240"/>
      <c r="X4188" s="278"/>
      <c r="Y4188" s="240"/>
      <c r="Z4188" s="237"/>
      <c r="AA4188" s="279"/>
      <c r="AB4188" s="238" t="s">
        <v>27940</v>
      </c>
      <c r="AC4188" s="196">
        <f t="shared" si="1092"/>
        <v>4450</v>
      </c>
      <c r="AD4188" s="196">
        <f t="shared" si="1093"/>
        <v>4450</v>
      </c>
      <c r="AE4188" s="196">
        <f t="shared" si="1094"/>
        <v>0</v>
      </c>
      <c r="AF4188" s="2">
        <f t="shared" si="1095"/>
        <v>4450</v>
      </c>
      <c r="AG4188" s="2">
        <f t="shared" si="1096"/>
        <v>0</v>
      </c>
    </row>
    <row r="4189" spans="1:33">
      <c r="A4189" s="20"/>
      <c r="B4189" s="150"/>
      <c r="C4189" s="21" t="s">
        <v>27967</v>
      </c>
      <c r="D4189" s="109" t="s">
        <v>4070</v>
      </c>
      <c r="E4189" s="109" t="s">
        <v>27969</v>
      </c>
      <c r="F4189" s="391" t="s">
        <v>27968</v>
      </c>
      <c r="G4189" s="23" t="s">
        <v>24860</v>
      </c>
      <c r="H4189" s="23"/>
      <c r="I4189" s="23"/>
      <c r="J4189" s="23"/>
      <c r="K4189" s="23"/>
      <c r="L4189" s="375" t="s">
        <v>7787</v>
      </c>
      <c r="M4189" s="351" t="s">
        <v>7787</v>
      </c>
      <c r="N4189" s="267">
        <f t="shared" ref="N4189" si="1158">SUM(L4189:M4189)</f>
        <v>0</v>
      </c>
      <c r="O4189" s="268">
        <f t="shared" ref="O4189" si="1159">SUM(P4189:Z4189)</f>
        <v>2600</v>
      </c>
      <c r="P4189" s="239"/>
      <c r="Q4189" s="244"/>
      <c r="R4189" s="239"/>
      <c r="S4189" s="244"/>
      <c r="T4189" s="239">
        <f>3000-400</f>
        <v>2600</v>
      </c>
      <c r="U4189" s="240"/>
      <c r="V4189" s="240"/>
      <c r="W4189" s="240"/>
      <c r="X4189" s="278"/>
      <c r="Y4189" s="240"/>
      <c r="Z4189" s="237"/>
      <c r="AA4189" s="279"/>
      <c r="AB4189" s="238"/>
      <c r="AC4189" s="196">
        <f t="shared" ref="AC4189" si="1160">SUM(P4189:AA4189)</f>
        <v>2600</v>
      </c>
      <c r="AD4189" s="196">
        <f t="shared" ref="AD4189" si="1161">SUM(P4189:AB4189)</f>
        <v>2600</v>
      </c>
      <c r="AE4189" s="196">
        <f t="shared" ref="AE4189" si="1162">SUM(AC4189-AD4189)</f>
        <v>0</v>
      </c>
      <c r="AF4189" s="2">
        <f t="shared" ref="AF4189" si="1163">+AC4189</f>
        <v>2600</v>
      </c>
      <c r="AG4189" s="2">
        <f t="shared" ref="AG4189" si="1164">+AC4189-AF4189</f>
        <v>0</v>
      </c>
    </row>
    <row r="4190" spans="1:33">
      <c r="A4190" s="20" t="s">
        <v>24364</v>
      </c>
      <c r="B4190" s="150"/>
      <c r="C4190" s="21" t="s">
        <v>24382</v>
      </c>
      <c r="D4190" s="109" t="s">
        <v>3137</v>
      </c>
      <c r="E4190" s="109"/>
      <c r="F4190" s="391" t="s">
        <v>24385</v>
      </c>
      <c r="G4190" s="23" t="s">
        <v>6133</v>
      </c>
      <c r="H4190" s="23"/>
      <c r="I4190" s="23"/>
      <c r="J4190" s="23"/>
      <c r="K4190" s="23"/>
      <c r="L4190" s="375"/>
      <c r="M4190" s="351"/>
      <c r="N4190" s="267">
        <f t="shared" ref="N4190" si="1165">SUM(L4190:M4190)</f>
        <v>0</v>
      </c>
      <c r="O4190" s="268">
        <f t="shared" ref="O4190" si="1166">SUM(P4190:Z4190)</f>
        <v>0</v>
      </c>
      <c r="P4190" s="239"/>
      <c r="Q4190" s="239"/>
      <c r="R4190" s="239"/>
      <c r="S4190" s="239"/>
      <c r="T4190" s="239"/>
      <c r="U4190" s="240"/>
      <c r="V4190" s="240"/>
      <c r="W4190" s="240"/>
      <c r="X4190" s="278"/>
      <c r="Y4190" s="240"/>
      <c r="Z4190" s="237"/>
      <c r="AA4190" s="279"/>
      <c r="AB4190" s="238"/>
      <c r="AC4190" s="196">
        <f t="shared" si="1092"/>
        <v>0</v>
      </c>
      <c r="AD4190" s="196">
        <f t="shared" si="1093"/>
        <v>0</v>
      </c>
      <c r="AE4190" s="196">
        <f t="shared" si="1094"/>
        <v>0</v>
      </c>
      <c r="AF4190" s="2">
        <f t="shared" si="1095"/>
        <v>0</v>
      </c>
      <c r="AG4190" s="2">
        <f t="shared" si="1096"/>
        <v>0</v>
      </c>
    </row>
    <row r="4191" spans="1:33">
      <c r="A4191" s="20" t="s">
        <v>24365</v>
      </c>
      <c r="B4191" s="150"/>
      <c r="C4191" s="21" t="s">
        <v>24383</v>
      </c>
      <c r="D4191" s="109" t="s">
        <v>3137</v>
      </c>
      <c r="E4191" s="109"/>
      <c r="F4191" s="391" t="s">
        <v>24386</v>
      </c>
      <c r="G4191" s="23" t="s">
        <v>6133</v>
      </c>
      <c r="H4191" s="23"/>
      <c r="I4191" s="23"/>
      <c r="J4191" s="23"/>
      <c r="K4191" s="23"/>
      <c r="L4191" s="375" t="s">
        <v>7787</v>
      </c>
      <c r="M4191" s="351"/>
      <c r="N4191" s="267">
        <f t="shared" ref="N4191" si="1167">SUM(L4191:M4191)</f>
        <v>0</v>
      </c>
      <c r="O4191" s="268">
        <f t="shared" ref="O4191" si="1168">SUM(P4191:Z4191)</f>
        <v>900</v>
      </c>
      <c r="P4191" s="239"/>
      <c r="Q4191" s="239">
        <f>1000-100</f>
        <v>900</v>
      </c>
      <c r="R4191" s="239"/>
      <c r="S4191" s="239"/>
      <c r="T4191" s="239"/>
      <c r="U4191" s="240"/>
      <c r="V4191" s="240"/>
      <c r="W4191" s="240"/>
      <c r="X4191" s="278"/>
      <c r="Y4191" s="240"/>
      <c r="Z4191" s="237"/>
      <c r="AA4191" s="279"/>
      <c r="AB4191" s="238" t="s">
        <v>24387</v>
      </c>
      <c r="AC4191" s="196">
        <f t="shared" si="1092"/>
        <v>900</v>
      </c>
      <c r="AD4191" s="196">
        <f t="shared" si="1093"/>
        <v>900</v>
      </c>
      <c r="AE4191" s="196">
        <f t="shared" si="1094"/>
        <v>0</v>
      </c>
      <c r="AF4191" s="2">
        <f t="shared" si="1095"/>
        <v>900</v>
      </c>
      <c r="AG4191" s="2">
        <f t="shared" si="1096"/>
        <v>0</v>
      </c>
    </row>
    <row r="4192" spans="1:33">
      <c r="A4192" s="20" t="s">
        <v>24482</v>
      </c>
      <c r="B4192" s="150"/>
      <c r="C4192" s="21" t="s">
        <v>24512</v>
      </c>
      <c r="D4192" s="109" t="s">
        <v>5979</v>
      </c>
      <c r="E4192" s="109"/>
      <c r="F4192" s="391" t="s">
        <v>24518</v>
      </c>
      <c r="G4192" s="23" t="s">
        <v>15443</v>
      </c>
      <c r="H4192" s="23"/>
      <c r="I4192" s="23"/>
      <c r="J4192" s="23"/>
      <c r="K4192" s="23"/>
      <c r="L4192" s="375" t="s">
        <v>27862</v>
      </c>
      <c r="M4192" s="351" t="s">
        <v>45</v>
      </c>
      <c r="N4192" s="267">
        <f t="shared" ref="N4192" si="1169">SUM(L4192:M4192)</f>
        <v>0</v>
      </c>
      <c r="O4192" s="268">
        <f t="shared" ref="O4192" si="1170">SUM(P4192:Z4192)</f>
        <v>4700</v>
      </c>
      <c r="P4192" s="239"/>
      <c r="Q4192" s="239"/>
      <c r="R4192" s="239"/>
      <c r="S4192" s="239"/>
      <c r="T4192" s="239"/>
      <c r="U4192" s="240"/>
      <c r="V4192" s="240">
        <f>2000-1500+900+2600-3600+900+800-1800+1600+3600-3600+2300-3600+2700+2000-3600+2800-3600+2800+2000+1000+1600+100-3600-100</f>
        <v>4700</v>
      </c>
      <c r="W4192" s="240"/>
      <c r="X4192" s="278"/>
      <c r="Y4192" s="240"/>
      <c r="Z4192" s="237"/>
      <c r="AA4192" s="279"/>
      <c r="AB4192" s="238" t="s">
        <v>27820</v>
      </c>
      <c r="AC4192" s="196">
        <f t="shared" si="1092"/>
        <v>4700</v>
      </c>
      <c r="AD4192" s="196">
        <f t="shared" si="1093"/>
        <v>4700</v>
      </c>
      <c r="AE4192" s="196">
        <f t="shared" si="1094"/>
        <v>0</v>
      </c>
      <c r="AF4192" s="2">
        <f t="shared" si="1095"/>
        <v>4700</v>
      </c>
      <c r="AG4192" s="2">
        <f t="shared" si="1096"/>
        <v>0</v>
      </c>
    </row>
    <row r="4193" spans="1:33">
      <c r="A4193" s="20" t="s">
        <v>24368</v>
      </c>
      <c r="B4193" s="150"/>
      <c r="C4193" s="21" t="s">
        <v>24388</v>
      </c>
      <c r="D4193" s="109" t="s">
        <v>3137</v>
      </c>
      <c r="E4193" s="109"/>
      <c r="F4193" s="391" t="s">
        <v>24390</v>
      </c>
      <c r="G4193" s="23" t="s">
        <v>24391</v>
      </c>
      <c r="H4193" s="23"/>
      <c r="I4193" s="23"/>
      <c r="J4193" s="23"/>
      <c r="K4193" s="23"/>
      <c r="L4193" s="375"/>
      <c r="M4193" s="351" t="s">
        <v>45</v>
      </c>
      <c r="N4193" s="267">
        <f t="shared" ref="N4193" si="1171">SUM(L4193:M4193)</f>
        <v>0</v>
      </c>
      <c r="O4193" s="268">
        <f t="shared" ref="O4193" si="1172">SUM(P4193:Z4193)</f>
        <v>2400</v>
      </c>
      <c r="P4193" s="239"/>
      <c r="Q4193" s="239"/>
      <c r="R4193" s="239"/>
      <c r="S4193" s="239"/>
      <c r="T4193" s="239"/>
      <c r="U4193" s="240">
        <f>1950-1100+1550</f>
        <v>2400</v>
      </c>
      <c r="V4193" s="240"/>
      <c r="W4193" s="240"/>
      <c r="X4193" s="278"/>
      <c r="Y4193" s="240"/>
      <c r="Z4193" s="237"/>
      <c r="AA4193" s="279"/>
      <c r="AB4193" s="238" t="s">
        <v>26506</v>
      </c>
      <c r="AC4193" s="196">
        <f t="shared" si="1092"/>
        <v>2400</v>
      </c>
      <c r="AD4193" s="196">
        <f t="shared" si="1093"/>
        <v>2400</v>
      </c>
      <c r="AE4193" s="196">
        <f t="shared" si="1094"/>
        <v>0</v>
      </c>
      <c r="AF4193" s="2">
        <f t="shared" si="1095"/>
        <v>2400</v>
      </c>
      <c r="AG4193" s="2">
        <f t="shared" si="1096"/>
        <v>0</v>
      </c>
    </row>
    <row r="4194" spans="1:33">
      <c r="A4194" s="20" t="s">
        <v>24733</v>
      </c>
      <c r="B4194" s="150"/>
      <c r="C4194" s="21" t="s">
        <v>24825</v>
      </c>
      <c r="D4194" s="109" t="s">
        <v>3137</v>
      </c>
      <c r="E4194" s="109"/>
      <c r="F4194" s="391" t="s">
        <v>24828</v>
      </c>
      <c r="G4194" s="23" t="s">
        <v>13301</v>
      </c>
      <c r="H4194" s="23" t="s">
        <v>25073</v>
      </c>
      <c r="I4194" s="23"/>
      <c r="J4194" s="23"/>
      <c r="K4194" s="23"/>
      <c r="L4194" s="375" t="s">
        <v>27452</v>
      </c>
      <c r="M4194" s="351" t="s">
        <v>45</v>
      </c>
      <c r="N4194" s="267">
        <f t="shared" ref="N4194" si="1173">SUM(L4194:M4194)</f>
        <v>0</v>
      </c>
      <c r="O4194" s="268">
        <f t="shared" ref="O4194" si="1174">SUM(P4194:Z4194)</f>
        <v>800</v>
      </c>
      <c r="P4194" s="239"/>
      <c r="Q4194" s="239"/>
      <c r="R4194" s="239"/>
      <c r="S4194" s="239"/>
      <c r="T4194" s="239"/>
      <c r="U4194" s="240">
        <f>1100-300</f>
        <v>800</v>
      </c>
      <c r="V4194" s="240"/>
      <c r="W4194" s="240"/>
      <c r="X4194" s="278"/>
      <c r="Y4194" s="240"/>
      <c r="Z4194" s="237"/>
      <c r="AA4194" s="279"/>
      <c r="AB4194" s="238" t="s">
        <v>27451</v>
      </c>
      <c r="AC4194" s="196">
        <f t="shared" si="1092"/>
        <v>800</v>
      </c>
      <c r="AD4194" s="196">
        <f t="shared" si="1093"/>
        <v>800</v>
      </c>
      <c r="AE4194" s="196">
        <f t="shared" si="1094"/>
        <v>0</v>
      </c>
      <c r="AF4194" s="2">
        <f t="shared" si="1095"/>
        <v>800</v>
      </c>
      <c r="AG4194" s="2">
        <f t="shared" si="1096"/>
        <v>0</v>
      </c>
    </row>
    <row r="4195" spans="1:33">
      <c r="A4195" s="20" t="s">
        <v>25164</v>
      </c>
      <c r="B4195" s="150"/>
      <c r="C4195" s="21" t="s">
        <v>25021</v>
      </c>
      <c r="D4195" s="109" t="s">
        <v>4070</v>
      </c>
      <c r="E4195" s="109" t="s">
        <v>3128</v>
      </c>
      <c r="F4195" s="391" t="s">
        <v>25022</v>
      </c>
      <c r="G4195" s="23" t="s">
        <v>25023</v>
      </c>
      <c r="H4195" s="23"/>
      <c r="I4195" s="23"/>
      <c r="J4195" s="23"/>
      <c r="K4195" s="23"/>
      <c r="L4195" s="375" t="s">
        <v>7787</v>
      </c>
      <c r="M4195" s="351"/>
      <c r="N4195" s="267">
        <f t="shared" ref="N4195" si="1175">SUM(L4195:M4195)</f>
        <v>0</v>
      </c>
      <c r="O4195" s="268">
        <f t="shared" ref="O4195" si="1176">SUM(P4195:Z4195)</f>
        <v>0</v>
      </c>
      <c r="P4195" s="239"/>
      <c r="Q4195" s="239"/>
      <c r="R4195" s="239"/>
      <c r="S4195" s="239"/>
      <c r="T4195" s="239"/>
      <c r="U4195" s="240"/>
      <c r="V4195" s="240"/>
      <c r="W4195" s="240"/>
      <c r="X4195" s="278"/>
      <c r="Y4195" s="240"/>
      <c r="Z4195" s="237"/>
      <c r="AA4195" s="279"/>
      <c r="AB4195" s="238"/>
      <c r="AC4195" s="196">
        <f t="shared" si="1092"/>
        <v>0</v>
      </c>
      <c r="AD4195" s="196">
        <f t="shared" si="1093"/>
        <v>0</v>
      </c>
      <c r="AE4195" s="196">
        <f t="shared" si="1094"/>
        <v>0</v>
      </c>
      <c r="AF4195" s="2">
        <f t="shared" si="1095"/>
        <v>0</v>
      </c>
      <c r="AG4195" s="2">
        <f t="shared" si="1096"/>
        <v>0</v>
      </c>
    </row>
    <row r="4196" spans="1:33">
      <c r="A4196" s="20" t="s">
        <v>24417</v>
      </c>
      <c r="B4196" s="150"/>
      <c r="C4196" s="21" t="s">
        <v>24435</v>
      </c>
      <c r="D4196" s="109" t="s">
        <v>3137</v>
      </c>
      <c r="E4196" s="109" t="s">
        <v>24436</v>
      </c>
      <c r="F4196" s="391" t="s">
        <v>24437</v>
      </c>
      <c r="G4196" s="23" t="s">
        <v>17522</v>
      </c>
      <c r="H4196" s="23"/>
      <c r="I4196" s="23"/>
      <c r="J4196" s="23"/>
      <c r="K4196" s="23"/>
      <c r="L4196" s="375"/>
      <c r="M4196" s="351"/>
      <c r="N4196" s="267">
        <f t="shared" ref="N4196:N4197" si="1177">SUM(L4196:M4196)</f>
        <v>0</v>
      </c>
      <c r="O4196" s="268">
        <f t="shared" ref="O4196:O4197" si="1178">SUM(P4196:Z4196)</f>
        <v>0</v>
      </c>
      <c r="P4196" s="239"/>
      <c r="Q4196" s="239"/>
      <c r="R4196" s="239"/>
      <c r="S4196" s="239"/>
      <c r="T4196" s="239"/>
      <c r="U4196" s="240"/>
      <c r="V4196" s="240"/>
      <c r="W4196" s="240"/>
      <c r="X4196" s="278"/>
      <c r="Y4196" s="240"/>
      <c r="Z4196" s="237"/>
      <c r="AA4196" s="279"/>
      <c r="AB4196" s="238"/>
      <c r="AC4196" s="196">
        <f t="shared" si="1092"/>
        <v>0</v>
      </c>
      <c r="AD4196" s="196">
        <f t="shared" si="1093"/>
        <v>0</v>
      </c>
      <c r="AE4196" s="196">
        <f t="shared" si="1094"/>
        <v>0</v>
      </c>
      <c r="AF4196" s="2">
        <f t="shared" si="1095"/>
        <v>0</v>
      </c>
      <c r="AG4196" s="2">
        <f t="shared" si="1096"/>
        <v>0</v>
      </c>
    </row>
    <row r="4197" spans="1:33">
      <c r="A4197" s="20" t="s">
        <v>24414</v>
      </c>
      <c r="B4197" s="150"/>
      <c r="C4197" s="21" t="s">
        <v>24427</v>
      </c>
      <c r="D4197" s="109" t="s">
        <v>3137</v>
      </c>
      <c r="E4197" s="109" t="s">
        <v>24429</v>
      </c>
      <c r="F4197" s="391" t="s">
        <v>24433</v>
      </c>
      <c r="G4197" s="23" t="s">
        <v>24432</v>
      </c>
      <c r="H4197" s="23" t="s">
        <v>24645</v>
      </c>
      <c r="I4197" s="23"/>
      <c r="J4197" s="23"/>
      <c r="K4197" s="23"/>
      <c r="L4197" s="375" t="s">
        <v>7787</v>
      </c>
      <c r="M4197" s="351" t="s">
        <v>7787</v>
      </c>
      <c r="N4197" s="267">
        <f t="shared" si="1177"/>
        <v>0</v>
      </c>
      <c r="O4197" s="268">
        <f t="shared" si="1178"/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92"/>
        <v>0</v>
      </c>
      <c r="AD4197" s="196">
        <f t="shared" si="1093"/>
        <v>0</v>
      </c>
      <c r="AE4197" s="196">
        <f t="shared" si="1094"/>
        <v>0</v>
      </c>
      <c r="AF4197" s="2">
        <f t="shared" si="1095"/>
        <v>0</v>
      </c>
      <c r="AG4197" s="2">
        <f t="shared" si="1096"/>
        <v>0</v>
      </c>
    </row>
    <row r="4198" spans="1:33">
      <c r="A4198" s="20" t="s">
        <v>24479</v>
      </c>
      <c r="B4198" s="150"/>
      <c r="C4198" s="21" t="s">
        <v>24488</v>
      </c>
      <c r="D4198" s="109" t="s">
        <v>3137</v>
      </c>
      <c r="E4198" s="109" t="s">
        <v>24489</v>
      </c>
      <c r="F4198" s="391" t="s">
        <v>24504</v>
      </c>
      <c r="G4198" s="23" t="s">
        <v>13888</v>
      </c>
      <c r="H4198" s="23" t="s">
        <v>25189</v>
      </c>
      <c r="I4198" s="23" t="s">
        <v>26936</v>
      </c>
      <c r="J4198" s="23"/>
      <c r="K4198" s="23"/>
      <c r="L4198" s="375"/>
      <c r="M4198" s="351" t="s">
        <v>27971</v>
      </c>
      <c r="N4198" s="267">
        <f t="shared" ref="N4198" si="1179">SUM(L4198:M4198)</f>
        <v>0</v>
      </c>
      <c r="O4198" s="268">
        <f t="shared" ref="O4198" si="1180">SUM(P4198:Z4198)</f>
        <v>1600</v>
      </c>
      <c r="P4198" s="239"/>
      <c r="Q4198" s="239"/>
      <c r="R4198" s="239"/>
      <c r="S4198" s="239"/>
      <c r="T4198" s="239"/>
      <c r="U4198" s="240">
        <v>1600</v>
      </c>
      <c r="V4198" s="240"/>
      <c r="W4198" s="240"/>
      <c r="X4198" s="278"/>
      <c r="Y4198" s="240"/>
      <c r="Z4198" s="237"/>
      <c r="AA4198" s="279"/>
      <c r="AB4198" s="238" t="s">
        <v>27977</v>
      </c>
      <c r="AC4198" s="196">
        <f t="shared" si="1092"/>
        <v>1600</v>
      </c>
      <c r="AD4198" s="196">
        <f t="shared" si="1093"/>
        <v>1600</v>
      </c>
      <c r="AE4198" s="196">
        <f t="shared" si="1094"/>
        <v>0</v>
      </c>
      <c r="AF4198" s="2">
        <f t="shared" si="1095"/>
        <v>1600</v>
      </c>
      <c r="AG4198" s="2">
        <f t="shared" si="1096"/>
        <v>0</v>
      </c>
    </row>
    <row r="4199" spans="1:33">
      <c r="A4199" s="20" t="s">
        <v>24415</v>
      </c>
      <c r="B4199" s="150"/>
      <c r="C4199" s="21" t="s">
        <v>24428</v>
      </c>
      <c r="D4199" s="109" t="s">
        <v>3137</v>
      </c>
      <c r="E4199" s="109" t="s">
        <v>24429</v>
      </c>
      <c r="F4199" s="391" t="s">
        <v>24433</v>
      </c>
      <c r="G4199" s="23" t="s">
        <v>24432</v>
      </c>
      <c r="H4199" s="23"/>
      <c r="I4199" s="23"/>
      <c r="J4199" s="23"/>
      <c r="K4199" s="23"/>
      <c r="L4199" s="375" t="s">
        <v>7787</v>
      </c>
      <c r="M4199" s="351"/>
      <c r="N4199" s="267">
        <f t="shared" ref="N4199" si="1181">SUM(L4199:M4199)</f>
        <v>0</v>
      </c>
      <c r="O4199" s="268">
        <f t="shared" ref="O4199" si="1182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92"/>
        <v>0</v>
      </c>
      <c r="AD4199" s="196">
        <f t="shared" si="1093"/>
        <v>0</v>
      </c>
      <c r="AE4199" s="196">
        <f t="shared" si="1094"/>
        <v>0</v>
      </c>
      <c r="AF4199" s="2">
        <f t="shared" si="1095"/>
        <v>0</v>
      </c>
      <c r="AG4199" s="2">
        <f t="shared" si="1096"/>
        <v>0</v>
      </c>
    </row>
    <row r="4200" spans="1:33">
      <c r="A4200" s="20" t="s">
        <v>24671</v>
      </c>
      <c r="B4200" s="150"/>
      <c r="C4200" s="21" t="s">
        <v>24684</v>
      </c>
      <c r="D4200" s="109" t="s">
        <v>3137</v>
      </c>
      <c r="E4200" s="109" t="s">
        <v>20884</v>
      </c>
      <c r="F4200" s="391" t="s">
        <v>24716</v>
      </c>
      <c r="G4200" s="23" t="s">
        <v>22432</v>
      </c>
      <c r="H4200" s="23" t="s">
        <v>24864</v>
      </c>
      <c r="I4200" s="23"/>
      <c r="J4200" s="23"/>
      <c r="K4200" s="23"/>
      <c r="L4200" s="375" t="s">
        <v>7787</v>
      </c>
      <c r="M4200" s="351" t="s">
        <v>7787</v>
      </c>
      <c r="N4200" s="267">
        <f t="shared" ref="N4200" si="1183">SUM(L4200:M4200)</f>
        <v>0</v>
      </c>
      <c r="O4200" s="268">
        <f t="shared" ref="O4200" si="1184">SUM(P4200:Z4200)</f>
        <v>0</v>
      </c>
      <c r="P4200" s="239"/>
      <c r="Q4200" s="239"/>
      <c r="R4200" s="239"/>
      <c r="S4200" s="239"/>
      <c r="T4200" s="239"/>
      <c r="U4200" s="240"/>
      <c r="V4200" s="240"/>
      <c r="W4200" s="240"/>
      <c r="X4200" s="278"/>
      <c r="Y4200" s="240"/>
      <c r="Z4200" s="237"/>
      <c r="AA4200" s="279"/>
      <c r="AB4200" s="238"/>
      <c r="AC4200" s="196">
        <f t="shared" si="1092"/>
        <v>0</v>
      </c>
      <c r="AD4200" s="196">
        <f t="shared" si="1093"/>
        <v>0</v>
      </c>
      <c r="AE4200" s="196">
        <f t="shared" si="1094"/>
        <v>0</v>
      </c>
      <c r="AF4200" s="2">
        <f t="shared" si="1095"/>
        <v>0</v>
      </c>
      <c r="AG4200" s="2">
        <f t="shared" si="1096"/>
        <v>0</v>
      </c>
    </row>
    <row r="4201" spans="1:33">
      <c r="A4201" s="20" t="s">
        <v>24930</v>
      </c>
      <c r="B4201" s="150"/>
      <c r="C4201" s="21" t="s">
        <v>24856</v>
      </c>
      <c r="D4201" s="109" t="s">
        <v>3137</v>
      </c>
      <c r="E4201" s="109" t="s">
        <v>20884</v>
      </c>
      <c r="F4201" s="391" t="s">
        <v>25005</v>
      </c>
      <c r="G4201" s="23" t="s">
        <v>22432</v>
      </c>
      <c r="H4201" s="23" t="s">
        <v>24864</v>
      </c>
      <c r="I4201" s="23"/>
      <c r="J4201" s="23"/>
      <c r="K4201" s="23"/>
      <c r="L4201" s="375" t="s">
        <v>7787</v>
      </c>
      <c r="M4201" s="351"/>
      <c r="N4201" s="267">
        <f t="shared" ref="N4201" si="1185">SUM(L4201:M4201)</f>
        <v>0</v>
      </c>
      <c r="O4201" s="268">
        <f t="shared" ref="O4201" si="1186">SUM(P4201:Z4201)</f>
        <v>0</v>
      </c>
      <c r="P4201" s="239"/>
      <c r="Q4201" s="239"/>
      <c r="R4201" s="239"/>
      <c r="S4201" s="239"/>
      <c r="T4201" s="239"/>
      <c r="U4201" s="240"/>
      <c r="V4201" s="240"/>
      <c r="W4201" s="240"/>
      <c r="X4201" s="278"/>
      <c r="Y4201" s="240"/>
      <c r="Z4201" s="237"/>
      <c r="AA4201" s="279"/>
      <c r="AB4201" s="238"/>
      <c r="AC4201" s="196">
        <f t="shared" si="1092"/>
        <v>0</v>
      </c>
      <c r="AD4201" s="196">
        <f t="shared" si="1093"/>
        <v>0</v>
      </c>
      <c r="AE4201" s="196">
        <f t="shared" si="1094"/>
        <v>0</v>
      </c>
      <c r="AF4201" s="2">
        <f t="shared" si="1095"/>
        <v>0</v>
      </c>
      <c r="AG4201" s="2">
        <f t="shared" si="1096"/>
        <v>0</v>
      </c>
    </row>
    <row r="4202" spans="1:33">
      <c r="A4202" s="20" t="s">
        <v>24661</v>
      </c>
      <c r="B4202" s="150"/>
      <c r="C4202" s="21" t="s">
        <v>24682</v>
      </c>
      <c r="D4202" s="109" t="s">
        <v>3137</v>
      </c>
      <c r="E4202" s="109" t="s">
        <v>20884</v>
      </c>
      <c r="F4202" s="391" t="s">
        <v>24689</v>
      </c>
      <c r="G4202" s="23" t="s">
        <v>22432</v>
      </c>
      <c r="H4202" s="23" t="s">
        <v>24691</v>
      </c>
      <c r="I4202" s="23"/>
      <c r="J4202" s="23"/>
      <c r="K4202" s="23"/>
      <c r="L4202" s="375" t="s">
        <v>7787</v>
      </c>
      <c r="M4202" s="351"/>
      <c r="N4202" s="267">
        <f t="shared" ref="N4202" si="1187">SUM(L4202:M4202)</f>
        <v>0</v>
      </c>
      <c r="O4202" s="268">
        <f t="shared" ref="O4202" si="1188">SUM(P4202:Z4202)</f>
        <v>0</v>
      </c>
      <c r="P4202" s="239"/>
      <c r="Q4202" s="239"/>
      <c r="R4202" s="239"/>
      <c r="S4202" s="239"/>
      <c r="T4202" s="239"/>
      <c r="U4202" s="240"/>
      <c r="V4202" s="240"/>
      <c r="W4202" s="240"/>
      <c r="X4202" s="278"/>
      <c r="Y4202" s="240"/>
      <c r="Z4202" s="237"/>
      <c r="AA4202" s="279"/>
      <c r="AB4202" s="238"/>
      <c r="AC4202" s="196">
        <f t="shared" si="1092"/>
        <v>0</v>
      </c>
      <c r="AD4202" s="196">
        <f t="shared" si="1093"/>
        <v>0</v>
      </c>
      <c r="AE4202" s="196">
        <f t="shared" si="1094"/>
        <v>0</v>
      </c>
      <c r="AF4202" s="2">
        <f t="shared" si="1095"/>
        <v>0</v>
      </c>
      <c r="AG4202" s="2">
        <f t="shared" si="1096"/>
        <v>0</v>
      </c>
    </row>
    <row r="4203" spans="1:33">
      <c r="A4203" s="20" t="s">
        <v>24662</v>
      </c>
      <c r="B4203" s="150"/>
      <c r="C4203" s="21" t="s">
        <v>24683</v>
      </c>
      <c r="D4203" s="109" t="s">
        <v>3137</v>
      </c>
      <c r="E4203" s="109" t="s">
        <v>20884</v>
      </c>
      <c r="F4203" s="391" t="s">
        <v>24690</v>
      </c>
      <c r="G4203" s="23" t="s">
        <v>22432</v>
      </c>
      <c r="H4203" s="23"/>
      <c r="I4203" s="23"/>
      <c r="J4203" s="23"/>
      <c r="K4203" s="23"/>
      <c r="L4203" s="375"/>
      <c r="M4203" s="351"/>
      <c r="N4203" s="267">
        <f t="shared" ref="N4203" si="1189">SUM(L4203:M4203)</f>
        <v>0</v>
      </c>
      <c r="O4203" s="268">
        <f t="shared" ref="O4203" si="1190">SUM(P4203:Z4203)</f>
        <v>0</v>
      </c>
      <c r="P4203" s="239"/>
      <c r="Q4203" s="239"/>
      <c r="R4203" s="239"/>
      <c r="S4203" s="239"/>
      <c r="T4203" s="239"/>
      <c r="U4203" s="240"/>
      <c r="V4203" s="240"/>
      <c r="W4203" s="240"/>
      <c r="X4203" s="278"/>
      <c r="Y4203" s="240"/>
      <c r="Z4203" s="237"/>
      <c r="AA4203" s="279"/>
      <c r="AB4203" s="238"/>
      <c r="AC4203" s="196">
        <f t="shared" si="1092"/>
        <v>0</v>
      </c>
      <c r="AD4203" s="196">
        <f t="shared" si="1093"/>
        <v>0</v>
      </c>
      <c r="AE4203" s="196">
        <f t="shared" si="1094"/>
        <v>0</v>
      </c>
      <c r="AF4203" s="2">
        <f t="shared" si="1095"/>
        <v>0</v>
      </c>
      <c r="AG4203" s="2">
        <f t="shared" si="1096"/>
        <v>0</v>
      </c>
    </row>
    <row r="4204" spans="1:33">
      <c r="A4204" s="20" t="s">
        <v>24484</v>
      </c>
      <c r="B4204" s="150"/>
      <c r="C4204" s="21" t="s">
        <v>24522</v>
      </c>
      <c r="D4204" s="109" t="s">
        <v>3137</v>
      </c>
      <c r="E4204" s="109"/>
      <c r="F4204" s="391" t="s">
        <v>24525</v>
      </c>
      <c r="G4204" s="23" t="s">
        <v>6133</v>
      </c>
      <c r="H4204" s="23"/>
      <c r="I4204" s="23"/>
      <c r="J4204" s="23"/>
      <c r="K4204" s="23"/>
      <c r="L4204" s="375" t="s">
        <v>7787</v>
      </c>
      <c r="M4204" s="351"/>
      <c r="N4204" s="267">
        <f t="shared" ref="N4204" si="1191">SUM(L4204:M4204)</f>
        <v>0</v>
      </c>
      <c r="O4204" s="268">
        <f t="shared" ref="O4204" si="1192">SUM(P4204:Z4204)</f>
        <v>0</v>
      </c>
      <c r="P4204" s="239"/>
      <c r="Q4204" s="239"/>
      <c r="R4204" s="239"/>
      <c r="S4204" s="239"/>
      <c r="T4204" s="239"/>
      <c r="U4204" s="240"/>
      <c r="V4204" s="240"/>
      <c r="W4204" s="240"/>
      <c r="X4204" s="278"/>
      <c r="Y4204" s="240"/>
      <c r="Z4204" s="237"/>
      <c r="AA4204" s="279"/>
      <c r="AB4204" s="238"/>
      <c r="AC4204" s="196">
        <f t="shared" si="1092"/>
        <v>0</v>
      </c>
      <c r="AD4204" s="196">
        <f t="shared" si="1093"/>
        <v>0</v>
      </c>
      <c r="AE4204" s="196">
        <f t="shared" si="1094"/>
        <v>0</v>
      </c>
      <c r="AF4204" s="2">
        <f t="shared" si="1095"/>
        <v>0</v>
      </c>
      <c r="AG4204" s="2">
        <f t="shared" si="1096"/>
        <v>0</v>
      </c>
    </row>
    <row r="4205" spans="1:33">
      <c r="A4205" s="20" t="s">
        <v>24919</v>
      </c>
      <c r="B4205" s="150"/>
      <c r="C4205" s="21" t="s">
        <v>24939</v>
      </c>
      <c r="D4205" s="109" t="s">
        <v>5979</v>
      </c>
      <c r="E4205" s="109"/>
      <c r="F4205" s="391" t="s">
        <v>24941</v>
      </c>
      <c r="G4205" s="23" t="s">
        <v>15443</v>
      </c>
      <c r="H4205" s="23"/>
      <c r="I4205" s="23"/>
      <c r="J4205" s="23"/>
      <c r="K4205" s="23"/>
      <c r="L4205" s="375" t="s">
        <v>27883</v>
      </c>
      <c r="M4205" s="351" t="s">
        <v>45</v>
      </c>
      <c r="N4205" s="267">
        <f t="shared" ref="N4205" si="1193">SUM(L4205:M4205)</f>
        <v>0</v>
      </c>
      <c r="O4205" s="268">
        <f t="shared" ref="O4205" si="1194">SUM(P4205:Z4205)</f>
        <v>3400</v>
      </c>
      <c r="P4205" s="239"/>
      <c r="Q4205" s="239"/>
      <c r="R4205" s="239"/>
      <c r="S4205" s="239"/>
      <c r="T4205" s="239"/>
      <c r="U4205" s="240"/>
      <c r="V4205" s="240">
        <f>2100-2000+200+500+400-1000+1100-1000+500-100-500+1700-1500+800+1000-2000-100+3900-3000+2400-3000+3500-3000+2400+2700+1400-2000-2000</f>
        <v>3400</v>
      </c>
      <c r="W4205" s="240"/>
      <c r="X4205" s="278"/>
      <c r="Y4205" s="240"/>
      <c r="Z4205" s="237"/>
      <c r="AA4205" s="279"/>
      <c r="AB4205" s="238" t="s">
        <v>27853</v>
      </c>
      <c r="AC4205" s="196">
        <f t="shared" si="1092"/>
        <v>3400</v>
      </c>
      <c r="AD4205" s="196">
        <f t="shared" si="1093"/>
        <v>3400</v>
      </c>
      <c r="AE4205" s="196">
        <f t="shared" si="1094"/>
        <v>0</v>
      </c>
      <c r="AF4205" s="2">
        <f t="shared" si="1095"/>
        <v>3400</v>
      </c>
      <c r="AG4205" s="2">
        <f t="shared" si="1096"/>
        <v>0</v>
      </c>
    </row>
    <row r="4206" spans="1:33">
      <c r="A4206" s="20" t="s">
        <v>24528</v>
      </c>
      <c r="B4206" s="150"/>
      <c r="C4206" s="21" t="s">
        <v>24551</v>
      </c>
      <c r="D4206" s="109" t="s">
        <v>3137</v>
      </c>
      <c r="E4206" s="109" t="s">
        <v>26331</v>
      </c>
      <c r="F4206" s="391" t="s">
        <v>24552</v>
      </c>
      <c r="G4206" s="23" t="s">
        <v>24553</v>
      </c>
      <c r="H4206" s="23" t="s">
        <v>24680</v>
      </c>
      <c r="I4206" s="23"/>
      <c r="J4206" s="23"/>
      <c r="K4206" s="23"/>
      <c r="L4206" s="375"/>
      <c r="M4206" s="351"/>
      <c r="N4206" s="267">
        <f t="shared" ref="N4206:N4208" si="1195">SUM(L4206:M4206)</f>
        <v>0</v>
      </c>
      <c r="O4206" s="268">
        <f t="shared" ref="O4206:O4208" si="1196">SUM(P4206:Z4206)</f>
        <v>0</v>
      </c>
      <c r="P4206" s="239"/>
      <c r="Q4206" s="239"/>
      <c r="R4206" s="239"/>
      <c r="S4206" s="239"/>
      <c r="T4206" s="239"/>
      <c r="U4206" s="240"/>
      <c r="V4206" s="240"/>
      <c r="W4206" s="240"/>
      <c r="X4206" s="278"/>
      <c r="Y4206" s="240"/>
      <c r="Z4206" s="237"/>
      <c r="AA4206" s="279"/>
      <c r="AB4206" s="238"/>
      <c r="AC4206" s="196">
        <f t="shared" si="1092"/>
        <v>0</v>
      </c>
      <c r="AD4206" s="196">
        <f t="shared" si="1093"/>
        <v>0</v>
      </c>
      <c r="AE4206" s="196">
        <f t="shared" si="1094"/>
        <v>0</v>
      </c>
      <c r="AF4206" s="2">
        <f t="shared" si="1095"/>
        <v>0</v>
      </c>
      <c r="AG4206" s="2">
        <f t="shared" si="1096"/>
        <v>0</v>
      </c>
    </row>
    <row r="4207" spans="1:33">
      <c r="A4207" s="20" t="s">
        <v>24535</v>
      </c>
      <c r="B4207" s="150"/>
      <c r="C4207" s="21" t="s">
        <v>24563</v>
      </c>
      <c r="D4207" s="109" t="s">
        <v>5979</v>
      </c>
      <c r="E4207" s="109"/>
      <c r="F4207" s="391" t="s">
        <v>24572</v>
      </c>
      <c r="G4207" s="23" t="s">
        <v>24564</v>
      </c>
      <c r="H4207" s="23" t="s">
        <v>13942</v>
      </c>
      <c r="I4207" s="23"/>
      <c r="J4207" s="23"/>
      <c r="K4207" s="23"/>
      <c r="L4207" s="375"/>
      <c r="M4207" s="351"/>
      <c r="N4207" s="267">
        <f t="shared" si="1195"/>
        <v>0</v>
      </c>
      <c r="O4207" s="268">
        <f t="shared" si="1196"/>
        <v>500</v>
      </c>
      <c r="P4207" s="239"/>
      <c r="Q4207" s="239"/>
      <c r="R4207" s="239"/>
      <c r="S4207" s="239"/>
      <c r="T4207" s="239"/>
      <c r="U4207" s="240">
        <f>750-250</f>
        <v>500</v>
      </c>
      <c r="V4207" s="240"/>
      <c r="W4207" s="240"/>
      <c r="X4207" s="278"/>
      <c r="Y4207" s="240"/>
      <c r="Z4207" s="237"/>
      <c r="AA4207" s="279"/>
      <c r="AB4207" s="238" t="s">
        <v>26355</v>
      </c>
      <c r="AC4207" s="196">
        <f t="shared" si="1092"/>
        <v>500</v>
      </c>
      <c r="AD4207" s="196">
        <f t="shared" si="1093"/>
        <v>500</v>
      </c>
      <c r="AE4207" s="196">
        <f t="shared" si="1094"/>
        <v>0</v>
      </c>
      <c r="AF4207" s="2">
        <f t="shared" si="1095"/>
        <v>500</v>
      </c>
      <c r="AG4207" s="2">
        <f t="shared" si="1096"/>
        <v>0</v>
      </c>
    </row>
    <row r="4208" spans="1:33">
      <c r="A4208" s="20" t="s">
        <v>24483</v>
      </c>
      <c r="B4208" s="150"/>
      <c r="C4208" s="21" t="s">
        <v>24509</v>
      </c>
      <c r="D4208" s="109" t="s">
        <v>3137</v>
      </c>
      <c r="E4208" s="109" t="s">
        <v>24510</v>
      </c>
      <c r="F4208" s="391" t="s">
        <v>24519</v>
      </c>
      <c r="G4208" s="23" t="s">
        <v>6133</v>
      </c>
      <c r="H4208" s="23"/>
      <c r="I4208" s="23"/>
      <c r="J4208" s="23"/>
      <c r="K4208" s="23"/>
      <c r="L4208" s="375" t="s">
        <v>7787</v>
      </c>
      <c r="M4208" s="351" t="s">
        <v>7787</v>
      </c>
      <c r="N4208" s="267">
        <f t="shared" si="1195"/>
        <v>0</v>
      </c>
      <c r="O4208" s="268">
        <f t="shared" si="1196"/>
        <v>1550</v>
      </c>
      <c r="P4208" s="239"/>
      <c r="Q4208" s="239">
        <f>1300-1000+1750-1000+500</f>
        <v>1550</v>
      </c>
      <c r="R4208" s="239"/>
      <c r="S4208" s="239"/>
      <c r="T4208" s="239"/>
      <c r="U4208" s="240"/>
      <c r="V4208" s="240"/>
      <c r="W4208" s="240"/>
      <c r="X4208" s="278"/>
      <c r="Y4208" s="240"/>
      <c r="Z4208" s="237"/>
      <c r="AA4208" s="279"/>
      <c r="AB4208" s="238" t="s">
        <v>24908</v>
      </c>
      <c r="AC4208" s="196">
        <f t="shared" si="1092"/>
        <v>1550</v>
      </c>
      <c r="AD4208" s="196">
        <f t="shared" si="1093"/>
        <v>1550</v>
      </c>
      <c r="AE4208" s="196">
        <f t="shared" si="1094"/>
        <v>0</v>
      </c>
      <c r="AF4208" s="2">
        <f t="shared" si="1095"/>
        <v>1550</v>
      </c>
      <c r="AG4208" s="2">
        <f t="shared" si="1096"/>
        <v>0</v>
      </c>
    </row>
    <row r="4209" spans="1:33">
      <c r="A4209" s="20" t="s">
        <v>2922</v>
      </c>
      <c r="B4209" s="161"/>
      <c r="C4209" s="21" t="s">
        <v>852</v>
      </c>
      <c r="D4209" s="109" t="s">
        <v>16376</v>
      </c>
      <c r="E4209" s="109" t="s">
        <v>15965</v>
      </c>
      <c r="F4209" s="391" t="s">
        <v>16913</v>
      </c>
      <c r="G4209" s="23" t="s">
        <v>16817</v>
      </c>
      <c r="H4209" s="23"/>
      <c r="I4209" s="23"/>
      <c r="J4209" s="23"/>
      <c r="K4209" s="23"/>
      <c r="L4209" s="375" t="s">
        <v>7787</v>
      </c>
      <c r="M4209" s="351"/>
      <c r="N4209" s="267">
        <f t="shared" si="1111"/>
        <v>0</v>
      </c>
      <c r="O4209" s="268">
        <f t="shared" si="1112"/>
        <v>0</v>
      </c>
      <c r="P4209" s="239"/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/>
      <c r="AC4209" s="196">
        <f t="shared" si="1092"/>
        <v>0</v>
      </c>
      <c r="AD4209" s="196">
        <f t="shared" si="1093"/>
        <v>0</v>
      </c>
      <c r="AE4209" s="196">
        <f t="shared" si="1094"/>
        <v>0</v>
      </c>
      <c r="AF4209" s="2">
        <f t="shared" si="1095"/>
        <v>0</v>
      </c>
      <c r="AG4209" s="2">
        <f t="shared" si="1096"/>
        <v>0</v>
      </c>
    </row>
    <row r="4210" spans="1:33">
      <c r="A4210" s="20" t="s">
        <v>2923</v>
      </c>
      <c r="B4210" s="156" t="s">
        <v>16914</v>
      </c>
      <c r="C4210" s="21" t="s">
        <v>852</v>
      </c>
      <c r="D4210" s="109" t="s">
        <v>15161</v>
      </c>
      <c r="E4210" s="109"/>
      <c r="F4210" s="391" t="s">
        <v>16913</v>
      </c>
      <c r="G4210" s="23"/>
      <c r="H4210" s="23"/>
      <c r="I4210" s="23"/>
      <c r="J4210" s="23"/>
      <c r="K4210" s="23"/>
      <c r="L4210" s="350"/>
      <c r="M4210" s="351"/>
      <c r="N4210" s="267">
        <f t="shared" si="1111"/>
        <v>0</v>
      </c>
      <c r="O4210" s="268">
        <f t="shared" si="1112"/>
        <v>0</v>
      </c>
      <c r="P4210" s="239"/>
      <c r="Q4210" s="239"/>
      <c r="R4210" s="239"/>
      <c r="S4210" s="239"/>
      <c r="T4210" s="239"/>
      <c r="U4210" s="240"/>
      <c r="V4210" s="240"/>
      <c r="W4210" s="240"/>
      <c r="X4210" s="278"/>
      <c r="Y4210" s="237"/>
      <c r="Z4210" s="237"/>
      <c r="AA4210" s="279"/>
      <c r="AB4210" s="238"/>
      <c r="AC4210" s="196">
        <f t="shared" si="1092"/>
        <v>0</v>
      </c>
      <c r="AD4210" s="196">
        <f t="shared" si="1093"/>
        <v>0</v>
      </c>
      <c r="AE4210" s="196">
        <f t="shared" si="1094"/>
        <v>0</v>
      </c>
      <c r="AF4210" s="2">
        <f t="shared" si="1095"/>
        <v>0</v>
      </c>
      <c r="AG4210" s="2">
        <f t="shared" si="1096"/>
        <v>0</v>
      </c>
    </row>
    <row r="4211" spans="1:33">
      <c r="A4211" s="20" t="s">
        <v>2925</v>
      </c>
      <c r="B4211" s="156"/>
      <c r="C4211" s="21" t="s">
        <v>852</v>
      </c>
      <c r="D4211" s="109" t="s">
        <v>15167</v>
      </c>
      <c r="E4211" s="109" t="s">
        <v>27189</v>
      </c>
      <c r="F4211" s="391" t="s">
        <v>16913</v>
      </c>
      <c r="G4211" s="23" t="s">
        <v>24698</v>
      </c>
      <c r="H4211" s="23" t="s">
        <v>16817</v>
      </c>
      <c r="I4211" s="23" t="s">
        <v>26304</v>
      </c>
      <c r="J4211" s="23" t="s">
        <v>27016</v>
      </c>
      <c r="K4211" s="23"/>
      <c r="L4211" s="350"/>
      <c r="M4211" s="351"/>
      <c r="N4211" s="267">
        <f t="shared" si="1057"/>
        <v>0</v>
      </c>
      <c r="O4211" s="268">
        <f t="shared" si="1058"/>
        <v>250</v>
      </c>
      <c r="P4211" s="239">
        <f>500+500-250-500</f>
        <v>250</v>
      </c>
      <c r="Q4211" s="239"/>
      <c r="R4211" s="239"/>
      <c r="S4211" s="239"/>
      <c r="T4211" s="239"/>
      <c r="U4211" s="240"/>
      <c r="V4211" s="240"/>
      <c r="W4211" s="240"/>
      <c r="X4211" s="278"/>
      <c r="Y4211" s="237"/>
      <c r="Z4211" s="237"/>
      <c r="AA4211" s="279"/>
      <c r="AB4211" s="238" t="s">
        <v>27267</v>
      </c>
      <c r="AC4211" s="196">
        <f t="shared" si="1092"/>
        <v>250</v>
      </c>
      <c r="AD4211" s="196">
        <f t="shared" si="1093"/>
        <v>250</v>
      </c>
      <c r="AE4211" s="196">
        <f t="shared" si="1094"/>
        <v>0</v>
      </c>
      <c r="AF4211" s="2">
        <f t="shared" si="1095"/>
        <v>250</v>
      </c>
      <c r="AG4211" s="2">
        <f t="shared" si="1096"/>
        <v>0</v>
      </c>
    </row>
    <row r="4212" spans="1:33">
      <c r="A4212" s="20" t="s">
        <v>27134</v>
      </c>
      <c r="B4212" s="156"/>
      <c r="C4212" s="21" t="s">
        <v>852</v>
      </c>
      <c r="D4212" s="109" t="s">
        <v>4059</v>
      </c>
      <c r="E4212" s="109" t="s">
        <v>27189</v>
      </c>
      <c r="F4212" s="391" t="s">
        <v>27186</v>
      </c>
      <c r="G4212" s="23" t="s">
        <v>27187</v>
      </c>
      <c r="H4212" s="23" t="s">
        <v>25985</v>
      </c>
      <c r="I4212" s="23" t="s">
        <v>25893</v>
      </c>
      <c r="J4212" s="23" t="s">
        <v>27188</v>
      </c>
      <c r="K4212" s="23"/>
      <c r="L4212" s="350"/>
      <c r="M4212" s="351"/>
      <c r="N4212" s="267">
        <f t="shared" ref="N4212" si="1197">SUM(L4212:M4212)</f>
        <v>0</v>
      </c>
      <c r="O4212" s="268">
        <f t="shared" ref="O4212" si="1198">SUM(P4212:Z4212)</f>
        <v>0</v>
      </c>
      <c r="P4212" s="239"/>
      <c r="Q4212" s="239"/>
      <c r="R4212" s="239"/>
      <c r="S4212" s="239"/>
      <c r="T4212" s="239"/>
      <c r="U4212" s="240"/>
      <c r="V4212" s="240"/>
      <c r="W4212" s="240"/>
      <c r="X4212" s="278"/>
      <c r="Y4212" s="237"/>
      <c r="Z4212" s="237"/>
      <c r="AA4212" s="279"/>
      <c r="AB4212" s="238"/>
      <c r="AC4212" s="196">
        <f t="shared" ref="AC4212" si="1199">SUM(P4212:AA4212)</f>
        <v>0</v>
      </c>
      <c r="AD4212" s="196">
        <f t="shared" ref="AD4212" si="1200">SUM(P4212:AB4212)</f>
        <v>0</v>
      </c>
      <c r="AE4212" s="196">
        <f t="shared" ref="AE4212" si="1201">SUM(AC4212-AD4212)</f>
        <v>0</v>
      </c>
      <c r="AF4212" s="2">
        <f t="shared" ref="AF4212" si="1202">+AC4212</f>
        <v>0</v>
      </c>
      <c r="AG4212" s="2">
        <f t="shared" ref="AG4212" si="1203">+AC4212-AF4212</f>
        <v>0</v>
      </c>
    </row>
    <row r="4213" spans="1:33">
      <c r="A4213" s="20" t="s">
        <v>2924</v>
      </c>
      <c r="B4213" s="156"/>
      <c r="C4213" s="21" t="s">
        <v>852</v>
      </c>
      <c r="D4213" s="109" t="s">
        <v>15167</v>
      </c>
      <c r="E4213" s="109" t="s">
        <v>27189</v>
      </c>
      <c r="F4213" s="391" t="s">
        <v>25771</v>
      </c>
      <c r="G4213" s="23" t="s">
        <v>15621</v>
      </c>
      <c r="H4213" s="23"/>
      <c r="I4213" s="23"/>
      <c r="J4213" s="23"/>
      <c r="K4213" s="23"/>
      <c r="L4213" s="350"/>
      <c r="M4213" s="351"/>
      <c r="N4213" s="267">
        <f t="shared" si="1057"/>
        <v>0</v>
      </c>
      <c r="O4213" s="268">
        <f t="shared" si="1058"/>
        <v>100</v>
      </c>
      <c r="P4213" s="239">
        <f>1000+500-500-100-200-100-500</f>
        <v>100</v>
      </c>
      <c r="Q4213" s="239"/>
      <c r="R4213" s="239"/>
      <c r="S4213" s="239"/>
      <c r="T4213" s="239"/>
      <c r="U4213" s="240"/>
      <c r="V4213" s="240"/>
      <c r="W4213" s="240"/>
      <c r="X4213" s="278"/>
      <c r="Y4213" s="237"/>
      <c r="Z4213" s="237"/>
      <c r="AA4213" s="279"/>
      <c r="AB4213" s="238" t="s">
        <v>25772</v>
      </c>
      <c r="AC4213" s="196">
        <f t="shared" si="1092"/>
        <v>100</v>
      </c>
      <c r="AD4213" s="196">
        <f t="shared" si="1093"/>
        <v>100</v>
      </c>
      <c r="AE4213" s="196">
        <f t="shared" si="1094"/>
        <v>0</v>
      </c>
      <c r="AF4213" s="2">
        <f t="shared" si="1095"/>
        <v>100</v>
      </c>
      <c r="AG4213" s="2">
        <f t="shared" si="1096"/>
        <v>0</v>
      </c>
    </row>
    <row r="4214" spans="1:33">
      <c r="A4214" s="20" t="s">
        <v>2921</v>
      </c>
      <c r="B4214" s="150"/>
      <c r="C4214" s="21" t="s">
        <v>852</v>
      </c>
      <c r="D4214" s="109" t="s">
        <v>16363</v>
      </c>
      <c r="E4214" s="109"/>
      <c r="F4214" s="391" t="s">
        <v>16913</v>
      </c>
      <c r="G4214" s="23"/>
      <c r="H4214" s="23"/>
      <c r="I4214" s="23"/>
      <c r="J4214" s="23"/>
      <c r="K4214" s="23"/>
      <c r="L4214" s="350"/>
      <c r="M4214" s="351"/>
      <c r="N4214" s="267">
        <f t="shared" si="1057"/>
        <v>0</v>
      </c>
      <c r="O4214" s="268">
        <f t="shared" si="1058"/>
        <v>0</v>
      </c>
      <c r="P4214" s="239"/>
      <c r="Q4214" s="239"/>
      <c r="R4214" s="239"/>
      <c r="S4214" s="239"/>
      <c r="T4214" s="239"/>
      <c r="U4214" s="240"/>
      <c r="V4214" s="240"/>
      <c r="W4214" s="240"/>
      <c r="X4214" s="278"/>
      <c r="Y4214" s="237"/>
      <c r="Z4214" s="237"/>
      <c r="AA4214" s="279"/>
      <c r="AB4214" s="238"/>
      <c r="AC4214" s="196">
        <f t="shared" si="1092"/>
        <v>0</v>
      </c>
      <c r="AD4214" s="196">
        <f t="shared" si="1093"/>
        <v>0</v>
      </c>
      <c r="AE4214" s="196">
        <f t="shared" si="1094"/>
        <v>0</v>
      </c>
      <c r="AF4214" s="2">
        <f t="shared" si="1095"/>
        <v>0</v>
      </c>
      <c r="AG4214" s="2">
        <f t="shared" si="1096"/>
        <v>0</v>
      </c>
    </row>
    <row r="4215" spans="1:33">
      <c r="A4215" s="20" t="s">
        <v>24529</v>
      </c>
      <c r="B4215" s="150"/>
      <c r="C4215" s="21" t="s">
        <v>24549</v>
      </c>
      <c r="D4215" s="109" t="s">
        <v>5979</v>
      </c>
      <c r="E4215" s="109"/>
      <c r="F4215" s="391" t="s">
        <v>24554</v>
      </c>
      <c r="G4215" s="23" t="s">
        <v>15443</v>
      </c>
      <c r="H4215" s="23" t="s">
        <v>25229</v>
      </c>
      <c r="I4215" s="23" t="s">
        <v>13942</v>
      </c>
      <c r="J4215" s="23" t="s">
        <v>26688</v>
      </c>
      <c r="K4215" s="23"/>
      <c r="L4215" s="375" t="s">
        <v>27571</v>
      </c>
      <c r="M4215" s="351" t="s">
        <v>45</v>
      </c>
      <c r="N4215" s="267">
        <f t="shared" ref="N4215:N4216" si="1204">SUM(L4215:M4215)</f>
        <v>0</v>
      </c>
      <c r="O4215" s="268">
        <f t="shared" ref="O4215:O4216" si="1205">SUM(P4215:Z4215)</f>
        <v>2500</v>
      </c>
      <c r="P4215" s="239"/>
      <c r="Q4215" s="239"/>
      <c r="R4215" s="239"/>
      <c r="S4215" s="239"/>
      <c r="T4215" s="239"/>
      <c r="U4215" s="240"/>
      <c r="V4215" s="240">
        <f>2700+1500+4500-3600+2800-3600-3600-200+900+3200+1500-3600</f>
        <v>2500</v>
      </c>
      <c r="W4215" s="240"/>
      <c r="X4215" s="278"/>
      <c r="Y4215" s="237"/>
      <c r="Z4215" s="237"/>
      <c r="AA4215" s="279"/>
      <c r="AB4215" s="238" t="s">
        <v>27568</v>
      </c>
      <c r="AC4215" s="196">
        <f t="shared" si="1092"/>
        <v>2500</v>
      </c>
      <c r="AD4215" s="196">
        <f t="shared" si="1093"/>
        <v>2500</v>
      </c>
      <c r="AE4215" s="196">
        <f t="shared" si="1094"/>
        <v>0</v>
      </c>
      <c r="AF4215" s="2">
        <f t="shared" si="1095"/>
        <v>2500</v>
      </c>
      <c r="AG4215" s="2">
        <f t="shared" si="1096"/>
        <v>0</v>
      </c>
    </row>
    <row r="4216" spans="1:33">
      <c r="A4216" s="20" t="s">
        <v>24530</v>
      </c>
      <c r="B4216" s="150"/>
      <c r="C4216" s="21" t="s">
        <v>25907</v>
      </c>
      <c r="D4216" s="109" t="s">
        <v>5979</v>
      </c>
      <c r="E4216" s="109" t="s">
        <v>27177</v>
      </c>
      <c r="F4216" s="391" t="s">
        <v>24555</v>
      </c>
      <c r="G4216" s="23" t="s">
        <v>15443</v>
      </c>
      <c r="H4216" s="23"/>
      <c r="I4216" s="23"/>
      <c r="J4216" s="23"/>
      <c r="K4216" s="23"/>
      <c r="L4216" s="375">
        <f>4530+3020</f>
        <v>7550</v>
      </c>
      <c r="M4216" s="351"/>
      <c r="N4216" s="267">
        <f t="shared" si="1204"/>
        <v>7550</v>
      </c>
      <c r="O4216" s="268">
        <f t="shared" si="1205"/>
        <v>16400</v>
      </c>
      <c r="P4216" s="239"/>
      <c r="Q4216" s="239"/>
      <c r="R4216" s="239"/>
      <c r="S4216" s="239"/>
      <c r="T4216" s="239"/>
      <c r="U4216" s="240">
        <f>3100+3200+3200+3200-8400+3200+3100+3200+3200+3100+3200+3000-10800+3200+3000+3000+3200+2800+3100+3000+3200+2900+3000+3100+3200+3000-7200-7200-3600-6600-3600-3600-10800-100-7200-3600-1400+4300-3000-1300</f>
        <v>300</v>
      </c>
      <c r="V4216" s="240">
        <f>2800-2000-100+11500-12100+2900+2800+2900+7400</f>
        <v>16100</v>
      </c>
      <c r="W4216" s="240"/>
      <c r="X4216" s="278"/>
      <c r="Y4216" s="237"/>
      <c r="Z4216" s="237"/>
      <c r="AA4216" s="279"/>
      <c r="AB4216" s="238" t="s">
        <v>28031</v>
      </c>
      <c r="AC4216" s="196">
        <f t="shared" si="1092"/>
        <v>16400</v>
      </c>
      <c r="AD4216" s="196">
        <f t="shared" si="1093"/>
        <v>16400</v>
      </c>
      <c r="AE4216" s="196">
        <f t="shared" si="1094"/>
        <v>0</v>
      </c>
      <c r="AF4216" s="2">
        <f t="shared" si="1095"/>
        <v>16400</v>
      </c>
      <c r="AG4216" s="2">
        <f t="shared" si="1096"/>
        <v>0</v>
      </c>
    </row>
    <row r="4217" spans="1:33">
      <c r="A4217" s="20" t="s">
        <v>26112</v>
      </c>
      <c r="B4217" s="150"/>
      <c r="C4217" s="21" t="s">
        <v>25908</v>
      </c>
      <c r="D4217" s="109" t="s">
        <v>5979</v>
      </c>
      <c r="E4217" s="109" t="s">
        <v>26097</v>
      </c>
      <c r="F4217" s="391" t="s">
        <v>24555</v>
      </c>
      <c r="G4217" s="23" t="s">
        <v>15443</v>
      </c>
      <c r="H4217" s="23" t="s">
        <v>25717</v>
      </c>
      <c r="I4217" s="23" t="s">
        <v>26679</v>
      </c>
      <c r="J4217" s="23"/>
      <c r="K4217" s="23"/>
      <c r="L4217" s="375" t="s">
        <v>45</v>
      </c>
      <c r="M4217" s="351" t="s">
        <v>45</v>
      </c>
      <c r="N4217" s="267">
        <f t="shared" ref="N4217:N4218" si="1206">SUM(L4217:M4217)</f>
        <v>0</v>
      </c>
      <c r="O4217" s="268">
        <f t="shared" ref="O4217:O4218" si="1207">SUM(P4217:Z4217)</f>
        <v>21800</v>
      </c>
      <c r="P4217" s="239"/>
      <c r="Q4217" s="239"/>
      <c r="R4217" s="239"/>
      <c r="S4217" s="239"/>
      <c r="T4217" s="239"/>
      <c r="U4217" s="240"/>
      <c r="V4217" s="240">
        <f>3500+3600+3600+3600+3800+3700</f>
        <v>21800</v>
      </c>
      <c r="W4217" s="240"/>
      <c r="X4217" s="278"/>
      <c r="Y4217" s="237"/>
      <c r="Z4217" s="237"/>
      <c r="AA4217" s="279"/>
      <c r="AB4217" s="238" t="s">
        <v>28049</v>
      </c>
      <c r="AC4217" s="196">
        <f t="shared" si="1092"/>
        <v>21800</v>
      </c>
      <c r="AD4217" s="196">
        <f t="shared" si="1093"/>
        <v>21800</v>
      </c>
      <c r="AE4217" s="196">
        <f t="shared" si="1094"/>
        <v>0</v>
      </c>
      <c r="AF4217" s="2">
        <f t="shared" si="1095"/>
        <v>21800</v>
      </c>
      <c r="AG4217" s="2">
        <f t="shared" si="1096"/>
        <v>0</v>
      </c>
    </row>
    <row r="4218" spans="1:33">
      <c r="A4218" s="20" t="s">
        <v>26113</v>
      </c>
      <c r="B4218" s="150"/>
      <c r="C4218" s="21" t="s">
        <v>25909</v>
      </c>
      <c r="D4218" s="109" t="s">
        <v>5979</v>
      </c>
      <c r="E4218" s="109" t="s">
        <v>26097</v>
      </c>
      <c r="F4218" s="391" t="s">
        <v>24555</v>
      </c>
      <c r="G4218" s="23" t="s">
        <v>15443</v>
      </c>
      <c r="H4218" s="23" t="s">
        <v>26181</v>
      </c>
      <c r="I4218" s="23"/>
      <c r="J4218" s="23"/>
      <c r="K4218" s="23"/>
      <c r="L4218" s="375" t="s">
        <v>45</v>
      </c>
      <c r="M4218" s="351" t="s">
        <v>45</v>
      </c>
      <c r="N4218" s="267">
        <f t="shared" si="1206"/>
        <v>0</v>
      </c>
      <c r="O4218" s="268">
        <f t="shared" si="1207"/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 t="s">
        <v>27894</v>
      </c>
      <c r="AC4218" s="196">
        <f t="shared" si="1092"/>
        <v>0</v>
      </c>
      <c r="AD4218" s="196">
        <f t="shared" si="1093"/>
        <v>0</v>
      </c>
      <c r="AE4218" s="196">
        <f t="shared" si="1094"/>
        <v>0</v>
      </c>
      <c r="AF4218" s="2">
        <f t="shared" si="1095"/>
        <v>0</v>
      </c>
      <c r="AG4218" s="2">
        <f t="shared" si="1096"/>
        <v>0</v>
      </c>
    </row>
    <row r="4219" spans="1:33">
      <c r="A4219" s="20" t="s">
        <v>27135</v>
      </c>
      <c r="B4219" s="150"/>
      <c r="C4219" s="21" t="s">
        <v>27176</v>
      </c>
      <c r="D4219" s="109" t="s">
        <v>20994</v>
      </c>
      <c r="E4219" s="109" t="s">
        <v>27177</v>
      </c>
      <c r="F4219" s="391" t="s">
        <v>27175</v>
      </c>
      <c r="G4219" s="23" t="s">
        <v>25826</v>
      </c>
      <c r="H4219" s="23" t="s">
        <v>25828</v>
      </c>
      <c r="I4219" s="23"/>
      <c r="J4219" s="23"/>
      <c r="K4219" s="23"/>
      <c r="L4219" s="375"/>
      <c r="M4219" s="351"/>
      <c r="N4219" s="267">
        <f t="shared" ref="N4219" si="1208">SUM(L4219:M4219)</f>
        <v>0</v>
      </c>
      <c r="O4219" s="268">
        <f t="shared" ref="O4219" si="1209">SUM(P4219:Z4219)</f>
        <v>30500</v>
      </c>
      <c r="P4219" s="239"/>
      <c r="Q4219" s="239"/>
      <c r="R4219" s="239"/>
      <c r="S4219" s="239"/>
      <c r="T4219" s="239"/>
      <c r="U4219" s="240"/>
      <c r="V4219" s="240">
        <f>2800+2900+3600+2200-3000+2800+3000+3400+2400+3600+3300</f>
        <v>27000</v>
      </c>
      <c r="W4219" s="240"/>
      <c r="X4219" s="278"/>
      <c r="Y4219" s="237">
        <v>3500</v>
      </c>
      <c r="Z4219" s="237"/>
      <c r="AA4219" s="279"/>
      <c r="AB4219" s="238" t="s">
        <v>28046</v>
      </c>
      <c r="AC4219" s="196">
        <f t="shared" ref="AC4219" si="1210">SUM(P4219:AA4219)</f>
        <v>30500</v>
      </c>
      <c r="AD4219" s="196">
        <f t="shared" ref="AD4219" si="1211">SUM(P4219:AB4219)</f>
        <v>30500</v>
      </c>
      <c r="AE4219" s="196">
        <f t="shared" ref="AE4219" si="1212">SUM(AC4219-AD4219)</f>
        <v>0</v>
      </c>
      <c r="AF4219" s="2">
        <f t="shared" ref="AF4219" si="1213">+AC4219</f>
        <v>30500</v>
      </c>
      <c r="AG4219" s="2">
        <f t="shared" ref="AG4219" si="1214">+AC4219-AF4219</f>
        <v>0</v>
      </c>
    </row>
    <row r="4220" spans="1:33">
      <c r="A4220" s="20" t="s">
        <v>26759</v>
      </c>
      <c r="B4220" s="150"/>
      <c r="C4220" s="21" t="s">
        <v>26782</v>
      </c>
      <c r="D4220" s="109" t="s">
        <v>5979</v>
      </c>
      <c r="E4220" s="109" t="s">
        <v>27177</v>
      </c>
      <c r="F4220" s="391" t="s">
        <v>24555</v>
      </c>
      <c r="G4220" s="23" t="s">
        <v>15443</v>
      </c>
      <c r="H4220" s="23"/>
      <c r="I4220" s="23"/>
      <c r="J4220" s="23"/>
      <c r="K4220" s="23"/>
      <c r="L4220" s="375" t="s">
        <v>27527</v>
      </c>
      <c r="M4220" s="351"/>
      <c r="N4220" s="267">
        <f t="shared" ref="N4220:N4221" si="1215">SUM(L4220:M4220)</f>
        <v>0</v>
      </c>
      <c r="O4220" s="268">
        <f t="shared" ref="O4220:O4221" si="1216">SUM(P4220:Z4220)</f>
        <v>0</v>
      </c>
      <c r="P4220" s="239"/>
      <c r="Q4220" s="239"/>
      <c r="R4220" s="239"/>
      <c r="S4220" s="239"/>
      <c r="T4220" s="239"/>
      <c r="U4220" s="240"/>
      <c r="V4220" s="240"/>
      <c r="W4220" s="240"/>
      <c r="X4220" s="278"/>
      <c r="Y4220" s="237"/>
      <c r="Z4220" s="237"/>
      <c r="AA4220" s="279"/>
      <c r="AB4220" s="238"/>
      <c r="AC4220" s="196">
        <f t="shared" si="1092"/>
        <v>0</v>
      </c>
      <c r="AD4220" s="196">
        <f t="shared" si="1093"/>
        <v>0</v>
      </c>
      <c r="AE4220" s="196">
        <f t="shared" si="1094"/>
        <v>0</v>
      </c>
      <c r="AF4220" s="2">
        <f t="shared" si="1095"/>
        <v>0</v>
      </c>
      <c r="AG4220" s="2">
        <f t="shared" si="1096"/>
        <v>0</v>
      </c>
    </row>
    <row r="4221" spans="1:33">
      <c r="A4221" s="20" t="s">
        <v>26763</v>
      </c>
      <c r="B4221" s="150"/>
      <c r="C4221" s="21" t="s">
        <v>26783</v>
      </c>
      <c r="D4221" s="109" t="s">
        <v>5979</v>
      </c>
      <c r="E4221" s="109" t="s">
        <v>26097</v>
      </c>
      <c r="F4221" s="391" t="s">
        <v>24555</v>
      </c>
      <c r="G4221" s="23" t="s">
        <v>15443</v>
      </c>
      <c r="H4221" s="23"/>
      <c r="I4221" s="23"/>
      <c r="J4221" s="23"/>
      <c r="K4221" s="23"/>
      <c r="L4221" s="375" t="s">
        <v>45</v>
      </c>
      <c r="M4221" s="351"/>
      <c r="N4221" s="267">
        <f t="shared" si="1215"/>
        <v>0</v>
      </c>
      <c r="O4221" s="268">
        <f t="shared" si="1216"/>
        <v>0</v>
      </c>
      <c r="P4221" s="239"/>
      <c r="Q4221" s="239"/>
      <c r="R4221" s="239"/>
      <c r="S4221" s="239"/>
      <c r="T4221" s="239"/>
      <c r="U4221" s="240"/>
      <c r="V4221" s="240"/>
      <c r="W4221" s="240"/>
      <c r="X4221" s="278"/>
      <c r="Y4221" s="237"/>
      <c r="Z4221" s="237"/>
      <c r="AA4221" s="279"/>
      <c r="AB4221" s="238"/>
      <c r="AC4221" s="196">
        <f t="shared" si="1092"/>
        <v>0</v>
      </c>
      <c r="AD4221" s="196">
        <f t="shared" si="1093"/>
        <v>0</v>
      </c>
      <c r="AE4221" s="196">
        <f t="shared" si="1094"/>
        <v>0</v>
      </c>
      <c r="AF4221" s="2">
        <f t="shared" si="1095"/>
        <v>0</v>
      </c>
      <c r="AG4221" s="2">
        <f t="shared" si="1096"/>
        <v>0</v>
      </c>
    </row>
    <row r="4222" spans="1:33">
      <c r="A4222" s="20"/>
      <c r="B4222" s="150"/>
      <c r="C4222" s="21" t="s">
        <v>27529</v>
      </c>
      <c r="D4222" s="109" t="s">
        <v>20994</v>
      </c>
      <c r="E4222" s="109" t="s">
        <v>27513</v>
      </c>
      <c r="F4222" s="391" t="s">
        <v>27175</v>
      </c>
      <c r="G4222" s="23" t="s">
        <v>25826</v>
      </c>
      <c r="H4222" s="23"/>
      <c r="I4222" s="23"/>
      <c r="J4222" s="23"/>
      <c r="K4222" s="23"/>
      <c r="L4222" s="375" t="s">
        <v>7787</v>
      </c>
      <c r="M4222" s="351"/>
      <c r="N4222" s="267">
        <f t="shared" ref="N4222" si="1217">SUM(L4222:M4222)</f>
        <v>0</v>
      </c>
      <c r="O4222" s="268">
        <f t="shared" ref="O4222" si="1218">SUM(P4222:Z4222)</f>
        <v>0</v>
      </c>
      <c r="P4222" s="239"/>
      <c r="Q4222" s="239"/>
      <c r="R4222" s="239"/>
      <c r="S4222" s="239"/>
      <c r="T4222" s="239"/>
      <c r="U4222" s="240"/>
      <c r="V4222" s="240"/>
      <c r="W4222" s="240"/>
      <c r="X4222" s="278"/>
      <c r="Y4222" s="237"/>
      <c r="Z4222" s="237"/>
      <c r="AA4222" s="279"/>
      <c r="AB4222" s="238"/>
      <c r="AC4222" s="196">
        <f t="shared" ref="AC4222" si="1219">SUM(P4222:AA4222)</f>
        <v>0</v>
      </c>
      <c r="AD4222" s="196">
        <f t="shared" ref="AD4222" si="1220">SUM(P4222:AB4222)</f>
        <v>0</v>
      </c>
      <c r="AE4222" s="196">
        <f t="shared" si="1094"/>
        <v>0</v>
      </c>
      <c r="AF4222" s="2">
        <f t="shared" si="1095"/>
        <v>0</v>
      </c>
      <c r="AG4222" s="2">
        <f t="shared" si="1096"/>
        <v>0</v>
      </c>
    </row>
    <row r="4223" spans="1:33">
      <c r="A4223" s="20"/>
      <c r="B4223" s="150"/>
      <c r="C4223" s="21" t="s">
        <v>27514</v>
      </c>
      <c r="D4223" s="109" t="s">
        <v>20994</v>
      </c>
      <c r="E4223" s="109" t="s">
        <v>27513</v>
      </c>
      <c r="F4223" s="391" t="s">
        <v>27175</v>
      </c>
      <c r="G4223" s="23" t="s">
        <v>25826</v>
      </c>
      <c r="H4223" s="23"/>
      <c r="I4223" s="23"/>
      <c r="J4223" s="23"/>
      <c r="K4223" s="23"/>
      <c r="L4223" s="375" t="s">
        <v>7787</v>
      </c>
      <c r="M4223" s="351"/>
      <c r="N4223" s="267">
        <f t="shared" ref="N4223" si="1221">SUM(L4223:M4223)</f>
        <v>0</v>
      </c>
      <c r="O4223" s="268">
        <f t="shared" ref="O4223" si="1222">SUM(P4223:Z4223)</f>
        <v>0</v>
      </c>
      <c r="P4223" s="239"/>
      <c r="Q4223" s="239"/>
      <c r="R4223" s="239"/>
      <c r="S4223" s="239"/>
      <c r="T4223" s="239"/>
      <c r="U4223" s="240"/>
      <c r="V4223" s="240"/>
      <c r="W4223" s="240"/>
      <c r="X4223" s="278"/>
      <c r="Y4223" s="237"/>
      <c r="Z4223" s="237"/>
      <c r="AA4223" s="279"/>
      <c r="AB4223" s="238"/>
      <c r="AC4223" s="196">
        <f t="shared" ref="AC4223" si="1223">SUM(P4223:AA4223)</f>
        <v>0</v>
      </c>
      <c r="AD4223" s="196">
        <f t="shared" ref="AD4223" si="1224">SUM(P4223:AB4223)</f>
        <v>0</v>
      </c>
      <c r="AE4223" s="196">
        <f t="shared" ref="AE4223" si="1225">SUM(AC4223-AD4223)</f>
        <v>0</v>
      </c>
      <c r="AF4223" s="2">
        <f t="shared" ref="AF4223" si="1226">+AC4223</f>
        <v>0</v>
      </c>
      <c r="AG4223" s="2">
        <f t="shared" ref="AG4223" si="1227">+AC4223-AF4223</f>
        <v>0</v>
      </c>
    </row>
    <row r="4224" spans="1:33">
      <c r="A4224" s="20"/>
      <c r="B4224" s="150"/>
      <c r="C4224" s="21" t="s">
        <v>27771</v>
      </c>
      <c r="D4224" s="109" t="s">
        <v>20994</v>
      </c>
      <c r="E4224" s="109"/>
      <c r="F4224" s="391"/>
      <c r="G4224" s="23" t="s">
        <v>25826</v>
      </c>
      <c r="H4224" s="23"/>
      <c r="I4224" s="23"/>
      <c r="J4224" s="23"/>
      <c r="K4224" s="23"/>
      <c r="L4224" s="375">
        <f>8250+3420</f>
        <v>11670</v>
      </c>
      <c r="M4224" s="351"/>
      <c r="N4224" s="267">
        <f t="shared" ref="N4224" si="1228">SUM(L4224:M4224)</f>
        <v>11670</v>
      </c>
      <c r="O4224" s="268">
        <f t="shared" ref="O4224" si="1229">SUM(P4224:Z4224)</f>
        <v>11300</v>
      </c>
      <c r="P4224" s="239"/>
      <c r="Q4224" s="239"/>
      <c r="R4224" s="239"/>
      <c r="S4224" s="239"/>
      <c r="T4224" s="239"/>
      <c r="U4224" s="240"/>
      <c r="V4224" s="240">
        <f>200+8300-7200+3000+6400+6800-7200+1000</f>
        <v>11300</v>
      </c>
      <c r="W4224" s="240"/>
      <c r="X4224" s="278"/>
      <c r="Y4224" s="237"/>
      <c r="Z4224" s="237"/>
      <c r="AA4224" s="279"/>
      <c r="AB4224" s="238" t="s">
        <v>28040</v>
      </c>
      <c r="AC4224" s="196"/>
      <c r="AD4224" s="196"/>
      <c r="AE4224" s="196"/>
    </row>
    <row r="4225" spans="1:33">
      <c r="A4225" s="20"/>
      <c r="B4225" s="150"/>
      <c r="C4225" s="21" t="s">
        <v>27792</v>
      </c>
      <c r="D4225" s="109" t="s">
        <v>20994</v>
      </c>
      <c r="E4225" s="109"/>
      <c r="F4225" s="391"/>
      <c r="G4225" s="23" t="s">
        <v>25826</v>
      </c>
      <c r="H4225" s="23"/>
      <c r="I4225" s="23"/>
      <c r="J4225" s="23"/>
      <c r="K4225" s="23"/>
      <c r="L4225" s="375" t="s">
        <v>27835</v>
      </c>
      <c r="M4225" s="351"/>
      <c r="N4225" s="267">
        <f t="shared" ref="N4225" si="1230">SUM(L4225:M4225)</f>
        <v>0</v>
      </c>
      <c r="O4225" s="268">
        <f t="shared" ref="O4225" si="1231">SUM(P4225:Z4225)</f>
        <v>21100</v>
      </c>
      <c r="P4225" s="239"/>
      <c r="Q4225" s="239"/>
      <c r="R4225" s="239"/>
      <c r="S4225" s="239"/>
      <c r="T4225" s="239"/>
      <c r="U4225" s="240"/>
      <c r="V4225" s="240">
        <f>3600+3300+3600+3600+3400+3600</f>
        <v>21100</v>
      </c>
      <c r="W4225" s="240"/>
      <c r="X4225" s="278"/>
      <c r="Y4225" s="237"/>
      <c r="Z4225" s="237"/>
      <c r="AA4225" s="279"/>
      <c r="AB4225" s="238" t="s">
        <v>28049</v>
      </c>
      <c r="AC4225" s="196"/>
      <c r="AD4225" s="196"/>
      <c r="AE4225" s="196"/>
    </row>
    <row r="4226" spans="1:33">
      <c r="A4226" s="20"/>
      <c r="B4226" s="150"/>
      <c r="C4226" s="21" t="s">
        <v>27882</v>
      </c>
      <c r="D4226" s="109" t="s">
        <v>20994</v>
      </c>
      <c r="E4226" s="109"/>
      <c r="F4226" s="391"/>
      <c r="G4226" s="23" t="s">
        <v>25826</v>
      </c>
      <c r="H4226" s="23"/>
      <c r="I4226" s="23"/>
      <c r="J4226" s="23"/>
      <c r="K4226" s="23"/>
      <c r="L4226" s="375"/>
      <c r="M4226" s="351"/>
      <c r="N4226" s="267">
        <f t="shared" ref="N4226" si="1232">SUM(L4226:M4226)</f>
        <v>0</v>
      </c>
      <c r="O4226" s="268">
        <f t="shared" ref="O4226" si="1233">SUM(P4226:Z4226)</f>
        <v>20000</v>
      </c>
      <c r="P4226" s="239"/>
      <c r="Q4226" s="239"/>
      <c r="R4226" s="239"/>
      <c r="S4226" s="239"/>
      <c r="T4226" s="239"/>
      <c r="U4226" s="240"/>
      <c r="V4226" s="240">
        <f>3000+3400+3400+3400+3600+3200</f>
        <v>20000</v>
      </c>
      <c r="W4226" s="240"/>
      <c r="X4226" s="278"/>
      <c r="Y4226" s="237"/>
      <c r="Z4226" s="237"/>
      <c r="AA4226" s="279"/>
      <c r="AB4226" s="238" t="s">
        <v>28049</v>
      </c>
      <c r="AC4226" s="196"/>
      <c r="AD4226" s="196"/>
      <c r="AE4226" s="196"/>
    </row>
    <row r="4227" spans="1:33">
      <c r="A4227" s="20"/>
      <c r="B4227" s="150"/>
      <c r="C4227" s="21" t="s">
        <v>27903</v>
      </c>
      <c r="D4227" s="109" t="s">
        <v>20994</v>
      </c>
      <c r="E4227" s="109"/>
      <c r="F4227" s="391"/>
      <c r="G4227" s="23" t="s">
        <v>25826</v>
      </c>
      <c r="H4227" s="23"/>
      <c r="I4227" s="23"/>
      <c r="J4227" s="23"/>
      <c r="K4227" s="23"/>
      <c r="L4227" s="375"/>
      <c r="M4227" s="351"/>
      <c r="N4227" s="267">
        <f t="shared" ref="N4227:N4229" si="1234">SUM(L4227:M4227)</f>
        <v>0</v>
      </c>
      <c r="O4227" s="268">
        <f t="shared" ref="O4227:O4229" si="1235">SUM(P4227:Z4227)</f>
        <v>26200</v>
      </c>
      <c r="P4227" s="239"/>
      <c r="Q4227" s="239"/>
      <c r="R4227" s="239"/>
      <c r="S4227" s="239"/>
      <c r="T4227" s="239"/>
      <c r="U4227" s="240"/>
      <c r="V4227" s="240">
        <f>1800+2700+3600+2500+2900+3000+2400+3600+3700</f>
        <v>26200</v>
      </c>
      <c r="W4227" s="240"/>
      <c r="X4227" s="278"/>
      <c r="Y4227" s="237"/>
      <c r="Z4227" s="237"/>
      <c r="AA4227" s="279"/>
      <c r="AB4227" s="238" t="s">
        <v>28047</v>
      </c>
      <c r="AC4227" s="196"/>
      <c r="AD4227" s="196"/>
      <c r="AE4227" s="196"/>
    </row>
    <row r="4228" spans="1:33">
      <c r="A4228" s="20"/>
      <c r="B4228" s="150"/>
      <c r="C4228" s="21" t="s">
        <v>27914</v>
      </c>
      <c r="D4228" s="109" t="s">
        <v>20994</v>
      </c>
      <c r="E4228" s="109"/>
      <c r="F4228" s="391"/>
      <c r="G4228" s="23" t="s">
        <v>25826</v>
      </c>
      <c r="H4228" s="23"/>
      <c r="I4228" s="23"/>
      <c r="J4228" s="23"/>
      <c r="K4228" s="23"/>
      <c r="L4228" s="375" t="s">
        <v>27971</v>
      </c>
      <c r="M4228" s="351"/>
      <c r="N4228" s="267">
        <f t="shared" ref="N4228" si="1236">SUM(L4228:M4228)</f>
        <v>0</v>
      </c>
      <c r="O4228" s="268">
        <f t="shared" ref="O4228" si="1237">SUM(P4228:Z4228)</f>
        <v>22600</v>
      </c>
      <c r="P4228" s="239"/>
      <c r="Q4228" s="239"/>
      <c r="R4228" s="239"/>
      <c r="S4228" s="239"/>
      <c r="T4228" s="239"/>
      <c r="U4228" s="240"/>
      <c r="V4228" s="240">
        <f>3900+4200+2700+3600-3600+3200+3100-8100+3400+3400+3600+3200</f>
        <v>22600</v>
      </c>
      <c r="W4228" s="240"/>
      <c r="X4228" s="278"/>
      <c r="Y4228" s="237"/>
      <c r="Z4228" s="237"/>
      <c r="AA4228" s="279"/>
      <c r="AB4228" s="238" t="s">
        <v>28051</v>
      </c>
      <c r="AC4228" s="196"/>
      <c r="AD4228" s="196"/>
      <c r="AE4228" s="196"/>
    </row>
    <row r="4229" spans="1:33">
      <c r="A4229" s="20"/>
      <c r="B4229" s="150"/>
      <c r="C4229" s="190" t="s">
        <v>27732</v>
      </c>
      <c r="D4229" s="190" t="s">
        <v>20994</v>
      </c>
      <c r="E4229" s="190" t="s">
        <v>27733</v>
      </c>
      <c r="F4229" s="391" t="s">
        <v>27175</v>
      </c>
      <c r="G4229" s="23" t="s">
        <v>25826</v>
      </c>
      <c r="H4229" s="23"/>
      <c r="I4229" s="23"/>
      <c r="J4229" s="23"/>
      <c r="K4229" s="23"/>
      <c r="L4229" s="375" t="s">
        <v>27971</v>
      </c>
      <c r="M4229" s="351"/>
      <c r="N4229" s="267">
        <f t="shared" si="1234"/>
        <v>0</v>
      </c>
      <c r="O4229" s="268">
        <f t="shared" si="1235"/>
        <v>38000</v>
      </c>
      <c r="P4229" s="239"/>
      <c r="Q4229" s="239"/>
      <c r="R4229" s="239"/>
      <c r="S4229" s="239"/>
      <c r="T4229" s="239"/>
      <c r="U4229" s="240"/>
      <c r="V4229" s="240">
        <f>28800-8800+7200+3600+28800-10800-10800+10800+7200-18000-18000+18000-18000+18000</f>
        <v>38000</v>
      </c>
      <c r="W4229" s="240"/>
      <c r="X4229" s="278"/>
      <c r="Y4229" s="237"/>
      <c r="Z4229" s="237"/>
      <c r="AA4229" s="279"/>
      <c r="AB4229" s="238"/>
      <c r="AC4229" s="196">
        <f t="shared" ref="AC4229" si="1238">SUM(P4229:AA4229)</f>
        <v>38000</v>
      </c>
      <c r="AD4229" s="196">
        <f t="shared" ref="AD4229" si="1239">SUM(P4229:AB4229)</f>
        <v>38000</v>
      </c>
      <c r="AE4229" s="196">
        <f t="shared" ref="AE4229" si="1240">SUM(AC4229-AD4229)</f>
        <v>0</v>
      </c>
      <c r="AF4229" s="2">
        <f t="shared" ref="AF4229" si="1241">+AC4229</f>
        <v>38000</v>
      </c>
      <c r="AG4229" s="2">
        <f t="shared" ref="AG4229" si="1242">+AC4229-AF4229</f>
        <v>0</v>
      </c>
    </row>
    <row r="4230" spans="1:33">
      <c r="A4230" s="20"/>
      <c r="B4230" s="150"/>
      <c r="C4230" s="189" t="s">
        <v>27732</v>
      </c>
      <c r="D4230" s="189" t="s">
        <v>20994</v>
      </c>
      <c r="E4230" s="189" t="s">
        <v>27755</v>
      </c>
      <c r="F4230" s="391"/>
      <c r="G4230" s="23"/>
      <c r="H4230" s="23"/>
      <c r="I4230" s="23"/>
      <c r="J4230" s="23"/>
      <c r="K4230" s="23"/>
      <c r="L4230" s="375"/>
      <c r="M4230" s="351"/>
      <c r="N4230" s="267">
        <f t="shared" ref="N4230:N4231" si="1243">SUM(L4230:M4230)</f>
        <v>0</v>
      </c>
      <c r="O4230" s="268">
        <f t="shared" ref="O4230:O4231" si="1244">SUM(P4230:Z4230)</f>
        <v>255700</v>
      </c>
      <c r="P4230" s="239"/>
      <c r="Q4230" s="239"/>
      <c r="R4230" s="239"/>
      <c r="S4230" s="239"/>
      <c r="T4230" s="239"/>
      <c r="U4230" s="240"/>
      <c r="V4230" s="240">
        <f>72000+72000+72000-9600+72000+38400-4800-4800-2000-18000-30000-1500</f>
        <v>255700</v>
      </c>
      <c r="W4230" s="240"/>
      <c r="X4230" s="278"/>
      <c r="Y4230" s="237"/>
      <c r="Z4230" s="237"/>
      <c r="AA4230" s="279"/>
      <c r="AB4230" s="238"/>
      <c r="AC4230" s="196"/>
      <c r="AD4230" s="196"/>
      <c r="AE4230" s="196"/>
    </row>
    <row r="4231" spans="1:33">
      <c r="A4231" s="20" t="s">
        <v>24592</v>
      </c>
      <c r="B4231" s="150"/>
      <c r="C4231" s="21" t="s">
        <v>24639</v>
      </c>
      <c r="D4231" s="109" t="s">
        <v>3958</v>
      </c>
      <c r="E4231" s="109" t="s">
        <v>24640</v>
      </c>
      <c r="F4231" s="391" t="s">
        <v>24642</v>
      </c>
      <c r="G4231" s="23" t="s">
        <v>24641</v>
      </c>
      <c r="H4231" s="23" t="s">
        <v>25149</v>
      </c>
      <c r="I4231" s="23"/>
      <c r="J4231" s="23"/>
      <c r="K4231" s="23"/>
      <c r="L4231" s="375" t="s">
        <v>45</v>
      </c>
      <c r="M4231" s="351" t="s">
        <v>45</v>
      </c>
      <c r="N4231" s="267">
        <f t="shared" si="1243"/>
        <v>0</v>
      </c>
      <c r="O4231" s="268">
        <f t="shared" si="1244"/>
        <v>0</v>
      </c>
      <c r="P4231" s="239"/>
      <c r="Q4231" s="239"/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/>
      <c r="AC4231" s="196">
        <f t="shared" si="1092"/>
        <v>0</v>
      </c>
      <c r="AD4231" s="196">
        <f t="shared" si="1093"/>
        <v>0</v>
      </c>
      <c r="AE4231" s="196">
        <f t="shared" si="1094"/>
        <v>0</v>
      </c>
      <c r="AF4231" s="2">
        <f t="shared" si="1095"/>
        <v>0</v>
      </c>
      <c r="AG4231" s="2">
        <f t="shared" si="1096"/>
        <v>0</v>
      </c>
    </row>
    <row r="4232" spans="1:33">
      <c r="A4232" s="20" t="s">
        <v>26757</v>
      </c>
      <c r="B4232" s="150"/>
      <c r="C4232" s="21" t="s">
        <v>26568</v>
      </c>
      <c r="D4232" s="109" t="s">
        <v>11709</v>
      </c>
      <c r="E4232" s="109" t="s">
        <v>26572</v>
      </c>
      <c r="F4232" s="391" t="s">
        <v>26569</v>
      </c>
      <c r="G4232" s="23" t="s">
        <v>26570</v>
      </c>
      <c r="H4232" s="23" t="s">
        <v>26571</v>
      </c>
      <c r="I4232" s="23"/>
      <c r="J4232" s="23"/>
      <c r="K4232" s="23"/>
      <c r="L4232" s="375" t="s">
        <v>7787</v>
      </c>
      <c r="M4232" s="351" t="s">
        <v>7787</v>
      </c>
      <c r="N4232" s="267">
        <f t="shared" ref="N4232" si="1245">SUM(L4232:M4232)</f>
        <v>0</v>
      </c>
      <c r="O4232" s="268">
        <f t="shared" ref="O4232" si="1246">SUM(P4232:Z4232)</f>
        <v>0</v>
      </c>
      <c r="P4232" s="239"/>
      <c r="Q4232" s="239"/>
      <c r="R4232" s="239"/>
      <c r="S4232" s="239"/>
      <c r="T4232" s="239"/>
      <c r="U4232" s="240"/>
      <c r="V4232" s="240"/>
      <c r="W4232" s="240"/>
      <c r="X4232" s="278"/>
      <c r="Y4232" s="237"/>
      <c r="Z4232" s="237"/>
      <c r="AA4232" s="279"/>
      <c r="AB4232" s="238"/>
      <c r="AC4232" s="196">
        <f t="shared" si="1092"/>
        <v>0</v>
      </c>
      <c r="AD4232" s="196">
        <f t="shared" si="1093"/>
        <v>0</v>
      </c>
      <c r="AE4232" s="196">
        <f t="shared" si="1094"/>
        <v>0</v>
      </c>
      <c r="AF4232" s="2">
        <f t="shared" si="1095"/>
        <v>0</v>
      </c>
      <c r="AG4232" s="2">
        <f t="shared" si="1096"/>
        <v>0</v>
      </c>
    </row>
    <row r="4233" spans="1:33">
      <c r="A4233" s="20" t="s">
        <v>24583</v>
      </c>
      <c r="B4233" s="150"/>
      <c r="C4233" s="21" t="s">
        <v>24600</v>
      </c>
      <c r="D4233" s="109" t="s">
        <v>3137</v>
      </c>
      <c r="E4233" s="109"/>
      <c r="F4233" s="391" t="s">
        <v>24605</v>
      </c>
      <c r="G4233" s="23" t="s">
        <v>6133</v>
      </c>
      <c r="H4233" s="23"/>
      <c r="I4233" s="23"/>
      <c r="J4233" s="23"/>
      <c r="K4233" s="23"/>
      <c r="L4233" s="375" t="s">
        <v>45</v>
      </c>
      <c r="M4233" s="351"/>
      <c r="N4233" s="267">
        <f t="shared" ref="N4233:N4234" si="1247">SUM(L4233:M4233)</f>
        <v>0</v>
      </c>
      <c r="O4233" s="268">
        <f t="shared" ref="O4233:O4234" si="1248">SUM(P4233:Z4233)</f>
        <v>250</v>
      </c>
      <c r="P4233" s="239"/>
      <c r="Q4233" s="239">
        <f>600-350</f>
        <v>250</v>
      </c>
      <c r="R4233" s="239"/>
      <c r="S4233" s="239"/>
      <c r="T4233" s="239"/>
      <c r="U4233" s="240"/>
      <c r="V4233" s="240"/>
      <c r="W4233" s="240"/>
      <c r="X4233" s="278"/>
      <c r="Y4233" s="237"/>
      <c r="Z4233" s="237"/>
      <c r="AA4233" s="279"/>
      <c r="AB4233" s="238" t="s">
        <v>25232</v>
      </c>
      <c r="AC4233" s="196">
        <f t="shared" si="1092"/>
        <v>250</v>
      </c>
      <c r="AD4233" s="196">
        <f t="shared" si="1093"/>
        <v>250</v>
      </c>
      <c r="AE4233" s="196">
        <f t="shared" si="1094"/>
        <v>0</v>
      </c>
      <c r="AF4233" s="2">
        <f t="shared" si="1095"/>
        <v>250</v>
      </c>
      <c r="AG4233" s="2">
        <f t="shared" si="1096"/>
        <v>0</v>
      </c>
    </row>
    <row r="4234" spans="1:33">
      <c r="A4234" s="20" t="s">
        <v>24593</v>
      </c>
      <c r="B4234" s="150"/>
      <c r="C4234" s="21" t="s">
        <v>24635</v>
      </c>
      <c r="D4234" s="109" t="s">
        <v>3137</v>
      </c>
      <c r="E4234" s="109" t="s">
        <v>20884</v>
      </c>
      <c r="F4234" s="391" t="s">
        <v>24643</v>
      </c>
      <c r="G4234" s="23" t="s">
        <v>6133</v>
      </c>
      <c r="H4234" s="23" t="s">
        <v>24937</v>
      </c>
      <c r="I4234" s="23"/>
      <c r="J4234" s="23"/>
      <c r="K4234" s="23"/>
      <c r="L4234" s="375" t="s">
        <v>27585</v>
      </c>
      <c r="M4234" s="351"/>
      <c r="N4234" s="267">
        <f t="shared" si="1247"/>
        <v>0</v>
      </c>
      <c r="O4234" s="268">
        <f t="shared" si="1248"/>
        <v>3000</v>
      </c>
      <c r="P4234" s="239"/>
      <c r="Q4234" s="239">
        <v>3000</v>
      </c>
      <c r="R4234" s="239"/>
      <c r="S4234" s="239"/>
      <c r="T4234" s="239"/>
      <c r="U4234" s="240"/>
      <c r="V4234" s="240"/>
      <c r="W4234" s="240"/>
      <c r="X4234" s="278"/>
      <c r="Y4234" s="237"/>
      <c r="Z4234" s="237"/>
      <c r="AA4234" s="279"/>
      <c r="AB4234" s="238" t="s">
        <v>27584</v>
      </c>
      <c r="AC4234" s="196">
        <f t="shared" si="1092"/>
        <v>3000</v>
      </c>
      <c r="AD4234" s="196">
        <f t="shared" si="1093"/>
        <v>3000</v>
      </c>
      <c r="AE4234" s="196">
        <f t="shared" si="1094"/>
        <v>0</v>
      </c>
      <c r="AF4234" s="2">
        <f t="shared" si="1095"/>
        <v>3000</v>
      </c>
      <c r="AG4234" s="2">
        <f t="shared" si="1096"/>
        <v>0</v>
      </c>
    </row>
    <row r="4235" spans="1:33">
      <c r="A4235" s="20" t="s">
        <v>24726</v>
      </c>
      <c r="B4235" s="150"/>
      <c r="C4235" s="21" t="s">
        <v>24773</v>
      </c>
      <c r="D4235" s="109" t="s">
        <v>24774</v>
      </c>
      <c r="E4235" s="109" t="s">
        <v>25658</v>
      </c>
      <c r="F4235" s="391" t="s">
        <v>24775</v>
      </c>
      <c r="G4235" s="23" t="s">
        <v>17522</v>
      </c>
      <c r="H4235" s="23" t="s">
        <v>25569</v>
      </c>
      <c r="I4235" s="23"/>
      <c r="J4235" s="23"/>
      <c r="K4235" s="23"/>
      <c r="L4235" s="375"/>
      <c r="M4235" s="351"/>
      <c r="N4235" s="267">
        <f t="shared" ref="N4235:N4236" si="1249">SUM(L4235:M4235)</f>
        <v>0</v>
      </c>
      <c r="O4235" s="268">
        <f t="shared" ref="O4235:O4236" si="1250">SUM(P4235:Z4235)</f>
        <v>1500</v>
      </c>
      <c r="P4235" s="239"/>
      <c r="Q4235" s="239">
        <v>1500</v>
      </c>
      <c r="R4235" s="239"/>
      <c r="S4235" s="239"/>
      <c r="T4235" s="239"/>
      <c r="U4235" s="240"/>
      <c r="V4235" s="240"/>
      <c r="W4235" s="240"/>
      <c r="X4235" s="278"/>
      <c r="Y4235" s="237"/>
      <c r="Z4235" s="237"/>
      <c r="AA4235" s="279"/>
      <c r="AB4235" s="238"/>
      <c r="AC4235" s="196">
        <f t="shared" si="1092"/>
        <v>1500</v>
      </c>
      <c r="AD4235" s="196">
        <f t="shared" si="1093"/>
        <v>1500</v>
      </c>
      <c r="AE4235" s="196">
        <f t="shared" si="1094"/>
        <v>0</v>
      </c>
      <c r="AF4235" s="2">
        <f t="shared" si="1095"/>
        <v>1500</v>
      </c>
      <c r="AG4235" s="2">
        <f t="shared" si="1096"/>
        <v>0</v>
      </c>
    </row>
    <row r="4236" spans="1:33">
      <c r="A4236" s="20" t="s">
        <v>24594</v>
      </c>
      <c r="B4236" s="150"/>
      <c r="C4236" s="21" t="s">
        <v>24636</v>
      </c>
      <c r="D4236" s="109" t="s">
        <v>3137</v>
      </c>
      <c r="E4236" s="109" t="s">
        <v>22282</v>
      </c>
      <c r="F4236" s="391" t="s">
        <v>24644</v>
      </c>
      <c r="G4236" s="23" t="s">
        <v>24638</v>
      </c>
      <c r="H4236" s="23" t="s">
        <v>24645</v>
      </c>
      <c r="I4236" s="23"/>
      <c r="J4236" s="23"/>
      <c r="K4236" s="23"/>
      <c r="L4236" s="375" t="s">
        <v>45</v>
      </c>
      <c r="M4236" s="351" t="s">
        <v>45</v>
      </c>
      <c r="N4236" s="267">
        <f t="shared" si="1249"/>
        <v>0</v>
      </c>
      <c r="O4236" s="268">
        <f t="shared" si="1250"/>
        <v>8750</v>
      </c>
      <c r="P4236" s="239"/>
      <c r="Q4236" s="239">
        <f>1150-1000+200+1050-1000+700-1000+1000-1000+900+850-1500+1600+3350-3000-2000+1850+2800-3000+2350-500-1000+4500+1500-8500+2700+1100+6700-2000-50</f>
        <v>8750</v>
      </c>
      <c r="R4236" s="239"/>
      <c r="S4236" s="239"/>
      <c r="T4236" s="239"/>
      <c r="U4236" s="240"/>
      <c r="V4236" s="240"/>
      <c r="W4236" s="240"/>
      <c r="X4236" s="278"/>
      <c r="Y4236" s="237"/>
      <c r="Z4236" s="237"/>
      <c r="AA4236" s="279"/>
      <c r="AB4236" s="238" t="s">
        <v>25424</v>
      </c>
      <c r="AC4236" s="196">
        <f t="shared" ref="AC4236:AC4310" si="1251">SUM(P4236:AA4236)</f>
        <v>8750</v>
      </c>
      <c r="AD4236" s="196">
        <f t="shared" ref="AD4236:AD4310" si="1252">SUM(P4236:AB4236)</f>
        <v>8750</v>
      </c>
      <c r="AE4236" s="196">
        <f t="shared" ref="AE4236:AE4310" si="1253">SUM(AC4236-AD4236)</f>
        <v>0</v>
      </c>
      <c r="AF4236" s="2">
        <f t="shared" ref="AF4236:AF4310" si="1254">+AC4236</f>
        <v>8750</v>
      </c>
      <c r="AG4236" s="2">
        <f t="shared" ref="AG4236:AG4310" si="1255">+AC4236-AF4236</f>
        <v>0</v>
      </c>
    </row>
    <row r="4237" spans="1:33">
      <c r="A4237" s="20" t="s">
        <v>24673</v>
      </c>
      <c r="B4237" s="150"/>
      <c r="C4237" s="21" t="s">
        <v>24734</v>
      </c>
      <c r="D4237" s="109" t="s">
        <v>5979</v>
      </c>
      <c r="E4237" s="109"/>
      <c r="F4237" s="442" t="s">
        <v>24740</v>
      </c>
      <c r="G4237" s="23" t="s">
        <v>15443</v>
      </c>
      <c r="H4237" s="23"/>
      <c r="I4237" s="23"/>
      <c r="J4237" s="23"/>
      <c r="K4237" s="23"/>
      <c r="L4237" s="375">
        <f>510</f>
        <v>510</v>
      </c>
      <c r="M4237" s="351" t="s">
        <v>7787</v>
      </c>
      <c r="N4237" s="267">
        <f t="shared" ref="N4237" si="1256">SUM(L4237:M4237)</f>
        <v>510</v>
      </c>
      <c r="O4237" s="268">
        <f t="shared" ref="O4237" si="1257">SUM(P4237:Z4237)</f>
        <v>0</v>
      </c>
      <c r="P4237" s="239"/>
      <c r="Q4237" s="239"/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/>
      <c r="AC4237" s="196">
        <f t="shared" si="1251"/>
        <v>0</v>
      </c>
      <c r="AD4237" s="196">
        <f t="shared" si="1252"/>
        <v>0</v>
      </c>
      <c r="AE4237" s="196">
        <f t="shared" si="1253"/>
        <v>0</v>
      </c>
      <c r="AF4237" s="2">
        <f t="shared" si="1254"/>
        <v>0</v>
      </c>
      <c r="AG4237" s="2">
        <f t="shared" si="1255"/>
        <v>0</v>
      </c>
    </row>
    <row r="4238" spans="1:33">
      <c r="A4238" s="20" t="s">
        <v>24849</v>
      </c>
      <c r="B4238" s="150"/>
      <c r="C4238" s="21" t="s">
        <v>24889</v>
      </c>
      <c r="D4238" s="109" t="s">
        <v>3137</v>
      </c>
      <c r="E4238" s="109" t="s">
        <v>22282</v>
      </c>
      <c r="F4238" s="443" t="s">
        <v>24899</v>
      </c>
      <c r="G4238" s="23" t="s">
        <v>21622</v>
      </c>
      <c r="H4238" s="23"/>
      <c r="I4238" s="23"/>
      <c r="J4238" s="23"/>
      <c r="K4238" s="23"/>
      <c r="L4238" s="375" t="s">
        <v>7787</v>
      </c>
      <c r="M4238" s="351" t="s">
        <v>7787</v>
      </c>
      <c r="N4238" s="267">
        <f t="shared" ref="N4238" si="1258">SUM(L4238:M4238)</f>
        <v>0</v>
      </c>
      <c r="O4238" s="268">
        <f t="shared" ref="O4238" si="1259">SUM(P4238:Z4238)</f>
        <v>100</v>
      </c>
      <c r="P4238" s="239"/>
      <c r="Q4238" s="239"/>
      <c r="R4238" s="239"/>
      <c r="S4238" s="239"/>
      <c r="T4238" s="239"/>
      <c r="U4238" s="240">
        <f>200-100</f>
        <v>100</v>
      </c>
      <c r="V4238" s="240"/>
      <c r="W4238" s="240"/>
      <c r="X4238" s="278"/>
      <c r="Y4238" s="237"/>
      <c r="Z4238" s="237"/>
      <c r="AA4238" s="279"/>
      <c r="AB4238" s="238" t="s">
        <v>24893</v>
      </c>
      <c r="AC4238" s="196">
        <f t="shared" si="1251"/>
        <v>100</v>
      </c>
      <c r="AD4238" s="196">
        <f t="shared" si="1252"/>
        <v>100</v>
      </c>
      <c r="AE4238" s="196">
        <f t="shared" si="1253"/>
        <v>0</v>
      </c>
      <c r="AF4238" s="2">
        <f t="shared" si="1254"/>
        <v>100</v>
      </c>
      <c r="AG4238" s="2">
        <f t="shared" si="1255"/>
        <v>0</v>
      </c>
    </row>
    <row r="4239" spans="1:33">
      <c r="A4239" s="20" t="s">
        <v>24720</v>
      </c>
      <c r="B4239" s="150"/>
      <c r="C4239" s="21" t="s">
        <v>24753</v>
      </c>
      <c r="D4239" s="109" t="s">
        <v>3137</v>
      </c>
      <c r="E4239" s="109" t="s">
        <v>22282</v>
      </c>
      <c r="F4239" s="443" t="s">
        <v>24756</v>
      </c>
      <c r="G4239" s="23" t="s">
        <v>20371</v>
      </c>
      <c r="H4239" s="23"/>
      <c r="I4239" s="23"/>
      <c r="J4239" s="23"/>
      <c r="K4239" s="23"/>
      <c r="L4239" s="375"/>
      <c r="M4239" s="351" t="s">
        <v>45</v>
      </c>
      <c r="N4239" s="267">
        <f t="shared" ref="N4239" si="1260">SUM(L4239:M4239)</f>
        <v>0</v>
      </c>
      <c r="O4239" s="268">
        <f t="shared" ref="O4239" si="1261">SUM(P4239:Z4239)</f>
        <v>1100</v>
      </c>
      <c r="P4239" s="239"/>
      <c r="Q4239" s="239">
        <f>1300-1000+1000-500+600-1000-200+1000-100</f>
        <v>1100</v>
      </c>
      <c r="R4239" s="239"/>
      <c r="S4239" s="239"/>
      <c r="T4239" s="239"/>
      <c r="U4239" s="240"/>
      <c r="V4239" s="240"/>
      <c r="W4239" s="240"/>
      <c r="X4239" s="278"/>
      <c r="Y4239" s="237"/>
      <c r="Z4239" s="237"/>
      <c r="AA4239" s="279"/>
      <c r="AB4239" s="238" t="s">
        <v>26217</v>
      </c>
      <c r="AC4239" s="196">
        <f t="shared" si="1251"/>
        <v>1100</v>
      </c>
      <c r="AD4239" s="196">
        <f t="shared" si="1252"/>
        <v>1100</v>
      </c>
      <c r="AE4239" s="196">
        <f t="shared" si="1253"/>
        <v>0</v>
      </c>
      <c r="AF4239" s="2">
        <f t="shared" si="1254"/>
        <v>1100</v>
      </c>
      <c r="AG4239" s="2">
        <f t="shared" si="1255"/>
        <v>0</v>
      </c>
    </row>
    <row r="4240" spans="1:33">
      <c r="A4240" s="20" t="s">
        <v>26394</v>
      </c>
      <c r="B4240" s="150"/>
      <c r="C4240" s="21" t="s">
        <v>24753</v>
      </c>
      <c r="D4240" s="109" t="s">
        <v>23722</v>
      </c>
      <c r="E4240" s="109" t="s">
        <v>22282</v>
      </c>
      <c r="F4240" s="443" t="s">
        <v>24756</v>
      </c>
      <c r="G4240" s="23" t="s">
        <v>26591</v>
      </c>
      <c r="H4240" s="23"/>
      <c r="I4240" s="23"/>
      <c r="J4240" s="23"/>
      <c r="K4240" s="23"/>
      <c r="L4240" s="375" t="s">
        <v>27573</v>
      </c>
      <c r="M4240" s="351"/>
      <c r="N4240" s="267">
        <f t="shared" ref="N4240" si="1262">SUM(L4240:M4240)</f>
        <v>0</v>
      </c>
      <c r="O4240" s="268">
        <f t="shared" ref="O4240" si="1263">SUM(P4240:Z4240)</f>
        <v>0</v>
      </c>
      <c r="P4240" s="239"/>
      <c r="Q4240" s="239"/>
      <c r="R4240" s="239"/>
      <c r="S4240" s="239"/>
      <c r="T4240" s="239"/>
      <c r="U4240" s="240"/>
      <c r="V4240" s="240"/>
      <c r="W4240" s="240"/>
      <c r="X4240" s="278"/>
      <c r="Y4240" s="237"/>
      <c r="Z4240" s="237"/>
      <c r="AA4240" s="279"/>
      <c r="AB4240" s="238"/>
      <c r="AC4240" s="196">
        <f t="shared" si="1251"/>
        <v>0</v>
      </c>
      <c r="AD4240" s="196">
        <f t="shared" si="1252"/>
        <v>0</v>
      </c>
      <c r="AE4240" s="196">
        <f t="shared" si="1253"/>
        <v>0</v>
      </c>
      <c r="AF4240" s="2">
        <f t="shared" si="1254"/>
        <v>0</v>
      </c>
      <c r="AG4240" s="2">
        <f t="shared" si="1255"/>
        <v>0</v>
      </c>
    </row>
    <row r="4241" spans="1:33">
      <c r="A4241" s="20" t="s">
        <v>24595</v>
      </c>
      <c r="B4241" s="150"/>
      <c r="C4241" s="21" t="s">
        <v>24650</v>
      </c>
      <c r="D4241" s="109" t="s">
        <v>3137</v>
      </c>
      <c r="E4241" s="109"/>
      <c r="F4241" s="391" t="s">
        <v>24654</v>
      </c>
      <c r="G4241" s="23" t="s">
        <v>6133</v>
      </c>
      <c r="H4241" s="23" t="s">
        <v>20371</v>
      </c>
      <c r="I4241" s="23"/>
      <c r="J4241" s="23"/>
      <c r="K4241" s="23"/>
      <c r="L4241" s="375" t="s">
        <v>7787</v>
      </c>
      <c r="M4241" s="351" t="s">
        <v>7787</v>
      </c>
      <c r="N4241" s="267">
        <f t="shared" ref="N4241" si="1264">SUM(L4241:M4241)</f>
        <v>0</v>
      </c>
      <c r="O4241" s="268">
        <f t="shared" ref="O4241" si="1265">SUM(P4241:Z4241)</f>
        <v>700</v>
      </c>
      <c r="P4241" s="239"/>
      <c r="Q4241" s="239">
        <f>800-150-50-400+500-500+1000-500+1150-1000+1800-600-50-200-50-500-200-150-200</f>
        <v>700</v>
      </c>
      <c r="R4241" s="239"/>
      <c r="S4241" s="239"/>
      <c r="T4241" s="239"/>
      <c r="U4241" s="240"/>
      <c r="V4241" s="240"/>
      <c r="W4241" s="240"/>
      <c r="X4241" s="278"/>
      <c r="Y4241" s="237"/>
      <c r="Z4241" s="237"/>
      <c r="AA4241" s="279"/>
      <c r="AB4241" s="238" t="s">
        <v>24956</v>
      </c>
      <c r="AC4241" s="196">
        <f t="shared" si="1251"/>
        <v>700</v>
      </c>
      <c r="AD4241" s="196">
        <f t="shared" si="1252"/>
        <v>700</v>
      </c>
      <c r="AE4241" s="196">
        <f t="shared" si="1253"/>
        <v>0</v>
      </c>
      <c r="AF4241" s="2">
        <f t="shared" si="1254"/>
        <v>700</v>
      </c>
      <c r="AG4241" s="2">
        <f t="shared" si="1255"/>
        <v>0</v>
      </c>
    </row>
    <row r="4242" spans="1:33">
      <c r="A4242" s="20" t="s">
        <v>24666</v>
      </c>
      <c r="B4242" s="150"/>
      <c r="C4242" s="21" t="s">
        <v>24696</v>
      </c>
      <c r="D4242" s="109" t="s">
        <v>3137</v>
      </c>
      <c r="E4242" s="109"/>
      <c r="F4242" s="391" t="s">
        <v>24697</v>
      </c>
      <c r="G4242" s="23" t="s">
        <v>6133</v>
      </c>
      <c r="H4242" s="23" t="s">
        <v>26215</v>
      </c>
      <c r="I4242" s="23"/>
      <c r="J4242" s="23"/>
      <c r="K4242" s="23"/>
      <c r="L4242" s="375" t="s">
        <v>7787</v>
      </c>
      <c r="M4242" s="351" t="s">
        <v>7787</v>
      </c>
      <c r="N4242" s="267">
        <f t="shared" ref="N4242" si="1266">SUM(L4242:M4242)</f>
        <v>0</v>
      </c>
      <c r="O4242" s="268">
        <f t="shared" ref="O4242" si="1267">SUM(P4242:Z4242)</f>
        <v>1150</v>
      </c>
      <c r="P4242" s="239"/>
      <c r="Q4242" s="239">
        <f>900-150-500+800-300+200+250-1000+1550-500-100</f>
        <v>1150</v>
      </c>
      <c r="R4242" s="239"/>
      <c r="S4242" s="239"/>
      <c r="T4242" s="239"/>
      <c r="U4242" s="240"/>
      <c r="V4242" s="240"/>
      <c r="W4242" s="240"/>
      <c r="X4242" s="278"/>
      <c r="Y4242" s="237"/>
      <c r="Z4242" s="237"/>
      <c r="AA4242" s="279"/>
      <c r="AB4242" s="238" t="s">
        <v>24956</v>
      </c>
      <c r="AC4242" s="196">
        <f t="shared" si="1251"/>
        <v>1150</v>
      </c>
      <c r="AD4242" s="196">
        <f t="shared" si="1252"/>
        <v>1150</v>
      </c>
      <c r="AE4242" s="196">
        <f t="shared" si="1253"/>
        <v>0</v>
      </c>
      <c r="AF4242" s="2">
        <f t="shared" si="1254"/>
        <v>1150</v>
      </c>
      <c r="AG4242" s="2">
        <f t="shared" si="1255"/>
        <v>0</v>
      </c>
    </row>
    <row r="4243" spans="1:33">
      <c r="A4243" s="20" t="s">
        <v>24670</v>
      </c>
      <c r="B4243" s="150"/>
      <c r="C4243" s="21" t="s">
        <v>24713</v>
      </c>
      <c r="D4243" s="109" t="s">
        <v>3137</v>
      </c>
      <c r="E4243" s="109" t="s">
        <v>22282</v>
      </c>
      <c r="F4243" s="391" t="s">
        <v>24715</v>
      </c>
      <c r="G4243" s="23" t="s">
        <v>17522</v>
      </c>
      <c r="H4243" s="23" t="s">
        <v>24645</v>
      </c>
      <c r="I4243" s="23"/>
      <c r="J4243" s="23"/>
      <c r="K4243" s="23"/>
      <c r="L4243" s="375"/>
      <c r="M4243" s="351"/>
      <c r="N4243" s="267">
        <f t="shared" ref="N4243" si="1268">SUM(L4243:M4243)</f>
        <v>0</v>
      </c>
      <c r="O4243" s="268">
        <f t="shared" ref="O4243" si="1269">SUM(P4243:Z4243)</f>
        <v>0</v>
      </c>
      <c r="P4243" s="239"/>
      <c r="Q4243" s="239"/>
      <c r="R4243" s="239"/>
      <c r="S4243" s="239"/>
      <c r="T4243" s="239"/>
      <c r="U4243" s="240"/>
      <c r="V4243" s="240"/>
      <c r="W4243" s="240"/>
      <c r="X4243" s="278"/>
      <c r="Y4243" s="237"/>
      <c r="Z4243" s="237"/>
      <c r="AA4243" s="279"/>
      <c r="AB4243" s="238"/>
      <c r="AC4243" s="196">
        <f t="shared" si="1251"/>
        <v>0</v>
      </c>
      <c r="AD4243" s="196">
        <f t="shared" si="1252"/>
        <v>0</v>
      </c>
      <c r="AE4243" s="196">
        <f t="shared" si="1253"/>
        <v>0</v>
      </c>
      <c r="AF4243" s="2">
        <f t="shared" si="1254"/>
        <v>0</v>
      </c>
      <c r="AG4243" s="2">
        <f t="shared" si="1255"/>
        <v>0</v>
      </c>
    </row>
    <row r="4244" spans="1:33">
      <c r="A4244" s="20" t="s">
        <v>25478</v>
      </c>
      <c r="B4244" s="150"/>
      <c r="C4244" s="21" t="s">
        <v>25320</v>
      </c>
      <c r="D4244" s="109" t="s">
        <v>4070</v>
      </c>
      <c r="E4244" s="109" t="s">
        <v>25321</v>
      </c>
      <c r="F4244" s="391" t="s">
        <v>25322</v>
      </c>
      <c r="G4244" s="23" t="s">
        <v>21255</v>
      </c>
      <c r="H4244" s="23" t="s">
        <v>25323</v>
      </c>
      <c r="I4244" s="23"/>
      <c r="J4244" s="23"/>
      <c r="K4244" s="23"/>
      <c r="L4244" s="375" t="s">
        <v>45</v>
      </c>
      <c r="M4244" s="351" t="s">
        <v>45</v>
      </c>
      <c r="N4244" s="267">
        <f t="shared" ref="N4244" si="1270">SUM(L4244:M4244)</f>
        <v>0</v>
      </c>
      <c r="O4244" s="268">
        <f t="shared" ref="O4244" si="1271">SUM(P4244:Z4244)</f>
        <v>50</v>
      </c>
      <c r="P4244" s="239"/>
      <c r="Q4244" s="239">
        <f>2000+2600-900+7150-7500-3000+2200+2750+5450-5000+2850-2000-5000+4700-2000-3300+4000-700-2000+1200+1550+3000-2000-4000-2000</f>
        <v>50</v>
      </c>
      <c r="R4244" s="239"/>
      <c r="S4244" s="239"/>
      <c r="T4244" s="239"/>
      <c r="U4244" s="240"/>
      <c r="V4244" s="240"/>
      <c r="W4244" s="240"/>
      <c r="X4244" s="278"/>
      <c r="Y4244" s="237"/>
      <c r="Z4244" s="237"/>
      <c r="AA4244" s="279"/>
      <c r="AB4244" s="238" t="s">
        <v>26050</v>
      </c>
      <c r="AC4244" s="196">
        <f t="shared" si="1251"/>
        <v>50</v>
      </c>
      <c r="AD4244" s="196">
        <f t="shared" si="1252"/>
        <v>50</v>
      </c>
      <c r="AE4244" s="196">
        <f t="shared" si="1253"/>
        <v>0</v>
      </c>
      <c r="AF4244" s="2">
        <f t="shared" si="1254"/>
        <v>50</v>
      </c>
      <c r="AG4244" s="2">
        <f t="shared" si="1255"/>
        <v>0</v>
      </c>
    </row>
    <row r="4245" spans="1:33">
      <c r="A4245" s="20" t="s">
        <v>24724</v>
      </c>
      <c r="B4245" s="150"/>
      <c r="C4245" s="21" t="s">
        <v>24760</v>
      </c>
      <c r="D4245" s="109" t="s">
        <v>3137</v>
      </c>
      <c r="E4245" s="109"/>
      <c r="F4245" s="391" t="s">
        <v>24769</v>
      </c>
      <c r="G4245" s="23" t="s">
        <v>24768</v>
      </c>
      <c r="H4245" s="23"/>
      <c r="I4245" s="23"/>
      <c r="J4245" s="23"/>
      <c r="K4245" s="23"/>
      <c r="L4245" s="375" t="s">
        <v>27603</v>
      </c>
      <c r="M4245" s="351" t="s">
        <v>7787</v>
      </c>
      <c r="N4245" s="267">
        <f t="shared" ref="N4245" si="1272">SUM(L4245:M4245)</f>
        <v>0</v>
      </c>
      <c r="O4245" s="268">
        <f t="shared" ref="O4245" si="1273">SUM(P4245:Z4245)</f>
        <v>150</v>
      </c>
      <c r="P4245" s="239"/>
      <c r="Q4245" s="239"/>
      <c r="R4245" s="239"/>
      <c r="S4245" s="239"/>
      <c r="T4245" s="239"/>
      <c r="U4245" s="240">
        <f>1150-500-500</f>
        <v>150</v>
      </c>
      <c r="V4245" s="240"/>
      <c r="W4245" s="240"/>
      <c r="X4245" s="278"/>
      <c r="Y4245" s="237"/>
      <c r="Z4245" s="237"/>
      <c r="AA4245" s="279"/>
      <c r="AB4245" s="238" t="s">
        <v>24770</v>
      </c>
      <c r="AC4245" s="196">
        <f t="shared" si="1251"/>
        <v>150</v>
      </c>
      <c r="AD4245" s="196">
        <f t="shared" si="1252"/>
        <v>150</v>
      </c>
      <c r="AE4245" s="196">
        <f t="shared" si="1253"/>
        <v>0</v>
      </c>
      <c r="AF4245" s="2">
        <f t="shared" si="1254"/>
        <v>150</v>
      </c>
      <c r="AG4245" s="2">
        <f t="shared" si="1255"/>
        <v>0</v>
      </c>
    </row>
    <row r="4246" spans="1:33">
      <c r="A4246" s="20" t="s">
        <v>25056</v>
      </c>
      <c r="B4246" s="150"/>
      <c r="C4246" s="21" t="s">
        <v>25066</v>
      </c>
      <c r="D4246" s="109" t="s">
        <v>3137</v>
      </c>
      <c r="E4246" s="109"/>
      <c r="F4246" s="391" t="s">
        <v>25067</v>
      </c>
      <c r="G4246" s="23" t="s">
        <v>25068</v>
      </c>
      <c r="H4246" s="23"/>
      <c r="I4246" s="23"/>
      <c r="J4246" s="23"/>
      <c r="K4246" s="23"/>
      <c r="L4246" s="375"/>
      <c r="M4246" s="351"/>
      <c r="N4246" s="267">
        <f t="shared" ref="N4246:N4247" si="1274">SUM(L4246:M4246)</f>
        <v>0</v>
      </c>
      <c r="O4246" s="268">
        <f t="shared" ref="O4246:O4247" si="1275">SUM(P4246:Z4246)</f>
        <v>3400</v>
      </c>
      <c r="P4246" s="239"/>
      <c r="Q4246" s="239">
        <f>1000-500</f>
        <v>500</v>
      </c>
      <c r="R4246" s="239"/>
      <c r="S4246" s="239"/>
      <c r="T4246" s="239">
        <f>3000-100</f>
        <v>2900</v>
      </c>
      <c r="U4246" s="240"/>
      <c r="V4246" s="240"/>
      <c r="W4246" s="240"/>
      <c r="X4246" s="278"/>
      <c r="Y4246" s="237"/>
      <c r="Z4246" s="237"/>
      <c r="AA4246" s="279"/>
      <c r="AB4246" s="238"/>
      <c r="AC4246" s="196">
        <f t="shared" si="1251"/>
        <v>3400</v>
      </c>
      <c r="AD4246" s="196">
        <f t="shared" si="1252"/>
        <v>3400</v>
      </c>
      <c r="AE4246" s="196">
        <f t="shared" si="1253"/>
        <v>0</v>
      </c>
      <c r="AF4246" s="2">
        <f t="shared" si="1254"/>
        <v>3400</v>
      </c>
      <c r="AG4246" s="2">
        <f t="shared" si="1255"/>
        <v>0</v>
      </c>
    </row>
    <row r="4247" spans="1:33">
      <c r="A4247" s="20" t="s">
        <v>24725</v>
      </c>
      <c r="B4247" s="150"/>
      <c r="C4247" s="21" t="s">
        <v>24761</v>
      </c>
      <c r="D4247" s="109" t="s">
        <v>3958</v>
      </c>
      <c r="E4247" s="109" t="s">
        <v>22282</v>
      </c>
      <c r="F4247" s="391" t="s">
        <v>24771</v>
      </c>
      <c r="G4247" s="23" t="s">
        <v>24641</v>
      </c>
      <c r="H4247" s="23" t="s">
        <v>24913</v>
      </c>
      <c r="I4247" s="23"/>
      <c r="J4247" s="23"/>
      <c r="K4247" s="23"/>
      <c r="L4247" s="375"/>
      <c r="M4247" s="351" t="s">
        <v>45</v>
      </c>
      <c r="N4247" s="267">
        <f t="shared" si="1274"/>
        <v>0</v>
      </c>
      <c r="O4247" s="268">
        <f t="shared" si="1275"/>
        <v>24900</v>
      </c>
      <c r="P4247" s="239"/>
      <c r="Q4247" s="239"/>
      <c r="R4247" s="239"/>
      <c r="S4247" s="239">
        <f>4700+4700+3200+3000+2500-4800+3400+3300+3400+3500-900+2500+3000+13200-4800-3600-6900-7200</f>
        <v>22200</v>
      </c>
      <c r="T4247" s="239"/>
      <c r="U4247" s="240">
        <f>11300-5400+3900+4800-9200+5000+3500-8500+2000+4800-9000+2400+5000+1700+5900-10800-4700</f>
        <v>2700</v>
      </c>
      <c r="V4247" s="240"/>
      <c r="W4247" s="240"/>
      <c r="X4247" s="278"/>
      <c r="Y4247" s="237"/>
      <c r="Z4247" s="237"/>
      <c r="AA4247" s="279"/>
      <c r="AB4247" s="238" t="s">
        <v>26702</v>
      </c>
      <c r="AC4247" s="196">
        <f t="shared" si="1251"/>
        <v>24900</v>
      </c>
      <c r="AD4247" s="196">
        <f t="shared" si="1252"/>
        <v>24900</v>
      </c>
      <c r="AE4247" s="196">
        <f t="shared" si="1253"/>
        <v>0</v>
      </c>
      <c r="AF4247" s="2">
        <f t="shared" si="1254"/>
        <v>24900</v>
      </c>
      <c r="AG4247" s="2">
        <f t="shared" si="1255"/>
        <v>0</v>
      </c>
    </row>
    <row r="4248" spans="1:33">
      <c r="A4248" s="20" t="s">
        <v>24829</v>
      </c>
      <c r="B4248" s="150"/>
      <c r="C4248" s="21" t="s">
        <v>24853</v>
      </c>
      <c r="D4248" s="109" t="s">
        <v>3137</v>
      </c>
      <c r="E4248" s="109" t="s">
        <v>27657</v>
      </c>
      <c r="F4248" s="391" t="s">
        <v>24855</v>
      </c>
      <c r="G4248" s="23" t="s">
        <v>6133</v>
      </c>
      <c r="H4248" s="23" t="s">
        <v>26215</v>
      </c>
      <c r="I4248" s="23"/>
      <c r="J4248" s="23"/>
      <c r="K4248" s="23"/>
      <c r="L4248" s="375"/>
      <c r="M4248" s="351"/>
      <c r="N4248" s="267">
        <f t="shared" ref="N4248" si="1276">SUM(L4248:M4248)</f>
        <v>0</v>
      </c>
      <c r="O4248" s="268">
        <f t="shared" ref="O4248" si="1277">SUM(P4248:Z4248)</f>
        <v>3950</v>
      </c>
      <c r="P4248" s="239"/>
      <c r="Q4248" s="239">
        <f>2000-200-500+3000-250-100</f>
        <v>3950</v>
      </c>
      <c r="R4248" s="239"/>
      <c r="S4248" s="239"/>
      <c r="T4248" s="239"/>
      <c r="U4248" s="240"/>
      <c r="V4248" s="240"/>
      <c r="W4248" s="240"/>
      <c r="X4248" s="278"/>
      <c r="Y4248" s="237"/>
      <c r="Z4248" s="237"/>
      <c r="AA4248" s="279"/>
      <c r="AB4248" s="238"/>
      <c r="AC4248" s="196">
        <f t="shared" si="1251"/>
        <v>3950</v>
      </c>
      <c r="AD4248" s="196">
        <f t="shared" si="1252"/>
        <v>3950</v>
      </c>
      <c r="AE4248" s="196">
        <f t="shared" si="1253"/>
        <v>0</v>
      </c>
      <c r="AF4248" s="2">
        <f t="shared" si="1254"/>
        <v>3950</v>
      </c>
      <c r="AG4248" s="2">
        <f t="shared" si="1255"/>
        <v>0</v>
      </c>
    </row>
    <row r="4249" spans="1:33">
      <c r="A4249" s="20" t="s">
        <v>24728</v>
      </c>
      <c r="B4249" s="150"/>
      <c r="C4249" s="21" t="s">
        <v>25755</v>
      </c>
      <c r="D4249" s="109" t="s">
        <v>5979</v>
      </c>
      <c r="E4249" s="109"/>
      <c r="F4249" s="391" t="s">
        <v>24792</v>
      </c>
      <c r="G4249" s="23" t="s">
        <v>15443</v>
      </c>
      <c r="H4249" s="23" t="s">
        <v>25269</v>
      </c>
      <c r="I4249" s="23" t="s">
        <v>25409</v>
      </c>
      <c r="J4249" s="23" t="s">
        <v>25666</v>
      </c>
      <c r="K4249" s="23"/>
      <c r="L4249" s="375" t="s">
        <v>45</v>
      </c>
      <c r="M4249" s="351" t="s">
        <v>45</v>
      </c>
      <c r="N4249" s="267">
        <f t="shared" ref="N4249" si="1278">SUM(L4249:M4249)</f>
        <v>0</v>
      </c>
      <c r="O4249" s="268">
        <f t="shared" ref="O4249" si="1279">SUM(P4249:Z4249)</f>
        <v>0</v>
      </c>
      <c r="P4249" s="239"/>
      <c r="Q4249" s="239"/>
      <c r="R4249" s="239"/>
      <c r="S4249" s="239"/>
      <c r="T4249" s="239"/>
      <c r="U4249" s="240"/>
      <c r="V4249" s="240"/>
      <c r="W4249" s="240"/>
      <c r="X4249" s="278"/>
      <c r="Y4249" s="237"/>
      <c r="Z4249" s="237"/>
      <c r="AA4249" s="279"/>
      <c r="AB4249" s="238"/>
      <c r="AC4249" s="196">
        <f t="shared" si="1251"/>
        <v>0</v>
      </c>
      <c r="AD4249" s="196">
        <f t="shared" si="1252"/>
        <v>0</v>
      </c>
      <c r="AE4249" s="196">
        <f t="shared" si="1253"/>
        <v>0</v>
      </c>
      <c r="AF4249" s="2">
        <f t="shared" si="1254"/>
        <v>0</v>
      </c>
      <c r="AG4249" s="2">
        <f t="shared" si="1255"/>
        <v>0</v>
      </c>
    </row>
    <row r="4250" spans="1:33">
      <c r="A4250" s="20" t="s">
        <v>26263</v>
      </c>
      <c r="B4250" s="150"/>
      <c r="C4250" s="21" t="s">
        <v>25830</v>
      </c>
      <c r="D4250" s="109" t="s">
        <v>20994</v>
      </c>
      <c r="E4250" s="109"/>
      <c r="F4250" s="391" t="s">
        <v>25825</v>
      </c>
      <c r="G4250" s="23" t="s">
        <v>25826</v>
      </c>
      <c r="H4250" s="23" t="s">
        <v>25827</v>
      </c>
      <c r="I4250" s="23" t="s">
        <v>25828</v>
      </c>
      <c r="J4250" s="23" t="s">
        <v>25829</v>
      </c>
      <c r="K4250" s="23"/>
      <c r="L4250" s="375" t="s">
        <v>27883</v>
      </c>
      <c r="M4250" s="351" t="s">
        <v>45</v>
      </c>
      <c r="N4250" s="267">
        <f t="shared" ref="N4250" si="1280">SUM(L4250:M4250)</f>
        <v>0</v>
      </c>
      <c r="O4250" s="268">
        <f t="shared" ref="O4250" si="1281">SUM(P4250:Z4250)</f>
        <v>3800</v>
      </c>
      <c r="P4250" s="239"/>
      <c r="Q4250" s="239"/>
      <c r="R4250" s="239"/>
      <c r="S4250" s="239"/>
      <c r="T4250" s="239"/>
      <c r="U4250" s="240"/>
      <c r="V4250" s="240">
        <f>200+600+3000</f>
        <v>3800</v>
      </c>
      <c r="W4250" s="240"/>
      <c r="X4250" s="278"/>
      <c r="Y4250" s="237"/>
      <c r="Z4250" s="237"/>
      <c r="AA4250" s="279"/>
      <c r="AB4250" s="238" t="s">
        <v>27879</v>
      </c>
      <c r="AC4250" s="196">
        <f t="shared" si="1251"/>
        <v>3800</v>
      </c>
      <c r="AD4250" s="196">
        <f t="shared" si="1252"/>
        <v>3800</v>
      </c>
      <c r="AE4250" s="196">
        <f t="shared" si="1253"/>
        <v>0</v>
      </c>
      <c r="AF4250" s="2">
        <f t="shared" si="1254"/>
        <v>3800</v>
      </c>
      <c r="AG4250" s="2">
        <f t="shared" si="1255"/>
        <v>0</v>
      </c>
    </row>
    <row r="4251" spans="1:33">
      <c r="A4251" s="20" t="s">
        <v>26264</v>
      </c>
      <c r="B4251" s="150"/>
      <c r="C4251" s="21" t="s">
        <v>26311</v>
      </c>
      <c r="D4251" s="109" t="s">
        <v>20994</v>
      </c>
      <c r="E4251" s="109"/>
      <c r="F4251" s="391" t="s">
        <v>25825</v>
      </c>
      <c r="G4251" s="23" t="s">
        <v>25826</v>
      </c>
      <c r="H4251" s="23"/>
      <c r="I4251" s="23"/>
      <c r="J4251" s="23"/>
      <c r="K4251" s="23"/>
      <c r="L4251" s="375" t="s">
        <v>27352</v>
      </c>
      <c r="M4251" s="351" t="s">
        <v>45</v>
      </c>
      <c r="N4251" s="267">
        <f t="shared" ref="N4251" si="1282">SUM(L4251:M4251)</f>
        <v>0</v>
      </c>
      <c r="O4251" s="268">
        <f t="shared" ref="O4251" si="1283">SUM(P4251:Z4251)</f>
        <v>400</v>
      </c>
      <c r="P4251" s="239"/>
      <c r="Q4251" s="239"/>
      <c r="R4251" s="239"/>
      <c r="S4251" s="239"/>
      <c r="T4251" s="239"/>
      <c r="U4251" s="244"/>
      <c r="V4251" s="240">
        <f>4200-3800</f>
        <v>400</v>
      </c>
      <c r="W4251" s="240"/>
      <c r="X4251" s="278"/>
      <c r="Y4251" s="237"/>
      <c r="Z4251" s="237"/>
      <c r="AA4251" s="279"/>
      <c r="AB4251" s="238" t="s">
        <v>27390</v>
      </c>
      <c r="AC4251" s="196">
        <f t="shared" si="1251"/>
        <v>400</v>
      </c>
      <c r="AD4251" s="196">
        <f t="shared" si="1252"/>
        <v>400</v>
      </c>
      <c r="AE4251" s="196">
        <f t="shared" si="1253"/>
        <v>0</v>
      </c>
      <c r="AF4251" s="2">
        <f t="shared" si="1254"/>
        <v>400</v>
      </c>
      <c r="AG4251" s="2">
        <f t="shared" si="1255"/>
        <v>0</v>
      </c>
    </row>
    <row r="4252" spans="1:33">
      <c r="A4252" s="20" t="s">
        <v>25055</v>
      </c>
      <c r="B4252" s="150"/>
      <c r="C4252" s="21" t="s">
        <v>25105</v>
      </c>
      <c r="D4252" s="109" t="s">
        <v>3137</v>
      </c>
      <c r="E4252" s="109" t="s">
        <v>26933</v>
      </c>
      <c r="F4252" s="391" t="s">
        <v>25106</v>
      </c>
      <c r="G4252" s="23" t="s">
        <v>25107</v>
      </c>
      <c r="H4252" s="23" t="s">
        <v>25122</v>
      </c>
      <c r="I4252" s="23" t="s">
        <v>25539</v>
      </c>
      <c r="J4252" s="23"/>
      <c r="K4252" s="23"/>
      <c r="L4252" s="375" t="s">
        <v>27991</v>
      </c>
      <c r="M4252" s="351" t="s">
        <v>27849</v>
      </c>
      <c r="N4252" s="267">
        <f t="shared" ref="N4252" si="1284">SUM(L4252:M4252)</f>
        <v>0</v>
      </c>
      <c r="O4252" s="268">
        <f t="shared" ref="O4252" si="1285">SUM(P4252:Z4252)</f>
        <v>9500</v>
      </c>
      <c r="P4252" s="239"/>
      <c r="Q4252" s="239"/>
      <c r="R4252" s="239">
        <f>600-550+1550-1500+8050-4000-750+2950+4650-1500</f>
        <v>9500</v>
      </c>
      <c r="S4252" s="239"/>
      <c r="T4252" s="239"/>
      <c r="U4252" s="239"/>
      <c r="V4252" s="240"/>
      <c r="W4252" s="240"/>
      <c r="X4252" s="278" t="s">
        <v>26062</v>
      </c>
      <c r="Y4252" s="237"/>
      <c r="Z4252" s="237"/>
      <c r="AA4252" s="279"/>
      <c r="AB4252" s="238" t="s">
        <v>28012</v>
      </c>
      <c r="AC4252" s="196">
        <f t="shared" si="1251"/>
        <v>9500</v>
      </c>
      <c r="AD4252" s="196">
        <f t="shared" si="1252"/>
        <v>9500</v>
      </c>
      <c r="AE4252" s="196">
        <f t="shared" si="1253"/>
        <v>0</v>
      </c>
      <c r="AF4252" s="2">
        <f t="shared" si="1254"/>
        <v>9500</v>
      </c>
      <c r="AG4252" s="2">
        <f t="shared" si="1255"/>
        <v>0</v>
      </c>
    </row>
    <row r="4253" spans="1:33">
      <c r="A4253" s="20"/>
      <c r="B4253" s="150"/>
      <c r="C4253" s="190" t="s">
        <v>27775</v>
      </c>
      <c r="D4253" s="190" t="s">
        <v>4070</v>
      </c>
      <c r="E4253" s="190" t="s">
        <v>27763</v>
      </c>
      <c r="F4253" s="391" t="s">
        <v>27762</v>
      </c>
      <c r="G4253" s="23" t="s">
        <v>27711</v>
      </c>
      <c r="H4253" s="23" t="s">
        <v>5334</v>
      </c>
      <c r="I4253" s="23" t="s">
        <v>10645</v>
      </c>
      <c r="J4253" s="23"/>
      <c r="K4253" s="23"/>
      <c r="L4253" s="375"/>
      <c r="M4253" s="351" t="s">
        <v>7787</v>
      </c>
      <c r="N4253" s="267">
        <f t="shared" ref="N4253" si="1286">SUM(L4253:M4253)</f>
        <v>0</v>
      </c>
      <c r="O4253" s="268">
        <f t="shared" ref="O4253" si="1287">SUM(P4253:Z4253)</f>
        <v>0</v>
      </c>
      <c r="P4253" s="239"/>
      <c r="Q4253" s="239"/>
      <c r="R4253" s="239"/>
      <c r="S4253" s="239"/>
      <c r="T4253" s="239"/>
      <c r="U4253" s="239"/>
      <c r="V4253" s="240"/>
      <c r="W4253" s="240"/>
      <c r="X4253" s="278" t="s">
        <v>7787</v>
      </c>
      <c r="Y4253" s="237"/>
      <c r="Z4253" s="237"/>
      <c r="AA4253" s="279"/>
      <c r="AB4253" s="238"/>
      <c r="AC4253" s="196">
        <f t="shared" ref="AC4253" si="1288">SUM(P4253:AA4253)</f>
        <v>0</v>
      </c>
      <c r="AD4253" s="196">
        <f t="shared" ref="AD4253" si="1289">SUM(P4253:AB4253)</f>
        <v>0</v>
      </c>
      <c r="AE4253" s="196">
        <f t="shared" ref="AE4253" si="1290">SUM(AC4253-AD4253)</f>
        <v>0</v>
      </c>
      <c r="AF4253" s="2">
        <f t="shared" ref="AF4253" si="1291">+AC4253</f>
        <v>0</v>
      </c>
      <c r="AG4253" s="2">
        <f t="shared" ref="AG4253" si="1292">+AC4253-AF4253</f>
        <v>0</v>
      </c>
    </row>
    <row r="4254" spans="1:33">
      <c r="A4254" s="20" t="s">
        <v>24730</v>
      </c>
      <c r="B4254" s="150"/>
      <c r="C4254" s="21" t="s">
        <v>24791</v>
      </c>
      <c r="D4254" s="109" t="s">
        <v>3137</v>
      </c>
      <c r="E4254" s="109"/>
      <c r="F4254" s="391" t="s">
        <v>24795</v>
      </c>
      <c r="G4254" s="23" t="s">
        <v>17522</v>
      </c>
      <c r="H4254" s="23"/>
      <c r="I4254" s="23"/>
      <c r="J4254" s="23"/>
      <c r="K4254" s="23"/>
      <c r="L4254" s="375" t="s">
        <v>7787</v>
      </c>
      <c r="M4254" s="351" t="s">
        <v>7787</v>
      </c>
      <c r="N4254" s="267">
        <f t="shared" ref="N4254" si="1293">SUM(L4254:M4254)</f>
        <v>0</v>
      </c>
      <c r="O4254" s="268">
        <f t="shared" ref="O4254" si="1294">SUM(P4254:Z4254)</f>
        <v>1550</v>
      </c>
      <c r="P4254" s="239"/>
      <c r="Q4254" s="239">
        <v>1550</v>
      </c>
      <c r="R4254" s="239"/>
      <c r="S4254" s="239"/>
      <c r="T4254" s="239"/>
      <c r="U4254" s="240"/>
      <c r="V4254" s="240"/>
      <c r="W4254" s="240"/>
      <c r="X4254" s="278"/>
      <c r="Y4254" s="237"/>
      <c r="Z4254" s="237"/>
      <c r="AA4254" s="279"/>
      <c r="AB4254" s="238" t="s">
        <v>24857</v>
      </c>
      <c r="AC4254" s="196">
        <f t="shared" si="1251"/>
        <v>1550</v>
      </c>
      <c r="AD4254" s="196">
        <f t="shared" si="1252"/>
        <v>1550</v>
      </c>
      <c r="AE4254" s="196">
        <f t="shared" si="1253"/>
        <v>0</v>
      </c>
      <c r="AF4254" s="2">
        <f t="shared" si="1254"/>
        <v>1550</v>
      </c>
      <c r="AG4254" s="2">
        <f t="shared" si="1255"/>
        <v>0</v>
      </c>
    </row>
    <row r="4255" spans="1:33">
      <c r="A4255" s="20" t="s">
        <v>24931</v>
      </c>
      <c r="B4255" s="150"/>
      <c r="C4255" s="21" t="s">
        <v>24978</v>
      </c>
      <c r="D4255" s="109" t="s">
        <v>3137</v>
      </c>
      <c r="E4255" s="109" t="s">
        <v>24979</v>
      </c>
      <c r="F4255" s="391" t="s">
        <v>25006</v>
      </c>
      <c r="G4255" s="23" t="s">
        <v>18250</v>
      </c>
      <c r="H4255" s="23"/>
      <c r="I4255" s="23"/>
      <c r="J4255" s="23"/>
      <c r="K4255" s="23"/>
      <c r="L4255" s="375"/>
      <c r="M4255" s="351"/>
      <c r="N4255" s="267">
        <f t="shared" ref="N4255" si="1295">SUM(L4255:M4255)</f>
        <v>0</v>
      </c>
      <c r="O4255" s="268">
        <f t="shared" ref="O4255" si="1296">SUM(P4255:Z4255)</f>
        <v>0</v>
      </c>
      <c r="P4255" s="239"/>
      <c r="Q4255" s="239"/>
      <c r="R4255" s="239"/>
      <c r="S4255" s="239"/>
      <c r="T4255" s="239"/>
      <c r="U4255" s="240"/>
      <c r="V4255" s="240"/>
      <c r="W4255" s="240"/>
      <c r="X4255" s="278"/>
      <c r="Y4255" s="237"/>
      <c r="Z4255" s="237"/>
      <c r="AA4255" s="279"/>
      <c r="AB4255" s="238"/>
      <c r="AC4255" s="196">
        <f t="shared" si="1251"/>
        <v>0</v>
      </c>
      <c r="AD4255" s="196">
        <f t="shared" si="1252"/>
        <v>0</v>
      </c>
      <c r="AE4255" s="196">
        <f t="shared" si="1253"/>
        <v>0</v>
      </c>
      <c r="AF4255" s="2">
        <f t="shared" si="1254"/>
        <v>0</v>
      </c>
      <c r="AG4255" s="2">
        <f t="shared" si="1255"/>
        <v>0</v>
      </c>
    </row>
    <row r="4256" spans="1:33">
      <c r="A4256" s="20" t="s">
        <v>25163</v>
      </c>
      <c r="B4256" s="150"/>
      <c r="C4256" s="21" t="s">
        <v>24978</v>
      </c>
      <c r="D4256" s="109" t="s">
        <v>3137</v>
      </c>
      <c r="E4256" s="109" t="s">
        <v>6737</v>
      </c>
      <c r="F4256" s="391" t="s">
        <v>25006</v>
      </c>
      <c r="G4256" s="23" t="s">
        <v>18250</v>
      </c>
      <c r="H4256" s="23" t="s">
        <v>6133</v>
      </c>
      <c r="I4256" s="23" t="s">
        <v>25881</v>
      </c>
      <c r="J4256" s="23" t="s">
        <v>26236</v>
      </c>
      <c r="K4256" s="23"/>
      <c r="L4256" s="375" t="s">
        <v>28053</v>
      </c>
      <c r="M4256" s="351" t="s">
        <v>45</v>
      </c>
      <c r="N4256" s="267">
        <f t="shared" ref="N4256" si="1297">SUM(L4256:M4256)</f>
        <v>0</v>
      </c>
      <c r="O4256" s="268">
        <f t="shared" ref="O4256" si="1298">SUM(P4256:Z4256)</f>
        <v>2750</v>
      </c>
      <c r="P4256" s="239"/>
      <c r="Q4256" s="239">
        <v>2750</v>
      </c>
      <c r="R4256" s="239"/>
      <c r="S4256" s="239"/>
      <c r="T4256" s="239"/>
      <c r="U4256" s="239"/>
      <c r="V4256" s="240"/>
      <c r="W4256" s="240"/>
      <c r="X4256" s="278"/>
      <c r="Y4256" s="239"/>
      <c r="Z4256" s="237"/>
      <c r="AA4256" s="239"/>
      <c r="AB4256" s="238" t="s">
        <v>28038</v>
      </c>
      <c r="AC4256" s="196">
        <f t="shared" si="1251"/>
        <v>2750</v>
      </c>
      <c r="AD4256" s="196">
        <f t="shared" si="1252"/>
        <v>2750</v>
      </c>
      <c r="AE4256" s="196">
        <f t="shared" si="1253"/>
        <v>0</v>
      </c>
      <c r="AF4256" s="2">
        <f t="shared" si="1254"/>
        <v>2750</v>
      </c>
      <c r="AG4256" s="2">
        <f t="shared" si="1255"/>
        <v>0</v>
      </c>
    </row>
    <row r="4257" spans="1:33">
      <c r="A4257" s="20" t="s">
        <v>24850</v>
      </c>
      <c r="B4257" s="150"/>
      <c r="C4257" s="21" t="s">
        <v>24877</v>
      </c>
      <c r="D4257" s="109" t="s">
        <v>3137</v>
      </c>
      <c r="E4257" s="109" t="s">
        <v>23853</v>
      </c>
      <c r="F4257" s="391" t="s">
        <v>24876</v>
      </c>
      <c r="G4257" s="23" t="s">
        <v>24875</v>
      </c>
      <c r="H4257" s="23"/>
      <c r="I4257" s="23"/>
      <c r="J4257" s="23"/>
      <c r="K4257" s="23"/>
      <c r="L4257" s="375"/>
      <c r="M4257" s="351"/>
      <c r="N4257" s="267">
        <f t="shared" ref="N4257" si="1299">SUM(L4257:M4257)</f>
        <v>0</v>
      </c>
      <c r="O4257" s="268">
        <f t="shared" ref="O4257" si="1300">SUM(P4257:Z4257)</f>
        <v>2500</v>
      </c>
      <c r="P4257" s="239"/>
      <c r="Q4257" s="239"/>
      <c r="R4257" s="239"/>
      <c r="S4257" s="239"/>
      <c r="T4257" s="239">
        <f>3000-500</f>
        <v>2500</v>
      </c>
      <c r="U4257" s="240"/>
      <c r="V4257" s="240"/>
      <c r="W4257" s="240"/>
      <c r="X4257" s="278"/>
      <c r="Y4257" s="237"/>
      <c r="Z4257" s="237"/>
      <c r="AA4257" s="279"/>
      <c r="AB4257" s="238"/>
      <c r="AC4257" s="196">
        <f t="shared" si="1251"/>
        <v>2500</v>
      </c>
      <c r="AD4257" s="196">
        <f t="shared" si="1252"/>
        <v>2500</v>
      </c>
      <c r="AE4257" s="196">
        <f t="shared" si="1253"/>
        <v>0</v>
      </c>
      <c r="AF4257" s="2">
        <f t="shared" si="1254"/>
        <v>2500</v>
      </c>
      <c r="AG4257" s="2">
        <f t="shared" si="1255"/>
        <v>0</v>
      </c>
    </row>
    <row r="4258" spans="1:33">
      <c r="A4258" s="20" t="s">
        <v>24732</v>
      </c>
      <c r="B4258" s="150"/>
      <c r="C4258" s="21" t="s">
        <v>24818</v>
      </c>
      <c r="D4258" s="109" t="s">
        <v>3137</v>
      </c>
      <c r="E4258" s="109"/>
      <c r="F4258" s="391" t="s">
        <v>24821</v>
      </c>
      <c r="G4258" s="23" t="s">
        <v>6133</v>
      </c>
      <c r="H4258" s="23"/>
      <c r="I4258" s="23"/>
      <c r="J4258" s="23"/>
      <c r="K4258" s="23"/>
      <c r="L4258" s="375" t="s">
        <v>7787</v>
      </c>
      <c r="M4258" s="351"/>
      <c r="N4258" s="267">
        <f t="shared" ref="N4258" si="1301">SUM(L4258:M4258)</f>
        <v>0</v>
      </c>
      <c r="O4258" s="268">
        <f t="shared" ref="O4258" si="1302">SUM(P4258:Z4258)</f>
        <v>1100</v>
      </c>
      <c r="P4258" s="239"/>
      <c r="Q4258" s="239">
        <f>1350-500+250</f>
        <v>1100</v>
      </c>
      <c r="R4258" s="239"/>
      <c r="S4258" s="239"/>
      <c r="T4258" s="239"/>
      <c r="U4258" s="240"/>
      <c r="V4258" s="240"/>
      <c r="W4258" s="240"/>
      <c r="X4258" s="278"/>
      <c r="Y4258" s="237"/>
      <c r="Z4258" s="237"/>
      <c r="AA4258" s="279"/>
      <c r="AB4258" s="238" t="s">
        <v>24822</v>
      </c>
      <c r="AC4258" s="196">
        <f t="shared" si="1251"/>
        <v>1100</v>
      </c>
      <c r="AD4258" s="196">
        <f t="shared" si="1252"/>
        <v>1100</v>
      </c>
      <c r="AE4258" s="196">
        <f t="shared" si="1253"/>
        <v>0</v>
      </c>
      <c r="AF4258" s="2">
        <f t="shared" si="1254"/>
        <v>1100</v>
      </c>
      <c r="AG4258" s="2">
        <f t="shared" si="1255"/>
        <v>0</v>
      </c>
    </row>
    <row r="4259" spans="1:33">
      <c r="A4259" s="20" t="s">
        <v>25351</v>
      </c>
      <c r="B4259" s="150"/>
      <c r="C4259" s="21" t="s">
        <v>25427</v>
      </c>
      <c r="D4259" s="109" t="s">
        <v>3137</v>
      </c>
      <c r="E4259" s="109"/>
      <c r="F4259" s="391" t="s">
        <v>25440</v>
      </c>
      <c r="G4259" s="23" t="s">
        <v>13888</v>
      </c>
      <c r="H4259" s="23"/>
      <c r="I4259" s="23"/>
      <c r="J4259" s="23"/>
      <c r="K4259" s="23"/>
      <c r="L4259" s="375" t="s">
        <v>45</v>
      </c>
      <c r="M4259" s="351"/>
      <c r="N4259" s="267">
        <f t="shared" ref="N4259" si="1303">SUM(L4259:M4259)</f>
        <v>0</v>
      </c>
      <c r="O4259" s="268">
        <f t="shared" ref="O4259" si="1304">SUM(P4259:Z4259)</f>
        <v>500</v>
      </c>
      <c r="P4259" s="239"/>
      <c r="Q4259" s="239"/>
      <c r="R4259" s="239"/>
      <c r="S4259" s="239"/>
      <c r="T4259" s="239"/>
      <c r="U4259" s="240">
        <f>600-100</f>
        <v>500</v>
      </c>
      <c r="V4259" s="240"/>
      <c r="W4259" s="240"/>
      <c r="X4259" s="278"/>
      <c r="Y4259" s="237"/>
      <c r="Z4259" s="237"/>
      <c r="AA4259" s="279"/>
      <c r="AB4259" s="238" t="s">
        <v>25441</v>
      </c>
      <c r="AC4259" s="196">
        <f t="shared" si="1251"/>
        <v>500</v>
      </c>
      <c r="AD4259" s="196">
        <f t="shared" si="1252"/>
        <v>500</v>
      </c>
      <c r="AE4259" s="196">
        <f t="shared" si="1253"/>
        <v>0</v>
      </c>
      <c r="AF4259" s="2">
        <f t="shared" si="1254"/>
        <v>500</v>
      </c>
      <c r="AG4259" s="2">
        <f t="shared" si="1255"/>
        <v>0</v>
      </c>
    </row>
    <row r="4260" spans="1:33">
      <c r="A4260" s="20" t="s">
        <v>2927</v>
      </c>
      <c r="B4260" s="150"/>
      <c r="C4260" s="21" t="s">
        <v>853</v>
      </c>
      <c r="D4260" s="109" t="s">
        <v>16376</v>
      </c>
      <c r="E4260" s="109" t="s">
        <v>15965</v>
      </c>
      <c r="F4260" s="391" t="s">
        <v>16915</v>
      </c>
      <c r="G4260" s="23"/>
      <c r="H4260" s="23"/>
      <c r="I4260" s="23"/>
      <c r="J4260" s="23"/>
      <c r="K4260" s="23"/>
      <c r="L4260" s="375" t="s">
        <v>7787</v>
      </c>
      <c r="M4260" s="351" t="s">
        <v>7787</v>
      </c>
      <c r="N4260" s="267">
        <f t="shared" si="1057"/>
        <v>0</v>
      </c>
      <c r="O4260" s="268">
        <f t="shared" si="1058"/>
        <v>0</v>
      </c>
      <c r="P4260" s="239"/>
      <c r="Q4260" s="239"/>
      <c r="R4260" s="239"/>
      <c r="S4260" s="239"/>
      <c r="T4260" s="239"/>
      <c r="U4260" s="240"/>
      <c r="V4260" s="240"/>
      <c r="W4260" s="240"/>
      <c r="X4260" s="278"/>
      <c r="Y4260" s="237"/>
      <c r="Z4260" s="237"/>
      <c r="AA4260" s="279"/>
      <c r="AB4260" s="238"/>
      <c r="AC4260" s="196">
        <f t="shared" si="1251"/>
        <v>0</v>
      </c>
      <c r="AD4260" s="196">
        <f t="shared" si="1252"/>
        <v>0</v>
      </c>
      <c r="AE4260" s="196">
        <f t="shared" si="1253"/>
        <v>0</v>
      </c>
      <c r="AF4260" s="2">
        <f t="shared" si="1254"/>
        <v>0</v>
      </c>
      <c r="AG4260" s="2">
        <f t="shared" si="1255"/>
        <v>0</v>
      </c>
    </row>
    <row r="4261" spans="1:33">
      <c r="A4261" s="20" t="s">
        <v>2926</v>
      </c>
      <c r="B4261" s="150"/>
      <c r="C4261" s="21" t="s">
        <v>853</v>
      </c>
      <c r="D4261" s="109" t="s">
        <v>15161</v>
      </c>
      <c r="E4261" s="109"/>
      <c r="F4261" s="391" t="s">
        <v>16915</v>
      </c>
      <c r="G4261" s="23"/>
      <c r="H4261" s="23"/>
      <c r="I4261" s="23"/>
      <c r="J4261" s="23"/>
      <c r="K4261" s="23"/>
      <c r="L4261" s="350"/>
      <c r="M4261" s="351"/>
      <c r="N4261" s="267">
        <f t="shared" si="1057"/>
        <v>0</v>
      </c>
      <c r="O4261" s="268">
        <f t="shared" si="1058"/>
        <v>0</v>
      </c>
      <c r="P4261" s="239"/>
      <c r="Q4261" s="239"/>
      <c r="R4261" s="239"/>
      <c r="S4261" s="239"/>
      <c r="T4261" s="239"/>
      <c r="U4261" s="240"/>
      <c r="V4261" s="240"/>
      <c r="W4261" s="240"/>
      <c r="X4261" s="278"/>
      <c r="Y4261" s="237"/>
      <c r="Z4261" s="237"/>
      <c r="AA4261" s="279"/>
      <c r="AB4261" s="238"/>
      <c r="AC4261" s="196">
        <f t="shared" si="1251"/>
        <v>0</v>
      </c>
      <c r="AD4261" s="196">
        <f t="shared" si="1252"/>
        <v>0</v>
      </c>
      <c r="AE4261" s="196">
        <f t="shared" si="1253"/>
        <v>0</v>
      </c>
      <c r="AF4261" s="2">
        <f t="shared" si="1254"/>
        <v>0</v>
      </c>
      <c r="AG4261" s="2">
        <f t="shared" si="1255"/>
        <v>0</v>
      </c>
    </row>
    <row r="4262" spans="1:33">
      <c r="A4262" s="20" t="s">
        <v>2928</v>
      </c>
      <c r="B4262" s="150"/>
      <c r="C4262" s="21" t="s">
        <v>853</v>
      </c>
      <c r="D4262" s="109" t="s">
        <v>15167</v>
      </c>
      <c r="E4262" s="109"/>
      <c r="F4262" s="391" t="s">
        <v>16915</v>
      </c>
      <c r="G4262" s="23" t="s">
        <v>16378</v>
      </c>
      <c r="H4262" s="23" t="s">
        <v>16385</v>
      </c>
      <c r="I4262" s="23" t="s">
        <v>13339</v>
      </c>
      <c r="J4262" s="23" t="s">
        <v>25733</v>
      </c>
      <c r="K4262" s="23"/>
      <c r="L4262" s="375" t="s">
        <v>45</v>
      </c>
      <c r="M4262" s="351"/>
      <c r="N4262" s="267">
        <f t="shared" si="1057"/>
        <v>0</v>
      </c>
      <c r="O4262" s="268">
        <f t="shared" si="1058"/>
        <v>100</v>
      </c>
      <c r="P4262" s="239"/>
      <c r="Q4262" s="239">
        <f>300-200+200-200</f>
        <v>100</v>
      </c>
      <c r="R4262" s="239"/>
      <c r="S4262" s="239"/>
      <c r="T4262" s="239"/>
      <c r="U4262" s="240"/>
      <c r="V4262" s="240"/>
      <c r="W4262" s="240"/>
      <c r="X4262" s="278"/>
      <c r="Y4262" s="237"/>
      <c r="Z4262" s="237"/>
      <c r="AA4262" s="279"/>
      <c r="AB4262" s="238" t="s">
        <v>25734</v>
      </c>
      <c r="AC4262" s="196">
        <f t="shared" si="1251"/>
        <v>100</v>
      </c>
      <c r="AD4262" s="196">
        <f t="shared" si="1252"/>
        <v>100</v>
      </c>
      <c r="AE4262" s="196">
        <f t="shared" si="1253"/>
        <v>0</v>
      </c>
      <c r="AF4262" s="2">
        <f t="shared" si="1254"/>
        <v>100</v>
      </c>
      <c r="AG4262" s="2">
        <f t="shared" si="1255"/>
        <v>0</v>
      </c>
    </row>
    <row r="4263" spans="1:33">
      <c r="A4263" s="20" t="s">
        <v>24993</v>
      </c>
      <c r="B4263" s="150"/>
      <c r="C4263" s="21" t="s">
        <v>25017</v>
      </c>
      <c r="D4263" s="109" t="s">
        <v>25019</v>
      </c>
      <c r="E4263" s="109" t="s">
        <v>25018</v>
      </c>
      <c r="F4263" s="391" t="s">
        <v>25020</v>
      </c>
      <c r="G4263" s="23" t="s">
        <v>11710</v>
      </c>
      <c r="H4263" s="23" t="s">
        <v>25149</v>
      </c>
      <c r="I4263" s="23"/>
      <c r="J4263" s="23"/>
      <c r="K4263" s="23"/>
      <c r="L4263" s="375" t="s">
        <v>45</v>
      </c>
      <c r="M4263" s="351"/>
      <c r="N4263" s="267">
        <f t="shared" ref="N4263" si="1305">SUM(L4263:M4263)</f>
        <v>0</v>
      </c>
      <c r="O4263" s="268">
        <f t="shared" ref="O4263" si="1306">SUM(P4263:Z4263)</f>
        <v>2200</v>
      </c>
      <c r="P4263" s="239"/>
      <c r="Q4263" s="239"/>
      <c r="R4263" s="239"/>
      <c r="S4263" s="239"/>
      <c r="T4263" s="239"/>
      <c r="U4263" s="240">
        <f>2400+3200-3000+3600-1900+3600+3600+2000-7200-1800-2100-100-100</f>
        <v>2200</v>
      </c>
      <c r="V4263" s="240"/>
      <c r="W4263" s="240"/>
      <c r="X4263" s="278"/>
      <c r="Y4263" s="240"/>
      <c r="Z4263" s="237"/>
      <c r="AA4263" s="279"/>
      <c r="AB4263" s="238" t="s">
        <v>27387</v>
      </c>
      <c r="AC4263" s="196">
        <f t="shared" si="1251"/>
        <v>2200</v>
      </c>
      <c r="AD4263" s="196">
        <f t="shared" si="1252"/>
        <v>2200</v>
      </c>
      <c r="AE4263" s="196">
        <f t="shared" si="1253"/>
        <v>0</v>
      </c>
      <c r="AF4263" s="2">
        <f t="shared" si="1254"/>
        <v>2200</v>
      </c>
      <c r="AG4263" s="2">
        <f t="shared" si="1255"/>
        <v>0</v>
      </c>
    </row>
    <row r="4264" spans="1:33">
      <c r="A4264" s="20" t="s">
        <v>24852</v>
      </c>
      <c r="B4264" s="150"/>
      <c r="C4264" s="21" t="s">
        <v>24914</v>
      </c>
      <c r="D4264" s="109" t="s">
        <v>3927</v>
      </c>
      <c r="E4264" s="109"/>
      <c r="F4264" s="391" t="s">
        <v>24916</v>
      </c>
      <c r="G4264" s="23" t="s">
        <v>16333</v>
      </c>
      <c r="H4264" s="23" t="s">
        <v>15547</v>
      </c>
      <c r="I4264" s="23"/>
      <c r="J4264" s="23"/>
      <c r="K4264" s="23"/>
      <c r="L4264" s="375"/>
      <c r="M4264" s="351" t="s">
        <v>45</v>
      </c>
      <c r="N4264" s="267">
        <f t="shared" ref="N4264:N4267" si="1307">SUM(L4264:M4264)</f>
        <v>0</v>
      </c>
      <c r="O4264" s="268">
        <f t="shared" ref="O4264:O4267" si="1308">SUM(P4264:Z4264)</f>
        <v>0</v>
      </c>
      <c r="P4264" s="239"/>
      <c r="Q4264" s="239"/>
      <c r="R4264" s="239"/>
      <c r="S4264" s="239"/>
      <c r="T4264" s="239"/>
      <c r="U4264" s="240"/>
      <c r="V4264" s="240"/>
      <c r="W4264" s="240"/>
      <c r="X4264" s="278"/>
      <c r="Y4264" s="237"/>
      <c r="Z4264" s="237"/>
      <c r="AA4264" s="279"/>
      <c r="AB4264" s="238"/>
      <c r="AC4264" s="196">
        <f t="shared" si="1251"/>
        <v>0</v>
      </c>
      <c r="AD4264" s="196">
        <f t="shared" si="1252"/>
        <v>0</v>
      </c>
      <c r="AE4264" s="196">
        <f t="shared" si="1253"/>
        <v>0</v>
      </c>
      <c r="AF4264" s="2">
        <f t="shared" si="1254"/>
        <v>0</v>
      </c>
      <c r="AG4264" s="2">
        <f t="shared" si="1255"/>
        <v>0</v>
      </c>
    </row>
    <row r="4265" spans="1:33">
      <c r="A4265" s="20" t="s">
        <v>26126</v>
      </c>
      <c r="B4265" s="150"/>
      <c r="C4265" s="21" t="s">
        <v>25998</v>
      </c>
      <c r="D4265" s="109" t="s">
        <v>4071</v>
      </c>
      <c r="E4265" s="109" t="s">
        <v>26248</v>
      </c>
      <c r="F4265" s="391" t="s">
        <v>25999</v>
      </c>
      <c r="G4265" s="23" t="s">
        <v>11710</v>
      </c>
      <c r="H4265" s="23" t="s">
        <v>26252</v>
      </c>
      <c r="I4265" s="23"/>
      <c r="J4265" s="23"/>
      <c r="K4265" s="23"/>
      <c r="L4265" s="375" t="s">
        <v>45</v>
      </c>
      <c r="M4265" s="351" t="s">
        <v>7787</v>
      </c>
      <c r="N4265" s="267">
        <f t="shared" ref="N4265" si="1309">SUM(L4265:M4265)</f>
        <v>0</v>
      </c>
      <c r="O4265" s="268">
        <f t="shared" ref="O4265" si="1310">SUM(P4265:Z4265)</f>
        <v>9300</v>
      </c>
      <c r="P4265" s="239"/>
      <c r="Q4265" s="239"/>
      <c r="R4265" s="239"/>
      <c r="S4265" s="239"/>
      <c r="T4265" s="239"/>
      <c r="U4265" s="240">
        <f>2600+2800+3200+2800+3000+1300+1500-16200+3200+2800+3000+1800+2600+3000+2600+3200+3600+2500+9600+4800+3900-38400-300+2600+3000+3200+2600+3000+1100+3300+900+1600-22500-200</f>
        <v>7500</v>
      </c>
      <c r="V4265" s="240">
        <f>3600+3000+3400-5000+3200+3400+3600+3300+3600+3600+3600+3200+3200+4500-38400</f>
        <v>1800</v>
      </c>
      <c r="W4265" s="240"/>
      <c r="X4265" s="278"/>
      <c r="Y4265" s="237"/>
      <c r="Z4265" s="237"/>
      <c r="AA4265" s="279"/>
      <c r="AB4265" s="238" t="s">
        <v>27911</v>
      </c>
      <c r="AC4265" s="196">
        <f t="shared" si="1251"/>
        <v>9300</v>
      </c>
      <c r="AD4265" s="196">
        <f t="shared" si="1252"/>
        <v>9300</v>
      </c>
      <c r="AE4265" s="196">
        <f t="shared" si="1253"/>
        <v>0</v>
      </c>
      <c r="AF4265" s="2">
        <f t="shared" si="1254"/>
        <v>9300</v>
      </c>
      <c r="AG4265" s="2">
        <f t="shared" si="1255"/>
        <v>0</v>
      </c>
    </row>
    <row r="4266" spans="1:33">
      <c r="A4266" s="20" t="s">
        <v>27104</v>
      </c>
      <c r="B4266" s="150"/>
      <c r="C4266" s="21" t="s">
        <v>26992</v>
      </c>
      <c r="D4266" s="109" t="s">
        <v>4071</v>
      </c>
      <c r="E4266" s="109" t="s">
        <v>26993</v>
      </c>
      <c r="F4266" s="391" t="s">
        <v>25999</v>
      </c>
      <c r="G4266" s="23" t="s">
        <v>11710</v>
      </c>
      <c r="H4266" s="23" t="s">
        <v>5445</v>
      </c>
      <c r="I4266" s="23"/>
      <c r="J4266" s="23"/>
      <c r="K4266" s="23"/>
      <c r="L4266" s="375">
        <f>210</f>
        <v>210</v>
      </c>
      <c r="M4266" s="351" t="s">
        <v>7787</v>
      </c>
      <c r="N4266" s="267">
        <f t="shared" ref="N4266" si="1311">SUM(L4266:M4266)</f>
        <v>210</v>
      </c>
      <c r="O4266" s="268">
        <f t="shared" ref="O4266" si="1312">SUM(P4266:Z4266)</f>
        <v>0</v>
      </c>
      <c r="P4266" s="239"/>
      <c r="Q4266" s="239"/>
      <c r="R4266" s="239"/>
      <c r="S4266" s="239"/>
      <c r="T4266" s="239"/>
      <c r="U4266" s="240"/>
      <c r="V4266" s="240"/>
      <c r="W4266" s="240"/>
      <c r="X4266" s="278"/>
      <c r="Y4266" s="237"/>
      <c r="Z4266" s="237"/>
      <c r="AA4266" s="279"/>
      <c r="AB4266" s="238"/>
      <c r="AC4266" s="196">
        <f t="shared" ref="AC4266" si="1313">SUM(P4266:AA4266)</f>
        <v>0</v>
      </c>
      <c r="AD4266" s="196">
        <f t="shared" ref="AD4266" si="1314">SUM(P4266:AB4266)</f>
        <v>0</v>
      </c>
      <c r="AE4266" s="196">
        <f t="shared" ref="AE4266" si="1315">SUM(AC4266-AD4266)</f>
        <v>0</v>
      </c>
      <c r="AF4266" s="2">
        <f t="shared" ref="AF4266" si="1316">+AC4266</f>
        <v>0</v>
      </c>
      <c r="AG4266" s="2">
        <f t="shared" ref="AG4266" si="1317">+AC4266-AF4266</f>
        <v>0</v>
      </c>
    </row>
    <row r="4267" spans="1:33">
      <c r="A4267" s="20" t="s">
        <v>24918</v>
      </c>
      <c r="B4267" s="150"/>
      <c r="C4267" s="21" t="s">
        <v>24915</v>
      </c>
      <c r="D4267" s="109" t="s">
        <v>3927</v>
      </c>
      <c r="E4267" s="109"/>
      <c r="F4267" s="391" t="s">
        <v>24935</v>
      </c>
      <c r="G4267" s="23" t="s">
        <v>16333</v>
      </c>
      <c r="H4267" s="23"/>
      <c r="I4267" s="23"/>
      <c r="J4267" s="23"/>
      <c r="K4267" s="23"/>
      <c r="L4267" s="375" t="s">
        <v>45</v>
      </c>
      <c r="M4267" s="351"/>
      <c r="N4267" s="267">
        <f t="shared" si="1307"/>
        <v>0</v>
      </c>
      <c r="O4267" s="268">
        <f t="shared" si="1308"/>
        <v>0</v>
      </c>
      <c r="P4267" s="239"/>
      <c r="Q4267" s="239"/>
      <c r="R4267" s="239"/>
      <c r="S4267" s="239"/>
      <c r="T4267" s="239"/>
      <c r="U4267" s="240"/>
      <c r="V4267" s="240"/>
      <c r="W4267" s="240"/>
      <c r="X4267" s="278"/>
      <c r="Y4267" s="237"/>
      <c r="Z4267" s="237"/>
      <c r="AA4267" s="279"/>
      <c r="AB4267" s="238"/>
      <c r="AC4267" s="196">
        <f t="shared" si="1251"/>
        <v>0</v>
      </c>
      <c r="AD4267" s="196">
        <f t="shared" si="1252"/>
        <v>0</v>
      </c>
      <c r="AE4267" s="196">
        <f t="shared" si="1253"/>
        <v>0</v>
      </c>
      <c r="AF4267" s="2">
        <f t="shared" si="1254"/>
        <v>0</v>
      </c>
      <c r="AG4267" s="2">
        <f t="shared" si="1255"/>
        <v>0</v>
      </c>
    </row>
    <row r="4268" spans="1:33">
      <c r="A4268" s="20" t="s">
        <v>27105</v>
      </c>
      <c r="B4268" s="150"/>
      <c r="C4268" s="21" t="s">
        <v>27020</v>
      </c>
      <c r="D4268" s="109" t="s">
        <v>3133</v>
      </c>
      <c r="E4268" s="109" t="s">
        <v>26055</v>
      </c>
      <c r="F4268" s="391" t="s">
        <v>27021</v>
      </c>
      <c r="G4268" s="23" t="s">
        <v>14332</v>
      </c>
      <c r="H4268" s="23"/>
      <c r="I4268" s="23"/>
      <c r="J4268" s="23"/>
      <c r="K4268" s="23"/>
      <c r="L4268" s="375"/>
      <c r="M4268" s="351"/>
      <c r="N4268" s="267">
        <f t="shared" ref="N4268:N4270" si="1318">SUM(L4268:M4268)</f>
        <v>0</v>
      </c>
      <c r="O4268" s="268">
        <f t="shared" ref="O4268:O4270" si="1319">SUM(P4268:Z4268)</f>
        <v>0</v>
      </c>
      <c r="P4268" s="239"/>
      <c r="Q4268" s="239"/>
      <c r="R4268" s="239"/>
      <c r="S4268" s="239"/>
      <c r="T4268" s="239"/>
      <c r="U4268" s="240"/>
      <c r="V4268" s="240"/>
      <c r="W4268" s="240"/>
      <c r="X4268" s="278"/>
      <c r="Y4268" s="237"/>
      <c r="Z4268" s="237"/>
      <c r="AA4268" s="279"/>
      <c r="AB4268" s="238"/>
      <c r="AC4268" s="196"/>
      <c r="AD4268" s="196"/>
      <c r="AE4268" s="196"/>
    </row>
    <row r="4269" spans="1:33">
      <c r="A4269" s="20" t="s">
        <v>27106</v>
      </c>
      <c r="B4269" s="150"/>
      <c r="C4269" s="21" t="s">
        <v>27022</v>
      </c>
      <c r="D4269" s="109" t="s">
        <v>6606</v>
      </c>
      <c r="E4269" s="109" t="s">
        <v>27141</v>
      </c>
      <c r="F4269" s="391" t="s">
        <v>27023</v>
      </c>
      <c r="G4269" s="23" t="s">
        <v>25916</v>
      </c>
      <c r="H4269" s="23"/>
      <c r="I4269" s="23"/>
      <c r="J4269" s="23"/>
      <c r="K4269" s="23"/>
      <c r="L4269" s="375"/>
      <c r="M4269" s="351"/>
      <c r="N4269" s="267">
        <f t="shared" ref="N4269" si="1320">SUM(L4269:M4269)</f>
        <v>0</v>
      </c>
      <c r="O4269" s="268">
        <f t="shared" ref="O4269" si="1321">SUM(P4269:Z4269)</f>
        <v>0</v>
      </c>
      <c r="P4269" s="239"/>
      <c r="Q4269" s="239"/>
      <c r="R4269" s="239"/>
      <c r="S4269" s="239"/>
      <c r="T4269" s="239"/>
      <c r="U4269" s="240"/>
      <c r="V4269" s="240"/>
      <c r="W4269" s="240"/>
      <c r="X4269" s="278"/>
      <c r="Y4269" s="237"/>
      <c r="Z4269" s="237"/>
      <c r="AA4269" s="279"/>
      <c r="AB4269" s="238"/>
      <c r="AC4269" s="196"/>
      <c r="AD4269" s="196"/>
      <c r="AE4269" s="196"/>
    </row>
    <row r="4270" spans="1:33">
      <c r="A4270" s="20" t="s">
        <v>25162</v>
      </c>
      <c r="B4270" s="150"/>
      <c r="C4270" s="21" t="s">
        <v>25119</v>
      </c>
      <c r="D4270" s="109" t="s">
        <v>3137</v>
      </c>
      <c r="E4270" s="109"/>
      <c r="F4270" s="391" t="s">
        <v>25120</v>
      </c>
      <c r="G4270" s="23" t="s">
        <v>23793</v>
      </c>
      <c r="H4270" s="23"/>
      <c r="I4270" s="23"/>
      <c r="J4270" s="23"/>
      <c r="K4270" s="23"/>
      <c r="L4270" s="375" t="s">
        <v>45</v>
      </c>
      <c r="M4270" s="351"/>
      <c r="N4270" s="267">
        <f t="shared" si="1318"/>
        <v>0</v>
      </c>
      <c r="O4270" s="268">
        <f t="shared" si="1319"/>
        <v>150</v>
      </c>
      <c r="P4270" s="239"/>
      <c r="Q4270" s="239"/>
      <c r="R4270" s="239"/>
      <c r="S4270" s="239"/>
      <c r="T4270" s="239"/>
      <c r="U4270" s="240">
        <f>600-500</f>
        <v>100</v>
      </c>
      <c r="V4270" s="240">
        <f>550-500</f>
        <v>50</v>
      </c>
      <c r="W4270" s="240"/>
      <c r="X4270" s="278"/>
      <c r="Y4270" s="237"/>
      <c r="Z4270" s="237"/>
      <c r="AA4270" s="279"/>
      <c r="AB4270" s="238" t="s">
        <v>27302</v>
      </c>
      <c r="AC4270" s="196">
        <f t="shared" si="1251"/>
        <v>150</v>
      </c>
      <c r="AD4270" s="196">
        <f t="shared" si="1252"/>
        <v>150</v>
      </c>
      <c r="AE4270" s="196">
        <f t="shared" si="1253"/>
        <v>0</v>
      </c>
      <c r="AF4270" s="2">
        <f t="shared" si="1254"/>
        <v>150</v>
      </c>
      <c r="AG4270" s="2">
        <f t="shared" si="1255"/>
        <v>0</v>
      </c>
    </row>
    <row r="4271" spans="1:33">
      <c r="A4271" s="20" t="s">
        <v>24922</v>
      </c>
      <c r="B4271" s="150"/>
      <c r="C4271" s="21" t="s">
        <v>24949</v>
      </c>
      <c r="D4271" s="109" t="s">
        <v>3137</v>
      </c>
      <c r="E4271" s="109"/>
      <c r="F4271" s="391" t="s">
        <v>24954</v>
      </c>
      <c r="G4271" s="23" t="s">
        <v>24932</v>
      </c>
      <c r="H4271" s="23" t="s">
        <v>13888</v>
      </c>
      <c r="I4271" s="23" t="s">
        <v>26128</v>
      </c>
      <c r="J4271" s="23"/>
      <c r="K4271" s="23"/>
      <c r="L4271" s="375" t="s">
        <v>45</v>
      </c>
      <c r="M4271" s="351" t="s">
        <v>45</v>
      </c>
      <c r="N4271" s="267">
        <f t="shared" ref="N4271" si="1322">SUM(L4271:M4271)</f>
        <v>0</v>
      </c>
      <c r="O4271" s="268">
        <f t="shared" ref="O4271" si="1323">SUM(P4271:Z4271)</f>
        <v>5600</v>
      </c>
      <c r="P4271" s="239"/>
      <c r="Q4271" s="240">
        <f>2200+3000+3200+2800+2800+3000-2400-5000+2000+2800-1000+3200+2400+2800+2600+3600+3150-2000-550-1000-1500-1500-1000-500-1000-6000-500-1000-1500-2000-2000-1000-500-2000</f>
        <v>5600</v>
      </c>
      <c r="R4271" s="239"/>
      <c r="S4271" s="239"/>
      <c r="T4271" s="239"/>
      <c r="U4271" s="240"/>
      <c r="V4271" s="240"/>
      <c r="W4271" s="240"/>
      <c r="X4271" s="278"/>
      <c r="Y4271" s="237"/>
      <c r="Z4271" s="237"/>
      <c r="AA4271" s="279"/>
      <c r="AB4271" s="238" t="s">
        <v>26298</v>
      </c>
      <c r="AC4271" s="196">
        <f t="shared" si="1251"/>
        <v>5600</v>
      </c>
      <c r="AD4271" s="196">
        <f t="shared" si="1252"/>
        <v>5600</v>
      </c>
      <c r="AE4271" s="196">
        <f t="shared" si="1253"/>
        <v>0</v>
      </c>
      <c r="AF4271" s="2">
        <f t="shared" si="1254"/>
        <v>5600</v>
      </c>
      <c r="AG4271" s="2">
        <f t="shared" si="1255"/>
        <v>0</v>
      </c>
    </row>
    <row r="4272" spans="1:33">
      <c r="A4272" s="20" t="s">
        <v>24917</v>
      </c>
      <c r="B4272" s="150"/>
      <c r="C4272" s="21" t="s">
        <v>24912</v>
      </c>
      <c r="D4272" s="109" t="s">
        <v>3137</v>
      </c>
      <c r="E4272" s="109"/>
      <c r="F4272" s="391" t="s">
        <v>24933</v>
      </c>
      <c r="G4272" s="23" t="s">
        <v>24932</v>
      </c>
      <c r="H4272" s="23"/>
      <c r="I4272" s="23"/>
      <c r="J4272" s="23"/>
      <c r="K4272" s="23"/>
      <c r="L4272" s="375" t="s">
        <v>45</v>
      </c>
      <c r="M4272" s="351" t="s">
        <v>45</v>
      </c>
      <c r="N4272" s="267">
        <f t="shared" ref="N4272" si="1324">SUM(L4272:M4272)</f>
        <v>0</v>
      </c>
      <c r="O4272" s="268">
        <f t="shared" ref="O4272" si="1325">SUM(P4272:Z4272)</f>
        <v>650</v>
      </c>
      <c r="P4272" s="239"/>
      <c r="Q4272" s="239">
        <f>2600-1000-500-500-500+350+700-500</f>
        <v>650</v>
      </c>
      <c r="R4272" s="239"/>
      <c r="S4272" s="239"/>
      <c r="T4272" s="239"/>
      <c r="U4272" s="240"/>
      <c r="V4272" s="240"/>
      <c r="W4272" s="240"/>
      <c r="X4272" s="278"/>
      <c r="Y4272" s="237"/>
      <c r="Z4272" s="237"/>
      <c r="AA4272" s="279"/>
      <c r="AB4272" s="238" t="s">
        <v>25267</v>
      </c>
      <c r="AC4272" s="196">
        <f t="shared" si="1251"/>
        <v>650</v>
      </c>
      <c r="AD4272" s="196">
        <f t="shared" si="1252"/>
        <v>650</v>
      </c>
      <c r="AE4272" s="196">
        <f t="shared" si="1253"/>
        <v>0</v>
      </c>
      <c r="AF4272" s="2">
        <f t="shared" si="1254"/>
        <v>650</v>
      </c>
      <c r="AG4272" s="2">
        <f t="shared" si="1255"/>
        <v>0</v>
      </c>
    </row>
    <row r="4273" spans="1:33">
      <c r="A4273" s="20" t="s">
        <v>24924</v>
      </c>
      <c r="B4273" s="150"/>
      <c r="C4273" s="21" t="s">
        <v>24961</v>
      </c>
      <c r="D4273" s="109" t="s">
        <v>5979</v>
      </c>
      <c r="E4273" s="109"/>
      <c r="F4273" s="391" t="s">
        <v>24968</v>
      </c>
      <c r="G4273" s="23" t="s">
        <v>15443</v>
      </c>
      <c r="H4273" s="23"/>
      <c r="I4273" s="23"/>
      <c r="J4273" s="23"/>
      <c r="K4273" s="23"/>
      <c r="L4273" s="375"/>
      <c r="M4273" s="351"/>
      <c r="N4273" s="267">
        <f t="shared" ref="N4273" si="1326">SUM(L4273:M4273)</f>
        <v>0</v>
      </c>
      <c r="O4273" s="268">
        <f t="shared" ref="O4273" si="1327">SUM(P4273:Z4273)</f>
        <v>300</v>
      </c>
      <c r="P4273" s="239"/>
      <c r="Q4273" s="239"/>
      <c r="R4273" s="239"/>
      <c r="S4273" s="239"/>
      <c r="T4273" s="239"/>
      <c r="U4273" s="240"/>
      <c r="V4273" s="240">
        <f>500-200</f>
        <v>300</v>
      </c>
      <c r="W4273" s="240"/>
      <c r="X4273" s="278"/>
      <c r="Y4273" s="237"/>
      <c r="Z4273" s="237"/>
      <c r="AA4273" s="279"/>
      <c r="AB4273" s="238" t="s">
        <v>25102</v>
      </c>
      <c r="AC4273" s="196">
        <f t="shared" si="1251"/>
        <v>300</v>
      </c>
      <c r="AD4273" s="196">
        <f t="shared" si="1252"/>
        <v>300</v>
      </c>
      <c r="AE4273" s="196">
        <f t="shared" si="1253"/>
        <v>0</v>
      </c>
      <c r="AF4273" s="2">
        <f t="shared" si="1254"/>
        <v>300</v>
      </c>
      <c r="AG4273" s="2">
        <f t="shared" si="1255"/>
        <v>0</v>
      </c>
    </row>
    <row r="4274" spans="1:33">
      <c r="A4274" s="20" t="s">
        <v>24928</v>
      </c>
      <c r="B4274" s="150"/>
      <c r="C4274" s="21" t="s">
        <v>24975</v>
      </c>
      <c r="D4274" s="109" t="s">
        <v>3137</v>
      </c>
      <c r="E4274" s="109"/>
      <c r="F4274" s="391" t="s">
        <v>24976</v>
      </c>
      <c r="G4274" s="23" t="s">
        <v>16291</v>
      </c>
      <c r="H4274" s="23"/>
      <c r="I4274" s="23"/>
      <c r="J4274" s="23"/>
      <c r="K4274" s="23"/>
      <c r="L4274" s="375" t="s">
        <v>27470</v>
      </c>
      <c r="M4274" s="351" t="s">
        <v>7787</v>
      </c>
      <c r="N4274" s="267">
        <f t="shared" ref="N4274" si="1328">SUM(L4274:M4274)</f>
        <v>0</v>
      </c>
      <c r="O4274" s="268">
        <f t="shared" ref="O4274" si="1329">SUM(P4274:Z4274)</f>
        <v>11350</v>
      </c>
      <c r="P4274" s="239"/>
      <c r="Q4274" s="239"/>
      <c r="R4274" s="239"/>
      <c r="S4274" s="239"/>
      <c r="T4274" s="239"/>
      <c r="U4274" s="240">
        <f>2200+2450-2000+12350+2200+2200+4200-6000+2700+2800-8000-5000-5000-5000-50</f>
        <v>50</v>
      </c>
      <c r="V4274" s="240">
        <f>3600+3600-6000+3200+3700+3200</f>
        <v>11300</v>
      </c>
      <c r="W4274" s="240"/>
      <c r="X4274" s="278"/>
      <c r="Y4274" s="237"/>
      <c r="Z4274" s="237"/>
      <c r="AA4274" s="279"/>
      <c r="AB4274" s="238" t="s">
        <v>28007</v>
      </c>
      <c r="AC4274" s="196">
        <f t="shared" si="1251"/>
        <v>11350</v>
      </c>
      <c r="AD4274" s="196">
        <f t="shared" si="1252"/>
        <v>11350</v>
      </c>
      <c r="AE4274" s="196">
        <f t="shared" si="1253"/>
        <v>0</v>
      </c>
      <c r="AF4274" s="2">
        <f t="shared" si="1254"/>
        <v>11350</v>
      </c>
      <c r="AG4274" s="2">
        <f t="shared" si="1255"/>
        <v>0</v>
      </c>
    </row>
    <row r="4275" spans="1:33">
      <c r="A4275" s="20" t="s">
        <v>27107</v>
      </c>
      <c r="B4275" s="150"/>
      <c r="C4275" s="21" t="s">
        <v>24975</v>
      </c>
      <c r="D4275" s="109" t="s">
        <v>4070</v>
      </c>
      <c r="E4275" s="109" t="s">
        <v>27010</v>
      </c>
      <c r="F4275" s="391" t="s">
        <v>27009</v>
      </c>
      <c r="G4275" s="23" t="s">
        <v>5563</v>
      </c>
      <c r="H4275" s="23"/>
      <c r="I4275" s="23"/>
      <c r="J4275" s="23"/>
      <c r="K4275" s="23"/>
      <c r="L4275" s="375" t="s">
        <v>7787</v>
      </c>
      <c r="M4275" s="351" t="s">
        <v>7787</v>
      </c>
      <c r="N4275" s="267">
        <f t="shared" ref="N4275" si="1330">SUM(L4275:M4275)</f>
        <v>0</v>
      </c>
      <c r="O4275" s="268">
        <f t="shared" ref="O4275" si="1331">SUM(P4275:Z4275)</f>
        <v>14400</v>
      </c>
      <c r="P4275" s="239"/>
      <c r="Q4275" s="239"/>
      <c r="R4275" s="239"/>
      <c r="S4275" s="239"/>
      <c r="T4275" s="239"/>
      <c r="U4275" s="240">
        <f>7200+7200</f>
        <v>14400</v>
      </c>
      <c r="V4275" s="240"/>
      <c r="W4275" s="240"/>
      <c r="X4275" s="278"/>
      <c r="Y4275" s="237"/>
      <c r="Z4275" s="237"/>
      <c r="AA4275" s="279"/>
      <c r="AB4275" s="238"/>
      <c r="AC4275" s="196">
        <f t="shared" ref="AC4275" si="1332">SUM(P4275:AA4275)</f>
        <v>14400</v>
      </c>
      <c r="AD4275" s="196">
        <f t="shared" ref="AD4275" si="1333">SUM(P4275:AB4275)</f>
        <v>14400</v>
      </c>
      <c r="AE4275" s="196">
        <f t="shared" ref="AE4275" si="1334">SUM(AC4275-AD4275)</f>
        <v>0</v>
      </c>
      <c r="AF4275" s="2">
        <f t="shared" ref="AF4275" si="1335">+AC4275</f>
        <v>14400</v>
      </c>
      <c r="AG4275" s="2">
        <f t="shared" ref="AG4275" si="1336">+AC4275-AF4275</f>
        <v>0</v>
      </c>
    </row>
    <row r="4276" spans="1:33">
      <c r="A4276" s="20" t="s">
        <v>24927</v>
      </c>
      <c r="B4276" s="150"/>
      <c r="C4276" s="21" t="s">
        <v>24977</v>
      </c>
      <c r="D4276" s="109" t="s">
        <v>3137</v>
      </c>
      <c r="E4276" s="109" t="s">
        <v>7146</v>
      </c>
      <c r="F4276" s="391" t="s">
        <v>24983</v>
      </c>
      <c r="G4276" s="23" t="s">
        <v>24982</v>
      </c>
      <c r="H4276" s="23"/>
      <c r="I4276" s="23"/>
      <c r="J4276" s="23"/>
      <c r="K4276" s="23"/>
      <c r="L4276" s="375" t="s">
        <v>45</v>
      </c>
      <c r="M4276" s="351" t="s">
        <v>45</v>
      </c>
      <c r="N4276" s="267">
        <f t="shared" ref="N4276" si="1337">SUM(L4276:M4276)</f>
        <v>0</v>
      </c>
      <c r="O4276" s="268">
        <f t="shared" ref="O4276" si="1338">SUM(P4276:Z4276)</f>
        <v>0</v>
      </c>
      <c r="P4276" s="239"/>
      <c r="Q4276" s="239"/>
      <c r="R4276" s="239"/>
      <c r="S4276" s="239"/>
      <c r="T4276" s="239"/>
      <c r="U4276" s="240"/>
      <c r="V4276" s="240"/>
      <c r="W4276" s="240"/>
      <c r="X4276" s="278"/>
      <c r="Y4276" s="237"/>
      <c r="Z4276" s="237"/>
      <c r="AA4276" s="279"/>
      <c r="AB4276" s="238"/>
      <c r="AC4276" s="196">
        <f t="shared" si="1251"/>
        <v>0</v>
      </c>
      <c r="AD4276" s="196">
        <f t="shared" si="1252"/>
        <v>0</v>
      </c>
      <c r="AE4276" s="196">
        <f t="shared" si="1253"/>
        <v>0</v>
      </c>
      <c r="AF4276" s="2">
        <f t="shared" si="1254"/>
        <v>0</v>
      </c>
      <c r="AG4276" s="2">
        <f t="shared" si="1255"/>
        <v>0</v>
      </c>
    </row>
    <row r="4277" spans="1:33">
      <c r="A4277" s="20" t="s">
        <v>25052</v>
      </c>
      <c r="B4277" s="150"/>
      <c r="C4277" s="21" t="s">
        <v>25089</v>
      </c>
      <c r="D4277" s="109" t="s">
        <v>3137</v>
      </c>
      <c r="E4277" s="109" t="s">
        <v>26340</v>
      </c>
      <c r="F4277" s="391" t="s">
        <v>25091</v>
      </c>
      <c r="G4277" s="23" t="s">
        <v>14144</v>
      </c>
      <c r="H4277" s="23" t="s">
        <v>26098</v>
      </c>
      <c r="I4277" s="23"/>
      <c r="J4277" s="23"/>
      <c r="K4277" s="23"/>
      <c r="L4277" s="375"/>
      <c r="M4277" s="351"/>
      <c r="N4277" s="267">
        <f t="shared" ref="N4277" si="1339">SUM(L4277:M4277)</f>
        <v>0</v>
      </c>
      <c r="O4277" s="268">
        <f t="shared" ref="O4277" si="1340">SUM(P4277:Z4277)</f>
        <v>0</v>
      </c>
      <c r="P4277" s="239"/>
      <c r="Q4277" s="239"/>
      <c r="R4277" s="239"/>
      <c r="S4277" s="239"/>
      <c r="T4277" s="239"/>
      <c r="U4277" s="240"/>
      <c r="V4277" s="240"/>
      <c r="W4277" s="240"/>
      <c r="X4277" s="278"/>
      <c r="Y4277" s="237"/>
      <c r="Z4277" s="237"/>
      <c r="AA4277" s="239"/>
      <c r="AB4277" s="238"/>
      <c r="AC4277" s="196">
        <f t="shared" si="1251"/>
        <v>0</v>
      </c>
      <c r="AD4277" s="196">
        <f t="shared" si="1252"/>
        <v>0</v>
      </c>
      <c r="AE4277" s="196">
        <f t="shared" si="1253"/>
        <v>0</v>
      </c>
      <c r="AF4277" s="2">
        <f t="shared" si="1254"/>
        <v>0</v>
      </c>
      <c r="AG4277" s="2">
        <f t="shared" si="1255"/>
        <v>0</v>
      </c>
    </row>
    <row r="4278" spans="1:33">
      <c r="A4278" s="20" t="s">
        <v>26274</v>
      </c>
      <c r="B4278" s="150"/>
      <c r="C4278" s="21" t="s">
        <v>26293</v>
      </c>
      <c r="D4278" s="109" t="s">
        <v>4070</v>
      </c>
      <c r="E4278" s="109" t="s">
        <v>26341</v>
      </c>
      <c r="F4278" s="391" t="s">
        <v>26294</v>
      </c>
      <c r="G4278" s="23" t="s">
        <v>10645</v>
      </c>
      <c r="H4278" s="23" t="s">
        <v>26151</v>
      </c>
      <c r="I4278" s="23"/>
      <c r="J4278" s="23"/>
      <c r="K4278" s="23"/>
      <c r="L4278" s="375" t="s">
        <v>27620</v>
      </c>
      <c r="M4278" s="351" t="s">
        <v>27591</v>
      </c>
      <c r="N4278" s="267">
        <f t="shared" ref="N4278" si="1341">SUM(L4278:M4278)</f>
        <v>0</v>
      </c>
      <c r="O4278" s="268">
        <f t="shared" ref="O4278" si="1342">SUM(P4278:Z4278)</f>
        <v>0</v>
      </c>
      <c r="P4278" s="239"/>
      <c r="Q4278" s="239"/>
      <c r="R4278" s="239"/>
      <c r="S4278" s="239"/>
      <c r="T4278" s="239"/>
      <c r="U4278" s="240"/>
      <c r="V4278" s="240"/>
      <c r="W4278" s="240"/>
      <c r="X4278" s="278"/>
      <c r="Y4278" s="239"/>
      <c r="Z4278" s="237"/>
      <c r="AA4278" s="247"/>
      <c r="AB4278" s="238"/>
      <c r="AC4278" s="196">
        <f t="shared" si="1251"/>
        <v>0</v>
      </c>
      <c r="AD4278" s="196">
        <f t="shared" si="1252"/>
        <v>0</v>
      </c>
      <c r="AE4278" s="196">
        <f t="shared" si="1253"/>
        <v>0</v>
      </c>
      <c r="AF4278" s="2">
        <f t="shared" si="1254"/>
        <v>0</v>
      </c>
      <c r="AG4278" s="2">
        <f t="shared" si="1255"/>
        <v>0</v>
      </c>
    </row>
    <row r="4279" spans="1:33">
      <c r="A4279" s="20"/>
      <c r="B4279" s="150"/>
      <c r="C4279" s="21" t="s">
        <v>26293</v>
      </c>
      <c r="D4279" s="109" t="s">
        <v>4070</v>
      </c>
      <c r="E4279" s="109" t="s">
        <v>27728</v>
      </c>
      <c r="F4279" s="391" t="s">
        <v>26294</v>
      </c>
      <c r="G4279" s="23" t="s">
        <v>10645</v>
      </c>
      <c r="H4279" s="23" t="s">
        <v>26151</v>
      </c>
      <c r="I4279" s="23"/>
      <c r="J4279" s="23"/>
      <c r="K4279" s="23"/>
      <c r="L4279" s="375" t="s">
        <v>7787</v>
      </c>
      <c r="M4279" s="351" t="s">
        <v>7787</v>
      </c>
      <c r="N4279" s="267">
        <f t="shared" ref="N4279" si="1343">SUM(L4279:M4279)</f>
        <v>0</v>
      </c>
      <c r="O4279" s="268">
        <f t="shared" ref="O4279" si="1344">SUM(P4279:Z4279)</f>
        <v>25300</v>
      </c>
      <c r="P4279" s="239"/>
      <c r="Q4279" s="239"/>
      <c r="R4279" s="239">
        <f>7200+3600+3600+3600+12000-700-1500-2500</f>
        <v>25300</v>
      </c>
      <c r="S4279" s="239"/>
      <c r="T4279" s="239"/>
      <c r="U4279" s="240"/>
      <c r="V4279" s="240"/>
      <c r="W4279" s="240"/>
      <c r="X4279" s="278"/>
      <c r="Y4279" s="239"/>
      <c r="Z4279" s="237"/>
      <c r="AA4279" s="247"/>
      <c r="AB4279" s="238"/>
      <c r="AC4279" s="196">
        <f t="shared" ref="AC4279" si="1345">SUM(P4279:AA4279)</f>
        <v>25300</v>
      </c>
      <c r="AD4279" s="196">
        <f t="shared" ref="AD4279" si="1346">SUM(P4279:AB4279)</f>
        <v>25300</v>
      </c>
      <c r="AE4279" s="196">
        <f t="shared" ref="AE4279" si="1347">SUM(AC4279-AD4279)</f>
        <v>0</v>
      </c>
      <c r="AF4279" s="2">
        <f t="shared" ref="AF4279" si="1348">+AC4279</f>
        <v>25300</v>
      </c>
      <c r="AG4279" s="2">
        <f t="shared" ref="AG4279" si="1349">+AC4279-AF4279</f>
        <v>0</v>
      </c>
    </row>
    <row r="4280" spans="1:33">
      <c r="A4280" s="20" t="s">
        <v>26257</v>
      </c>
      <c r="B4280" s="150"/>
      <c r="C4280" s="21" t="s">
        <v>26293</v>
      </c>
      <c r="D4280" s="109" t="s">
        <v>4070</v>
      </c>
      <c r="E4280" s="109" t="s">
        <v>26295</v>
      </c>
      <c r="F4280" s="391" t="s">
        <v>26294</v>
      </c>
      <c r="G4280" s="23" t="s">
        <v>10645</v>
      </c>
      <c r="H4280" s="23" t="s">
        <v>26151</v>
      </c>
      <c r="I4280" s="23"/>
      <c r="J4280" s="23"/>
      <c r="K4280" s="23"/>
      <c r="L4280" s="375" t="s">
        <v>27434</v>
      </c>
      <c r="M4280" s="351" t="s">
        <v>7787</v>
      </c>
      <c r="N4280" s="267">
        <f t="shared" ref="N4280" si="1350">SUM(L4280:M4280)</f>
        <v>0</v>
      </c>
      <c r="O4280" s="268">
        <f t="shared" ref="O4280" si="1351">SUM(P4280:Z4280)</f>
        <v>50</v>
      </c>
      <c r="P4280" s="239"/>
      <c r="Q4280" s="239"/>
      <c r="R4280" s="239"/>
      <c r="S4280" s="239">
        <f>550-500</f>
        <v>50</v>
      </c>
      <c r="T4280" s="239"/>
      <c r="U4280" s="240"/>
      <c r="V4280" s="240"/>
      <c r="W4280" s="240"/>
      <c r="X4280" s="278"/>
      <c r="Y4280" s="237"/>
      <c r="Z4280" s="237"/>
      <c r="AA4280" s="247"/>
      <c r="AB4280" s="238" t="s">
        <v>26579</v>
      </c>
      <c r="AC4280" s="196">
        <f t="shared" si="1251"/>
        <v>50</v>
      </c>
      <c r="AD4280" s="196">
        <f t="shared" si="1252"/>
        <v>50</v>
      </c>
      <c r="AE4280" s="196">
        <f t="shared" si="1253"/>
        <v>0</v>
      </c>
      <c r="AF4280" s="2">
        <f t="shared" si="1254"/>
        <v>50</v>
      </c>
      <c r="AG4280" s="2">
        <f t="shared" si="1255"/>
        <v>0</v>
      </c>
    </row>
    <row r="4281" spans="1:33">
      <c r="A4281" s="20" t="s">
        <v>24925</v>
      </c>
      <c r="B4281" s="150"/>
      <c r="C4281" s="21" t="s">
        <v>24964</v>
      </c>
      <c r="D4281" s="109" t="s">
        <v>3137</v>
      </c>
      <c r="E4281" s="109"/>
      <c r="F4281" s="391" t="s">
        <v>24971</v>
      </c>
      <c r="G4281" s="23" t="s">
        <v>24965</v>
      </c>
      <c r="H4281" s="23"/>
      <c r="I4281" s="23"/>
      <c r="J4281" s="23"/>
      <c r="K4281" s="23"/>
      <c r="L4281" s="375" t="s">
        <v>45</v>
      </c>
      <c r="M4281" s="351" t="s">
        <v>45</v>
      </c>
      <c r="N4281" s="267">
        <f t="shared" ref="N4281" si="1352">SUM(L4281:M4281)</f>
        <v>0</v>
      </c>
      <c r="O4281" s="268">
        <f t="shared" ref="O4281" si="1353">SUM(P4281:Z4281)</f>
        <v>100</v>
      </c>
      <c r="P4281" s="239"/>
      <c r="Q4281" s="239"/>
      <c r="R4281" s="239">
        <f>450-350</f>
        <v>100</v>
      </c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 t="s">
        <v>25215</v>
      </c>
      <c r="AC4281" s="196">
        <f t="shared" si="1251"/>
        <v>100</v>
      </c>
      <c r="AD4281" s="196">
        <f t="shared" si="1252"/>
        <v>100</v>
      </c>
      <c r="AE4281" s="196">
        <f t="shared" si="1253"/>
        <v>0</v>
      </c>
      <c r="AF4281" s="2">
        <f t="shared" si="1254"/>
        <v>100</v>
      </c>
      <c r="AG4281" s="2">
        <f t="shared" si="1255"/>
        <v>0</v>
      </c>
    </row>
    <row r="4282" spans="1:33">
      <c r="A4282" s="20" t="s">
        <v>25438</v>
      </c>
      <c r="B4282" s="150"/>
      <c r="C4282" s="21" t="s">
        <v>25471</v>
      </c>
      <c r="D4282" s="109" t="s">
        <v>3137</v>
      </c>
      <c r="E4282" s="109"/>
      <c r="F4282" s="391" t="s">
        <v>25489</v>
      </c>
      <c r="G4282" s="23" t="s">
        <v>25559</v>
      </c>
      <c r="H4282" s="23"/>
      <c r="I4282" s="23"/>
      <c r="J4282" s="23"/>
      <c r="K4282" s="23"/>
      <c r="L4282" s="375" t="s">
        <v>45</v>
      </c>
      <c r="M4282" s="351"/>
      <c r="N4282" s="267">
        <f t="shared" ref="N4282" si="1354">SUM(L4282:M4282)</f>
        <v>0</v>
      </c>
      <c r="O4282" s="268">
        <f t="shared" ref="O4282" si="1355">SUM(P4282:Z4282)</f>
        <v>50</v>
      </c>
      <c r="P4282" s="239"/>
      <c r="Q4282" s="239"/>
      <c r="R4282" s="239"/>
      <c r="S4282" s="239"/>
      <c r="T4282" s="239"/>
      <c r="U4282" s="240">
        <f>250-200</f>
        <v>50</v>
      </c>
      <c r="V4282" s="240"/>
      <c r="W4282" s="240"/>
      <c r="X4282" s="278"/>
      <c r="Y4282" s="237"/>
      <c r="Z4282" s="237"/>
      <c r="AA4282" s="279"/>
      <c r="AB4282" s="238" t="s">
        <v>27030</v>
      </c>
      <c r="AC4282" s="196">
        <f t="shared" si="1251"/>
        <v>50</v>
      </c>
      <c r="AD4282" s="196">
        <f t="shared" si="1252"/>
        <v>50</v>
      </c>
      <c r="AE4282" s="196">
        <f t="shared" si="1253"/>
        <v>0</v>
      </c>
      <c r="AF4282" s="2">
        <f t="shared" si="1254"/>
        <v>50</v>
      </c>
      <c r="AG4282" s="2">
        <f t="shared" si="1255"/>
        <v>0</v>
      </c>
    </row>
    <row r="4283" spans="1:33">
      <c r="A4283" s="20" t="s">
        <v>2929</v>
      </c>
      <c r="B4283" s="150"/>
      <c r="C4283" s="21" t="s">
        <v>854</v>
      </c>
      <c r="D4283" s="109" t="s">
        <v>15161</v>
      </c>
      <c r="E4283" s="109"/>
      <c r="F4283" s="391" t="s">
        <v>16916</v>
      </c>
      <c r="G4283" s="23"/>
      <c r="H4283" s="23"/>
      <c r="I4283" s="23"/>
      <c r="J4283" s="23"/>
      <c r="K4283" s="23"/>
      <c r="L4283" s="350"/>
      <c r="M4283" s="351"/>
      <c r="N4283" s="267">
        <f t="shared" si="1057"/>
        <v>0</v>
      </c>
      <c r="O4283" s="268">
        <f t="shared" si="1058"/>
        <v>0</v>
      </c>
      <c r="P4283" s="239"/>
      <c r="Q4283" s="239"/>
      <c r="R4283" s="239"/>
      <c r="S4283" s="239"/>
      <c r="T4283" s="239"/>
      <c r="U4283" s="240"/>
      <c r="V4283" s="240"/>
      <c r="W4283" s="240"/>
      <c r="X4283" s="278"/>
      <c r="Y4283" s="237"/>
      <c r="Z4283" s="237"/>
      <c r="AA4283" s="279"/>
      <c r="AB4283" s="238"/>
      <c r="AC4283" s="196">
        <f t="shared" si="1251"/>
        <v>0</v>
      </c>
      <c r="AD4283" s="196">
        <f t="shared" si="1252"/>
        <v>0</v>
      </c>
      <c r="AE4283" s="196">
        <f t="shared" si="1253"/>
        <v>0</v>
      </c>
      <c r="AF4283" s="2">
        <f t="shared" si="1254"/>
        <v>0</v>
      </c>
      <c r="AG4283" s="2">
        <f t="shared" si="1255"/>
        <v>0</v>
      </c>
    </row>
    <row r="4284" spans="1:33">
      <c r="A4284" s="20" t="s">
        <v>2930</v>
      </c>
      <c r="B4284" s="150"/>
      <c r="C4284" s="21" t="s">
        <v>854</v>
      </c>
      <c r="D4284" s="109" t="s">
        <v>16363</v>
      </c>
      <c r="E4284" s="109"/>
      <c r="F4284" s="391" t="s">
        <v>16916</v>
      </c>
      <c r="G4284" s="23"/>
      <c r="H4284" s="23"/>
      <c r="I4284" s="23"/>
      <c r="J4284" s="23"/>
      <c r="K4284" s="23"/>
      <c r="L4284" s="350"/>
      <c r="M4284" s="351"/>
      <c r="N4284" s="267">
        <f t="shared" si="1057"/>
        <v>0</v>
      </c>
      <c r="O4284" s="268">
        <f t="shared" si="1058"/>
        <v>0</v>
      </c>
      <c r="P4284" s="239"/>
      <c r="Q4284" s="239"/>
      <c r="R4284" s="239"/>
      <c r="S4284" s="239"/>
      <c r="T4284" s="239"/>
      <c r="U4284" s="240"/>
      <c r="V4284" s="240"/>
      <c r="W4284" s="240"/>
      <c r="X4284" s="278"/>
      <c r="Y4284" s="237"/>
      <c r="Z4284" s="237"/>
      <c r="AA4284" s="279"/>
      <c r="AB4284" s="238"/>
      <c r="AC4284" s="196">
        <f t="shared" si="1251"/>
        <v>0</v>
      </c>
      <c r="AD4284" s="196">
        <f t="shared" si="1252"/>
        <v>0</v>
      </c>
      <c r="AE4284" s="196">
        <f t="shared" si="1253"/>
        <v>0</v>
      </c>
      <c r="AF4284" s="2">
        <f t="shared" si="1254"/>
        <v>0</v>
      </c>
      <c r="AG4284" s="2">
        <f t="shared" si="1255"/>
        <v>0</v>
      </c>
    </row>
    <row r="4285" spans="1:33">
      <c r="A4285" s="20" t="s">
        <v>24991</v>
      </c>
      <c r="B4285" s="150"/>
      <c r="C4285" s="21" t="s">
        <v>25012</v>
      </c>
      <c r="D4285" s="109" t="s">
        <v>3137</v>
      </c>
      <c r="E4285" s="109"/>
      <c r="F4285" s="391" t="s">
        <v>25013</v>
      </c>
      <c r="G4285" s="23" t="s">
        <v>25014</v>
      </c>
      <c r="H4285" s="23"/>
      <c r="I4285" s="23"/>
      <c r="J4285" s="23"/>
      <c r="K4285" s="23"/>
      <c r="L4285" s="375" t="s">
        <v>45</v>
      </c>
      <c r="M4285" s="351" t="s">
        <v>45</v>
      </c>
      <c r="N4285" s="267">
        <f t="shared" ref="N4285" si="1356">SUM(L4285:M4285)</f>
        <v>0</v>
      </c>
      <c r="O4285" s="268">
        <f t="shared" ref="O4285" si="1357">SUM(P4285:Z4285)</f>
        <v>2750</v>
      </c>
      <c r="P4285" s="239"/>
      <c r="Q4285" s="239">
        <f>2000+3000+3000+3300-8550</f>
        <v>2750</v>
      </c>
      <c r="R4285" s="239"/>
      <c r="S4285" s="239"/>
      <c r="T4285" s="239"/>
      <c r="U4285" s="240"/>
      <c r="V4285" s="240"/>
      <c r="W4285" s="240"/>
      <c r="X4285" s="278"/>
      <c r="Y4285" s="237"/>
      <c r="Z4285" s="237"/>
      <c r="AA4285" s="279"/>
      <c r="AB4285" s="238" t="s">
        <v>26226</v>
      </c>
      <c r="AC4285" s="196">
        <f t="shared" si="1251"/>
        <v>2750</v>
      </c>
      <c r="AD4285" s="196">
        <f t="shared" si="1252"/>
        <v>2750</v>
      </c>
      <c r="AE4285" s="196">
        <f t="shared" si="1253"/>
        <v>0</v>
      </c>
      <c r="AF4285" s="2">
        <f t="shared" si="1254"/>
        <v>2750</v>
      </c>
      <c r="AG4285" s="2">
        <f t="shared" si="1255"/>
        <v>0</v>
      </c>
    </row>
    <row r="4286" spans="1:33">
      <c r="A4286" s="20" t="s">
        <v>24994</v>
      </c>
      <c r="B4286" s="150"/>
      <c r="C4286" s="21" t="s">
        <v>25027</v>
      </c>
      <c r="D4286" s="109" t="s">
        <v>3137</v>
      </c>
      <c r="E4286" s="109"/>
      <c r="F4286" s="391" t="s">
        <v>25035</v>
      </c>
      <c r="G4286" s="23" t="s">
        <v>6133</v>
      </c>
      <c r="H4286" s="23"/>
      <c r="I4286" s="23"/>
      <c r="J4286" s="23"/>
      <c r="K4286" s="23"/>
      <c r="L4286" s="375" t="s">
        <v>7787</v>
      </c>
      <c r="M4286" s="351"/>
      <c r="N4286" s="267">
        <f t="shared" ref="N4286" si="1358">SUM(L4286:M4286)</f>
        <v>0</v>
      </c>
      <c r="O4286" s="268">
        <f t="shared" ref="O4286" si="1359">SUM(P4286:Z4286)</f>
        <v>700</v>
      </c>
      <c r="P4286" s="239"/>
      <c r="Q4286" s="239">
        <f>1200-500</f>
        <v>700</v>
      </c>
      <c r="R4286" s="239"/>
      <c r="S4286" s="239"/>
      <c r="T4286" s="239"/>
      <c r="U4286" s="240"/>
      <c r="V4286" s="240"/>
      <c r="W4286" s="240"/>
      <c r="X4286" s="278"/>
      <c r="Y4286" s="237"/>
      <c r="Z4286" s="237"/>
      <c r="AA4286" s="279"/>
      <c r="AB4286" s="238" t="s">
        <v>25034</v>
      </c>
      <c r="AC4286" s="196">
        <f t="shared" si="1251"/>
        <v>700</v>
      </c>
      <c r="AD4286" s="196">
        <f t="shared" si="1252"/>
        <v>700</v>
      </c>
      <c r="AE4286" s="196">
        <f t="shared" si="1253"/>
        <v>0</v>
      </c>
      <c r="AF4286" s="2">
        <f t="shared" si="1254"/>
        <v>700</v>
      </c>
      <c r="AG4286" s="2">
        <f t="shared" si="1255"/>
        <v>0</v>
      </c>
    </row>
    <row r="4287" spans="1:33">
      <c r="A4287" s="20" t="s">
        <v>24995</v>
      </c>
      <c r="B4287" s="150"/>
      <c r="C4287" s="21" t="s">
        <v>25033</v>
      </c>
      <c r="D4287" s="109" t="s">
        <v>3137</v>
      </c>
      <c r="E4287" s="109"/>
      <c r="F4287" s="391" t="s">
        <v>25036</v>
      </c>
      <c r="G4287" s="23" t="s">
        <v>6133</v>
      </c>
      <c r="H4287" s="23"/>
      <c r="I4287" s="23"/>
      <c r="J4287" s="23"/>
      <c r="K4287" s="23"/>
      <c r="L4287" s="375" t="s">
        <v>7787</v>
      </c>
      <c r="M4287" s="351"/>
      <c r="N4287" s="267">
        <f t="shared" ref="N4287" si="1360">SUM(L4287:M4287)</f>
        <v>0</v>
      </c>
      <c r="O4287" s="268">
        <f t="shared" ref="O4287" si="1361">SUM(P4287:Z4287)</f>
        <v>700</v>
      </c>
      <c r="P4287" s="239"/>
      <c r="Q4287" s="239">
        <f>1200-500</f>
        <v>700</v>
      </c>
      <c r="R4287" s="239"/>
      <c r="S4287" s="239"/>
      <c r="T4287" s="239"/>
      <c r="U4287" s="240"/>
      <c r="V4287" s="240"/>
      <c r="W4287" s="240"/>
      <c r="X4287" s="278"/>
      <c r="Y4287" s="237"/>
      <c r="Z4287" s="237"/>
      <c r="AA4287" s="279"/>
      <c r="AB4287" s="238" t="s">
        <v>25037</v>
      </c>
      <c r="AC4287" s="196">
        <f t="shared" si="1251"/>
        <v>700</v>
      </c>
      <c r="AD4287" s="196">
        <f t="shared" si="1252"/>
        <v>700</v>
      </c>
      <c r="AE4287" s="196">
        <f t="shared" si="1253"/>
        <v>0</v>
      </c>
      <c r="AF4287" s="2">
        <f t="shared" si="1254"/>
        <v>700</v>
      </c>
      <c r="AG4287" s="2">
        <f t="shared" si="1255"/>
        <v>0</v>
      </c>
    </row>
    <row r="4288" spans="1:33">
      <c r="A4288" s="20" t="s">
        <v>25058</v>
      </c>
      <c r="B4288" s="150"/>
      <c r="C4288" s="21" t="s">
        <v>25124</v>
      </c>
      <c r="D4288" s="109" t="s">
        <v>3958</v>
      </c>
      <c r="E4288" s="109"/>
      <c r="F4288" s="391" t="s">
        <v>25129</v>
      </c>
      <c r="G4288" s="23" t="s">
        <v>25125</v>
      </c>
      <c r="H4288" s="23" t="s">
        <v>25570</v>
      </c>
      <c r="I4288" s="23" t="s">
        <v>26176</v>
      </c>
      <c r="J4288" s="23"/>
      <c r="K4288" s="23"/>
      <c r="L4288" s="375" t="s">
        <v>45</v>
      </c>
      <c r="M4288" s="351" t="s">
        <v>45</v>
      </c>
      <c r="N4288" s="267">
        <f t="shared" ref="N4288" si="1362">SUM(L4288:M4288)</f>
        <v>0</v>
      </c>
      <c r="O4288" s="268">
        <f t="shared" ref="O4288" si="1363">SUM(P4288:Z4288)</f>
        <v>10700</v>
      </c>
      <c r="P4288" s="239"/>
      <c r="Q4288" s="239"/>
      <c r="R4288" s="239"/>
      <c r="S4288" s="239"/>
      <c r="T4288" s="239"/>
      <c r="U4288" s="240">
        <f>3400+3600+3200+3300+3400+3400+3400+3600+3600+3900-4800-2700-2000-3600-2000-3000-200-4000-4800</f>
        <v>7700</v>
      </c>
      <c r="V4288" s="240"/>
      <c r="W4288" s="240"/>
      <c r="X4288" s="278"/>
      <c r="Y4288" s="237">
        <f>1000+2000</f>
        <v>3000</v>
      </c>
      <c r="Z4288" s="237"/>
      <c r="AA4288" s="279"/>
      <c r="AB4288" s="238" t="s">
        <v>27659</v>
      </c>
      <c r="AC4288" s="196">
        <f t="shared" si="1251"/>
        <v>10700</v>
      </c>
      <c r="AD4288" s="196">
        <f t="shared" si="1252"/>
        <v>10700</v>
      </c>
      <c r="AE4288" s="196">
        <f t="shared" si="1253"/>
        <v>0</v>
      </c>
      <c r="AF4288" s="2">
        <f t="shared" si="1254"/>
        <v>10700</v>
      </c>
      <c r="AG4288" s="2">
        <f t="shared" si="1255"/>
        <v>0</v>
      </c>
    </row>
    <row r="4289" spans="1:33">
      <c r="A4289" s="20" t="s">
        <v>25049</v>
      </c>
      <c r="B4289" s="150"/>
      <c r="C4289" s="21" t="s">
        <v>25071</v>
      </c>
      <c r="D4289" s="109" t="s">
        <v>3137</v>
      </c>
      <c r="E4289" s="109"/>
      <c r="F4289" s="391" t="s">
        <v>25080</v>
      </c>
      <c r="G4289" s="23" t="s">
        <v>6133</v>
      </c>
      <c r="H4289" s="23" t="s">
        <v>25213</v>
      </c>
      <c r="I4289" s="23" t="s">
        <v>25230</v>
      </c>
      <c r="J4289" s="23" t="s">
        <v>26233</v>
      </c>
      <c r="K4289" s="23"/>
      <c r="L4289" s="375"/>
      <c r="M4289" s="351" t="s">
        <v>45</v>
      </c>
      <c r="N4289" s="267">
        <f t="shared" ref="N4289" si="1364">SUM(L4289:M4289)</f>
        <v>0</v>
      </c>
      <c r="O4289" s="268">
        <f t="shared" ref="O4289" si="1365">SUM(P4289:Z4289)</f>
        <v>0</v>
      </c>
      <c r="P4289" s="239"/>
      <c r="Q4289" s="240"/>
      <c r="R4289" s="239"/>
      <c r="S4289" s="239"/>
      <c r="T4289" s="239"/>
      <c r="U4289" s="240"/>
      <c r="V4289" s="240"/>
      <c r="W4289" s="240"/>
      <c r="X4289" s="278"/>
      <c r="Y4289" s="237"/>
      <c r="Z4289" s="237"/>
      <c r="AA4289" s="279"/>
      <c r="AB4289" s="238"/>
      <c r="AC4289" s="196">
        <f t="shared" si="1251"/>
        <v>0</v>
      </c>
      <c r="AD4289" s="196">
        <f t="shared" si="1252"/>
        <v>0</v>
      </c>
      <c r="AE4289" s="196">
        <f t="shared" si="1253"/>
        <v>0</v>
      </c>
      <c r="AF4289" s="2">
        <f t="shared" si="1254"/>
        <v>0</v>
      </c>
      <c r="AG4289" s="2">
        <f t="shared" si="1255"/>
        <v>0</v>
      </c>
    </row>
    <row r="4290" spans="1:33">
      <c r="A4290" s="20"/>
      <c r="B4290" s="150"/>
      <c r="C4290" s="21" t="s">
        <v>25071</v>
      </c>
      <c r="D4290" s="109" t="s">
        <v>3137</v>
      </c>
      <c r="E4290" s="109" t="s">
        <v>19813</v>
      </c>
      <c r="F4290" s="391" t="s">
        <v>25080</v>
      </c>
      <c r="G4290" s="23" t="s">
        <v>6133</v>
      </c>
      <c r="H4290" s="23" t="s">
        <v>13888</v>
      </c>
      <c r="I4290" s="23" t="s">
        <v>13496</v>
      </c>
      <c r="J4290" s="23" t="s">
        <v>13934</v>
      </c>
      <c r="K4290" s="23"/>
      <c r="L4290" s="375" t="s">
        <v>27713</v>
      </c>
      <c r="M4290" s="351"/>
      <c r="N4290" s="267">
        <f t="shared" ref="N4290" si="1366">SUM(L4290:M4290)</f>
        <v>0</v>
      </c>
      <c r="O4290" s="268">
        <f t="shared" ref="O4290" si="1367">SUM(P4290:Z4290)</f>
        <v>4700</v>
      </c>
      <c r="P4290" s="239"/>
      <c r="Q4290" s="239"/>
      <c r="R4290" s="239">
        <f>3200+3350-3000+2000+2700+3200+3200-6000-4700+2800-6000+3150+2800+3200+3600-8000+2600+2600-6000</f>
        <v>4700</v>
      </c>
      <c r="S4290" s="239"/>
      <c r="T4290" s="239"/>
      <c r="U4290" s="240"/>
      <c r="V4290" s="240"/>
      <c r="W4290" s="240"/>
      <c r="X4290" s="278"/>
      <c r="Y4290" s="237"/>
      <c r="Z4290" s="237"/>
      <c r="AA4290" s="279"/>
      <c r="AB4290" s="238" t="s">
        <v>28006</v>
      </c>
      <c r="AC4290" s="196"/>
      <c r="AD4290" s="196"/>
      <c r="AE4290" s="196"/>
    </row>
    <row r="4291" spans="1:33">
      <c r="A4291" s="20"/>
      <c r="B4291" s="150"/>
      <c r="C4291" s="21" t="s">
        <v>27704</v>
      </c>
      <c r="D4291" s="109" t="s">
        <v>4070</v>
      </c>
      <c r="E4291" s="109" t="s">
        <v>27706</v>
      </c>
      <c r="F4291" s="391" t="s">
        <v>27705</v>
      </c>
      <c r="G4291" s="23" t="s">
        <v>10645</v>
      </c>
      <c r="H4291" s="23" t="s">
        <v>5563</v>
      </c>
      <c r="I4291" s="23" t="s">
        <v>25745</v>
      </c>
      <c r="J4291" s="23" t="s">
        <v>26151</v>
      </c>
      <c r="K4291" s="23"/>
      <c r="L4291" s="375" t="s">
        <v>27713</v>
      </c>
      <c r="M4291" s="351"/>
      <c r="N4291" s="267">
        <f t="shared" ref="N4291" si="1368">SUM(L4291:M4291)</f>
        <v>0</v>
      </c>
      <c r="O4291" s="268">
        <f t="shared" ref="O4291" si="1369">SUM(P4291:Z4291)</f>
        <v>14100</v>
      </c>
      <c r="P4291" s="239"/>
      <c r="Q4291" s="244"/>
      <c r="R4291" s="239">
        <f>3600+10500</f>
        <v>14100</v>
      </c>
      <c r="S4291" s="239"/>
      <c r="T4291" s="239"/>
      <c r="U4291" s="240"/>
      <c r="V4291" s="240"/>
      <c r="W4291" s="240"/>
      <c r="X4291" s="278"/>
      <c r="Y4291" s="237"/>
      <c r="Z4291" s="237"/>
      <c r="AA4291" s="279"/>
      <c r="AB4291" s="238"/>
      <c r="AC4291" s="196"/>
      <c r="AD4291" s="196"/>
      <c r="AE4291" s="196"/>
    </row>
    <row r="4292" spans="1:33">
      <c r="A4292" s="20" t="s">
        <v>25065</v>
      </c>
      <c r="B4292" s="150"/>
      <c r="C4292" s="21" t="s">
        <v>25182</v>
      </c>
      <c r="D4292" s="109" t="s">
        <v>4070</v>
      </c>
      <c r="E4292" s="109" t="s">
        <v>25178</v>
      </c>
      <c r="F4292" s="391" t="s">
        <v>25183</v>
      </c>
      <c r="G4292" s="23" t="s">
        <v>24860</v>
      </c>
      <c r="H4292" s="23"/>
      <c r="I4292" s="23"/>
      <c r="J4292" s="23"/>
      <c r="K4292" s="23"/>
      <c r="L4292" s="375"/>
      <c r="M4292" s="351"/>
      <c r="N4292" s="267">
        <f t="shared" ref="N4292" si="1370">SUM(L4292:M4292)</f>
        <v>0</v>
      </c>
      <c r="O4292" s="268">
        <f t="shared" ref="O4292" si="1371">SUM(P4292:Z4292)</f>
        <v>4950</v>
      </c>
      <c r="P4292" s="239"/>
      <c r="Q4292" s="239"/>
      <c r="R4292" s="239"/>
      <c r="S4292" s="239"/>
      <c r="T4292" s="239">
        <f>2700+2300-50</f>
        <v>4950</v>
      </c>
      <c r="U4292" s="240"/>
      <c r="V4292" s="240"/>
      <c r="W4292" s="240"/>
      <c r="X4292" s="278"/>
      <c r="Y4292" s="237"/>
      <c r="Z4292" s="237"/>
      <c r="AA4292" s="279"/>
      <c r="AB4292" s="238"/>
      <c r="AC4292" s="196">
        <f t="shared" si="1251"/>
        <v>4950</v>
      </c>
      <c r="AD4292" s="196">
        <f t="shared" si="1252"/>
        <v>4950</v>
      </c>
      <c r="AE4292" s="196">
        <f t="shared" si="1253"/>
        <v>0</v>
      </c>
      <c r="AF4292" s="2">
        <f t="shared" si="1254"/>
        <v>4950</v>
      </c>
      <c r="AG4292" s="2">
        <f t="shared" si="1255"/>
        <v>0</v>
      </c>
    </row>
    <row r="4293" spans="1:33">
      <c r="A4293" s="20"/>
      <c r="B4293" s="150"/>
      <c r="C4293" s="21" t="s">
        <v>27418</v>
      </c>
      <c r="D4293" s="109" t="s">
        <v>3133</v>
      </c>
      <c r="E4293" s="109" t="s">
        <v>26055</v>
      </c>
      <c r="F4293" s="391" t="s">
        <v>27420</v>
      </c>
      <c r="G4293" s="23" t="s">
        <v>14332</v>
      </c>
      <c r="H4293" s="23"/>
      <c r="I4293" s="23"/>
      <c r="J4293" s="23"/>
      <c r="K4293" s="23"/>
      <c r="L4293" s="375"/>
      <c r="M4293" s="351"/>
      <c r="N4293" s="267">
        <f t="shared" ref="N4293:N4296" si="1372">SUM(L4293:M4293)</f>
        <v>0</v>
      </c>
      <c r="O4293" s="268">
        <f t="shared" ref="O4293:O4296" si="1373">SUM(P4293:Z4293)</f>
        <v>0</v>
      </c>
      <c r="P4293" s="239"/>
      <c r="Q4293" s="239"/>
      <c r="R4293" s="239"/>
      <c r="S4293" s="239"/>
      <c r="T4293" s="239"/>
      <c r="U4293" s="240"/>
      <c r="V4293" s="240"/>
      <c r="W4293" s="240"/>
      <c r="X4293" s="278"/>
      <c r="Y4293" s="237"/>
      <c r="Z4293" s="237"/>
      <c r="AA4293" s="279"/>
      <c r="AB4293" s="238"/>
      <c r="AC4293" s="196"/>
      <c r="AD4293" s="196"/>
      <c r="AE4293" s="196"/>
    </row>
    <row r="4294" spans="1:33">
      <c r="A4294" s="20"/>
      <c r="B4294" s="150"/>
      <c r="C4294" s="21" t="s">
        <v>27419</v>
      </c>
      <c r="D4294" s="109" t="s">
        <v>6606</v>
      </c>
      <c r="E4294" s="109" t="s">
        <v>27141</v>
      </c>
      <c r="F4294" s="391" t="s">
        <v>27421</v>
      </c>
      <c r="G4294" s="23" t="s">
        <v>14332</v>
      </c>
      <c r="H4294" s="23"/>
      <c r="I4294" s="23"/>
      <c r="J4294" s="23"/>
      <c r="K4294" s="23"/>
      <c r="L4294" s="375"/>
      <c r="M4294" s="351"/>
      <c r="N4294" s="267">
        <f t="shared" si="1372"/>
        <v>0</v>
      </c>
      <c r="O4294" s="268">
        <f t="shared" si="1373"/>
        <v>0</v>
      </c>
      <c r="P4294" s="239"/>
      <c r="Q4294" s="239"/>
      <c r="R4294" s="239"/>
      <c r="S4294" s="239"/>
      <c r="T4294" s="239"/>
      <c r="U4294" s="240"/>
      <c r="V4294" s="240"/>
      <c r="W4294" s="240"/>
      <c r="X4294" s="278"/>
      <c r="Y4294" s="237"/>
      <c r="Z4294" s="237"/>
      <c r="AA4294" s="279"/>
      <c r="AB4294" s="238"/>
      <c r="AC4294" s="196"/>
      <c r="AD4294" s="196"/>
      <c r="AE4294" s="196"/>
    </row>
    <row r="4295" spans="1:33">
      <c r="A4295" s="20" t="s">
        <v>25941</v>
      </c>
      <c r="B4295" s="150"/>
      <c r="C4295" s="21" t="s">
        <v>25714</v>
      </c>
      <c r="D4295" s="109" t="s">
        <v>4070</v>
      </c>
      <c r="E4295" s="109" t="s">
        <v>25725</v>
      </c>
      <c r="F4295" s="391" t="s">
        <v>25726</v>
      </c>
      <c r="G4295" s="23" t="s">
        <v>14332</v>
      </c>
      <c r="H4295" s="23"/>
      <c r="I4295" s="23"/>
      <c r="J4295" s="23"/>
      <c r="K4295" s="23"/>
      <c r="L4295" s="375" t="s">
        <v>27791</v>
      </c>
      <c r="M4295" s="351" t="s">
        <v>45</v>
      </c>
      <c r="N4295" s="267">
        <f t="shared" si="1372"/>
        <v>0</v>
      </c>
      <c r="O4295" s="268">
        <f t="shared" si="1373"/>
        <v>650</v>
      </c>
      <c r="P4295" s="239"/>
      <c r="Q4295" s="239"/>
      <c r="R4295" s="239"/>
      <c r="S4295" s="239"/>
      <c r="T4295" s="239"/>
      <c r="U4295" s="240">
        <f>1000-600+3550+6150+1300-11000+3300+3300+1900+1750-10000</f>
        <v>650</v>
      </c>
      <c r="V4295" s="240"/>
      <c r="W4295" s="240"/>
      <c r="X4295" s="278"/>
      <c r="Y4295" s="237"/>
      <c r="Z4295" s="237"/>
      <c r="AA4295" s="279"/>
      <c r="AB4295" s="238" t="s">
        <v>27818</v>
      </c>
      <c r="AC4295" s="196">
        <f t="shared" si="1251"/>
        <v>650</v>
      </c>
      <c r="AD4295" s="196">
        <f t="shared" si="1252"/>
        <v>650</v>
      </c>
      <c r="AE4295" s="196">
        <f t="shared" si="1253"/>
        <v>0</v>
      </c>
      <c r="AF4295" s="2">
        <f t="shared" si="1254"/>
        <v>650</v>
      </c>
      <c r="AG4295" s="2">
        <f t="shared" si="1255"/>
        <v>0</v>
      </c>
    </row>
    <row r="4296" spans="1:33">
      <c r="A4296" s="20" t="s">
        <v>25155</v>
      </c>
      <c r="B4296" s="150"/>
      <c r="C4296" s="21" t="s">
        <v>25199</v>
      </c>
      <c r="D4296" s="109" t="s">
        <v>25200</v>
      </c>
      <c r="E4296" s="109" t="s">
        <v>25201</v>
      </c>
      <c r="F4296" s="391" t="s">
        <v>25202</v>
      </c>
      <c r="G4296" s="23" t="s">
        <v>13888</v>
      </c>
      <c r="H4296" s="23"/>
      <c r="I4296" s="23"/>
      <c r="J4296" s="23"/>
      <c r="K4296" s="23"/>
      <c r="L4296" s="375" t="s">
        <v>27989</v>
      </c>
      <c r="M4296" s="351" t="s">
        <v>45</v>
      </c>
      <c r="N4296" s="267">
        <f t="shared" si="1372"/>
        <v>0</v>
      </c>
      <c r="O4296" s="268">
        <f t="shared" si="1373"/>
        <v>600</v>
      </c>
      <c r="P4296" s="239"/>
      <c r="Q4296" s="239"/>
      <c r="R4296" s="239"/>
      <c r="S4296" s="239"/>
      <c r="T4296" s="239"/>
      <c r="U4296" s="240"/>
      <c r="V4296" s="240">
        <v>600</v>
      </c>
      <c r="W4296" s="240"/>
      <c r="X4296" s="278"/>
      <c r="Y4296" s="237"/>
      <c r="Z4296" s="237"/>
      <c r="AA4296" s="279"/>
      <c r="AB4296" s="238" t="s">
        <v>28002</v>
      </c>
      <c r="AC4296" s="196">
        <f t="shared" si="1251"/>
        <v>600</v>
      </c>
      <c r="AD4296" s="196">
        <f t="shared" si="1252"/>
        <v>600</v>
      </c>
      <c r="AE4296" s="196">
        <f t="shared" si="1253"/>
        <v>0</v>
      </c>
      <c r="AF4296" s="2">
        <f t="shared" si="1254"/>
        <v>600</v>
      </c>
      <c r="AG4296" s="2">
        <f t="shared" si="1255"/>
        <v>0</v>
      </c>
    </row>
    <row r="4297" spans="1:33">
      <c r="A4297" s="20" t="s">
        <v>25940</v>
      </c>
      <c r="B4297" s="150"/>
      <c r="C4297" s="21" t="s">
        <v>25199</v>
      </c>
      <c r="D4297" s="109" t="s">
        <v>5979</v>
      </c>
      <c r="E4297" s="109" t="s">
        <v>25979</v>
      </c>
      <c r="F4297" s="391" t="s">
        <v>25202</v>
      </c>
      <c r="G4297" s="23" t="s">
        <v>13888</v>
      </c>
      <c r="H4297" s="23"/>
      <c r="I4297" s="23"/>
      <c r="J4297" s="23"/>
      <c r="K4297" s="23"/>
      <c r="L4297" s="375" t="s">
        <v>45</v>
      </c>
      <c r="M4297" s="351" t="s">
        <v>45</v>
      </c>
      <c r="N4297" s="267">
        <f t="shared" ref="N4297" si="1374">SUM(L4297:M4297)</f>
        <v>0</v>
      </c>
      <c r="O4297" s="268">
        <f t="shared" ref="O4297" si="1375">SUM(P4297:Z4297)</f>
        <v>0</v>
      </c>
      <c r="P4297" s="239"/>
      <c r="Q4297" s="239"/>
      <c r="R4297" s="239"/>
      <c r="S4297" s="239"/>
      <c r="T4297" s="239"/>
      <c r="U4297" s="240"/>
      <c r="V4297" s="240"/>
      <c r="W4297" s="240"/>
      <c r="X4297" s="278"/>
      <c r="Y4297" s="237"/>
      <c r="Z4297" s="237"/>
      <c r="AA4297" s="279"/>
      <c r="AB4297" s="238"/>
      <c r="AC4297" s="196">
        <f t="shared" si="1251"/>
        <v>0</v>
      </c>
      <c r="AD4297" s="196">
        <f t="shared" si="1252"/>
        <v>0</v>
      </c>
      <c r="AE4297" s="196">
        <f t="shared" si="1253"/>
        <v>0</v>
      </c>
      <c r="AF4297" s="2">
        <f t="shared" si="1254"/>
        <v>0</v>
      </c>
      <c r="AG4297" s="2">
        <f t="shared" si="1255"/>
        <v>0</v>
      </c>
    </row>
    <row r="4298" spans="1:33">
      <c r="A4298" s="20" t="s">
        <v>25064</v>
      </c>
      <c r="B4298" s="150"/>
      <c r="C4298" s="21" t="s">
        <v>25177</v>
      </c>
      <c r="D4298" s="109" t="s">
        <v>3137</v>
      </c>
      <c r="E4298" s="109" t="s">
        <v>25179</v>
      </c>
      <c r="F4298" s="391" t="s">
        <v>25180</v>
      </c>
      <c r="G4298" s="23" t="s">
        <v>25181</v>
      </c>
      <c r="H4298" s="23" t="s">
        <v>27265</v>
      </c>
      <c r="I4298" s="23"/>
      <c r="J4298" s="23"/>
      <c r="K4298" s="23"/>
      <c r="L4298" s="375"/>
      <c r="M4298" s="351"/>
      <c r="N4298" s="267">
        <f t="shared" ref="N4298:N4300" si="1376">SUM(L4298:M4298)</f>
        <v>0</v>
      </c>
      <c r="O4298" s="268">
        <f t="shared" ref="O4298:O4300" si="1377">SUM(P4298:Z4298)</f>
        <v>1800</v>
      </c>
      <c r="P4298" s="239"/>
      <c r="Q4298" s="239"/>
      <c r="R4298" s="239"/>
      <c r="S4298" s="239"/>
      <c r="T4298" s="239">
        <f>1450-200+3550-3000</f>
        <v>1800</v>
      </c>
      <c r="U4298" s="240"/>
      <c r="V4298" s="240"/>
      <c r="W4298" s="240"/>
      <c r="X4298" s="278"/>
      <c r="Y4298" s="237"/>
      <c r="Z4298" s="237"/>
      <c r="AA4298" s="279"/>
      <c r="AB4298" s="238" t="s">
        <v>27786</v>
      </c>
      <c r="AC4298" s="196">
        <f t="shared" si="1251"/>
        <v>1800</v>
      </c>
      <c r="AD4298" s="196">
        <f t="shared" si="1252"/>
        <v>1800</v>
      </c>
      <c r="AE4298" s="196">
        <f t="shared" si="1253"/>
        <v>0</v>
      </c>
      <c r="AF4298" s="2">
        <f t="shared" si="1254"/>
        <v>1800</v>
      </c>
      <c r="AG4298" s="2">
        <f t="shared" si="1255"/>
        <v>0</v>
      </c>
    </row>
    <row r="4299" spans="1:33">
      <c r="A4299" s="20" t="s">
        <v>25174</v>
      </c>
      <c r="B4299" s="150"/>
      <c r="C4299" s="21" t="s">
        <v>25335</v>
      </c>
      <c r="D4299" s="109" t="s">
        <v>5979</v>
      </c>
      <c r="E4299" s="109" t="s">
        <v>25336</v>
      </c>
      <c r="F4299" s="391" t="s">
        <v>25354</v>
      </c>
      <c r="G4299" s="23" t="s">
        <v>25337</v>
      </c>
      <c r="H4299" s="23"/>
      <c r="I4299" s="23"/>
      <c r="J4299" s="23"/>
      <c r="K4299" s="23"/>
      <c r="L4299" s="375" t="s">
        <v>45</v>
      </c>
      <c r="M4299" s="351" t="s">
        <v>45</v>
      </c>
      <c r="N4299" s="267">
        <f t="shared" ref="N4299" si="1378">SUM(L4299:M4299)</f>
        <v>0</v>
      </c>
      <c r="O4299" s="268">
        <f t="shared" ref="O4299" si="1379">SUM(P4299:Z4299)</f>
        <v>700</v>
      </c>
      <c r="P4299" s="239"/>
      <c r="Q4299" s="239"/>
      <c r="R4299" s="239"/>
      <c r="S4299" s="239"/>
      <c r="T4299" s="239"/>
      <c r="U4299" s="240"/>
      <c r="V4299" s="240">
        <f>200-100+300-200+2500-2000</f>
        <v>700</v>
      </c>
      <c r="W4299" s="240"/>
      <c r="X4299" s="278"/>
      <c r="Y4299" s="237"/>
      <c r="Z4299" s="237"/>
      <c r="AA4299" s="279"/>
      <c r="AB4299" s="238" t="s">
        <v>25953</v>
      </c>
      <c r="AC4299" s="196">
        <f t="shared" si="1251"/>
        <v>700</v>
      </c>
      <c r="AD4299" s="196">
        <f t="shared" si="1252"/>
        <v>700</v>
      </c>
      <c r="AE4299" s="196">
        <f t="shared" si="1253"/>
        <v>0</v>
      </c>
      <c r="AF4299" s="2">
        <f t="shared" si="1254"/>
        <v>700</v>
      </c>
      <c r="AG4299" s="2">
        <f t="shared" si="1255"/>
        <v>0</v>
      </c>
    </row>
    <row r="4300" spans="1:33">
      <c r="A4300" s="20" t="s">
        <v>25062</v>
      </c>
      <c r="B4300" s="150"/>
      <c r="C4300" s="21" t="s">
        <v>25141</v>
      </c>
      <c r="D4300" s="109" t="s">
        <v>3958</v>
      </c>
      <c r="E4300" s="109"/>
      <c r="F4300" s="391" t="s">
        <v>25150</v>
      </c>
      <c r="G4300" s="23" t="s">
        <v>25142</v>
      </c>
      <c r="H4300" s="23"/>
      <c r="I4300" s="23"/>
      <c r="J4300" s="23"/>
      <c r="K4300" s="23"/>
      <c r="L4300" s="375" t="s">
        <v>45</v>
      </c>
      <c r="M4300" s="351" t="s">
        <v>45</v>
      </c>
      <c r="N4300" s="267">
        <f t="shared" si="1376"/>
        <v>0</v>
      </c>
      <c r="O4300" s="268">
        <f t="shared" si="1377"/>
        <v>25300</v>
      </c>
      <c r="P4300" s="239"/>
      <c r="Q4300" s="239"/>
      <c r="R4300" s="239"/>
      <c r="S4300" s="239"/>
      <c r="T4300" s="239"/>
      <c r="U4300" s="240">
        <f>3200+2800-5400+3200+3000+2800+2700-2700-2700-5400+2600+3400+3200+2600+2700+2800+2900+3600</f>
        <v>25300</v>
      </c>
      <c r="V4300" s="240"/>
      <c r="W4300" s="240"/>
      <c r="X4300" s="278"/>
      <c r="Y4300" s="237"/>
      <c r="Z4300" s="237"/>
      <c r="AA4300" s="279"/>
      <c r="AB4300" s="238" t="s">
        <v>27980</v>
      </c>
      <c r="AC4300" s="196">
        <f t="shared" si="1251"/>
        <v>25300</v>
      </c>
      <c r="AD4300" s="196">
        <f t="shared" si="1252"/>
        <v>25300</v>
      </c>
      <c r="AE4300" s="196">
        <f t="shared" si="1253"/>
        <v>0</v>
      </c>
      <c r="AF4300" s="2">
        <f t="shared" si="1254"/>
        <v>25300</v>
      </c>
      <c r="AG4300" s="2">
        <f t="shared" si="1255"/>
        <v>0</v>
      </c>
    </row>
    <row r="4301" spans="1:33">
      <c r="A4301" s="20" t="s">
        <v>25154</v>
      </c>
      <c r="B4301" s="150"/>
      <c r="C4301" s="21" t="s">
        <v>25191</v>
      </c>
      <c r="D4301" s="109" t="s">
        <v>3137</v>
      </c>
      <c r="E4301" s="109"/>
      <c r="F4301" s="391" t="s">
        <v>25192</v>
      </c>
      <c r="G4301" s="23" t="s">
        <v>6133</v>
      </c>
      <c r="H4301" s="23" t="s">
        <v>13888</v>
      </c>
      <c r="I4301" s="23" t="s">
        <v>25216</v>
      </c>
      <c r="J4301" s="23" t="s">
        <v>25390</v>
      </c>
      <c r="K4301" s="23"/>
      <c r="L4301" s="375"/>
      <c r="M4301" s="351" t="s">
        <v>45</v>
      </c>
      <c r="N4301" s="267">
        <f t="shared" ref="N4301:N4302" si="1380">SUM(L4301:M4301)</f>
        <v>0</v>
      </c>
      <c r="O4301" s="268">
        <f t="shared" ref="O4301:O4302" si="1381">SUM(P4301:Z4301)</f>
        <v>2250</v>
      </c>
      <c r="P4301" s="239"/>
      <c r="Q4301" s="240">
        <f>750-500+1600+1350-1450-1000-600+1150-500-700+50+1650-300-600-100-200-350-200+1750-1000+3100-1650</f>
        <v>2250</v>
      </c>
      <c r="R4301" s="239"/>
      <c r="S4301" s="239"/>
      <c r="T4301" s="239"/>
      <c r="U4301" s="240"/>
      <c r="V4301" s="240"/>
      <c r="W4301" s="240"/>
      <c r="X4301" s="278"/>
      <c r="Y4301" s="237"/>
      <c r="Z4301" s="237"/>
      <c r="AA4301" s="279"/>
      <c r="AB4301" s="238" t="s">
        <v>27974</v>
      </c>
      <c r="AC4301" s="196">
        <f t="shared" si="1251"/>
        <v>2250</v>
      </c>
      <c r="AD4301" s="196">
        <f t="shared" si="1252"/>
        <v>2250</v>
      </c>
      <c r="AE4301" s="196">
        <f t="shared" si="1253"/>
        <v>0</v>
      </c>
      <c r="AF4301" s="2">
        <f t="shared" si="1254"/>
        <v>2250</v>
      </c>
      <c r="AG4301" s="2">
        <f t="shared" si="1255"/>
        <v>0</v>
      </c>
    </row>
    <row r="4302" spans="1:33">
      <c r="A4302" s="20" t="s">
        <v>25153</v>
      </c>
      <c r="B4302" s="150"/>
      <c r="C4302" s="21" t="s">
        <v>26234</v>
      </c>
      <c r="D4302" s="109" t="s">
        <v>5979</v>
      </c>
      <c r="E4302" s="109"/>
      <c r="F4302" s="391" t="s">
        <v>25190</v>
      </c>
      <c r="G4302" s="23" t="s">
        <v>15443</v>
      </c>
      <c r="H4302" s="23" t="s">
        <v>25306</v>
      </c>
      <c r="I4302" s="23" t="s">
        <v>25845</v>
      </c>
      <c r="J4302" s="23"/>
      <c r="K4302" s="23"/>
      <c r="L4302" s="375" t="s">
        <v>27685</v>
      </c>
      <c r="M4302" s="351" t="s">
        <v>45</v>
      </c>
      <c r="N4302" s="267">
        <f t="shared" si="1380"/>
        <v>0</v>
      </c>
      <c r="O4302" s="268">
        <f t="shared" si="1381"/>
        <v>0</v>
      </c>
      <c r="P4302" s="239"/>
      <c r="Q4302" s="239"/>
      <c r="R4302" s="239"/>
      <c r="S4302" s="239"/>
      <c r="T4302" s="239"/>
      <c r="U4302" s="240"/>
      <c r="V4302" s="240"/>
      <c r="W4302" s="240"/>
      <c r="X4302" s="278"/>
      <c r="Y4302" s="237"/>
      <c r="Z4302" s="237"/>
      <c r="AA4302" s="279"/>
      <c r="AB4302" s="238"/>
      <c r="AC4302" s="196">
        <f t="shared" si="1251"/>
        <v>0</v>
      </c>
      <c r="AD4302" s="196">
        <f t="shared" si="1252"/>
        <v>0</v>
      </c>
      <c r="AE4302" s="196">
        <f t="shared" si="1253"/>
        <v>0</v>
      </c>
      <c r="AF4302" s="2">
        <f t="shared" si="1254"/>
        <v>0</v>
      </c>
      <c r="AG4302" s="2">
        <f t="shared" si="1255"/>
        <v>0</v>
      </c>
    </row>
    <row r="4303" spans="1:33">
      <c r="A4303" s="20" t="s">
        <v>26739</v>
      </c>
      <c r="B4303" s="150"/>
      <c r="C4303" s="21" t="s">
        <v>26590</v>
      </c>
      <c r="D4303" s="109" t="s">
        <v>5979</v>
      </c>
      <c r="E4303" s="109"/>
      <c r="F4303" s="391" t="s">
        <v>25190</v>
      </c>
      <c r="G4303" s="23" t="s">
        <v>15443</v>
      </c>
      <c r="H4303" s="23" t="s">
        <v>18203</v>
      </c>
      <c r="I4303" s="23" t="s">
        <v>17306</v>
      </c>
      <c r="J4303" s="23"/>
      <c r="K4303" s="23"/>
      <c r="L4303" s="375" t="s">
        <v>45</v>
      </c>
      <c r="M4303" s="351" t="s">
        <v>45</v>
      </c>
      <c r="N4303" s="267">
        <f t="shared" ref="N4303" si="1382">SUM(L4303:M4303)</f>
        <v>0</v>
      </c>
      <c r="O4303" s="268">
        <f t="shared" ref="O4303" si="1383">SUM(P4303:Z4303)</f>
        <v>8700</v>
      </c>
      <c r="P4303" s="239"/>
      <c r="Q4303" s="239"/>
      <c r="R4303" s="239"/>
      <c r="S4303" s="239"/>
      <c r="T4303" s="239"/>
      <c r="U4303" s="240"/>
      <c r="V4303" s="240">
        <f>2800+2500-3600+2100+1200-3600+2300-3600+3600-3600+2400+2900-3600+2800-3600+1900+2800+3000-3600+3100+3000-10800+2800+3200+3200+2200+2800+2000+3400+3200+2700+3000+3200+2900-3600-1100-3600-3600-3600-3600-3600-3600</f>
        <v>8700</v>
      </c>
      <c r="W4303" s="240"/>
      <c r="X4303" s="278"/>
      <c r="Y4303" s="237"/>
      <c r="Z4303" s="237"/>
      <c r="AA4303" s="279"/>
      <c r="AB4303" s="238" t="s">
        <v>27756</v>
      </c>
      <c r="AC4303" s="196">
        <f t="shared" si="1251"/>
        <v>8700</v>
      </c>
      <c r="AD4303" s="196">
        <f t="shared" si="1252"/>
        <v>8700</v>
      </c>
      <c r="AE4303" s="196">
        <f t="shared" si="1253"/>
        <v>0</v>
      </c>
      <c r="AF4303" s="2">
        <f t="shared" si="1254"/>
        <v>8700</v>
      </c>
      <c r="AG4303" s="2">
        <f t="shared" si="1255"/>
        <v>0</v>
      </c>
    </row>
    <row r="4304" spans="1:33">
      <c r="A4304" s="20"/>
      <c r="B4304" s="150"/>
      <c r="C4304" s="21" t="s">
        <v>27437</v>
      </c>
      <c r="D4304" s="109" t="s">
        <v>5979</v>
      </c>
      <c r="E4304" s="109"/>
      <c r="F4304" s="391"/>
      <c r="G4304" s="23" t="s">
        <v>15443</v>
      </c>
      <c r="H4304" s="23" t="s">
        <v>18203</v>
      </c>
      <c r="I4304" s="23" t="s">
        <v>17306</v>
      </c>
      <c r="J4304" s="23"/>
      <c r="K4304" s="23"/>
      <c r="L4304" s="375"/>
      <c r="M4304" s="351"/>
      <c r="N4304" s="267">
        <f t="shared" ref="N4304" si="1384">SUM(L4304:M4304)</f>
        <v>0</v>
      </c>
      <c r="O4304" s="268">
        <f t="shared" ref="O4304" si="1385">SUM(P4304:Z4304)</f>
        <v>0</v>
      </c>
      <c r="P4304" s="239"/>
      <c r="Q4304" s="239"/>
      <c r="R4304" s="239"/>
      <c r="S4304" s="239"/>
      <c r="T4304" s="239"/>
      <c r="U4304" s="240"/>
      <c r="V4304" s="240"/>
      <c r="W4304" s="240"/>
      <c r="X4304" s="278"/>
      <c r="Y4304" s="237"/>
      <c r="Z4304" s="237"/>
      <c r="AA4304" s="279"/>
      <c r="AB4304" s="238"/>
      <c r="AC4304" s="196"/>
      <c r="AD4304" s="196">
        <f t="shared" si="1252"/>
        <v>0</v>
      </c>
      <c r="AE4304" s="196"/>
    </row>
    <row r="4305" spans="1:33">
      <c r="A4305" s="20" t="s">
        <v>25160</v>
      </c>
      <c r="B4305" s="150"/>
      <c r="C4305" s="21" t="s">
        <v>25281</v>
      </c>
      <c r="D4305" s="109" t="s">
        <v>3096</v>
      </c>
      <c r="E4305" s="109"/>
      <c r="F4305" s="391" t="s">
        <v>25289</v>
      </c>
      <c r="G4305" s="23" t="s">
        <v>25291</v>
      </c>
      <c r="H4305" s="23" t="s">
        <v>25802</v>
      </c>
      <c r="I4305" s="23"/>
      <c r="J4305" s="23"/>
      <c r="K4305" s="23"/>
      <c r="L4305" s="375" t="s">
        <v>45</v>
      </c>
      <c r="M4305" s="351" t="s">
        <v>45</v>
      </c>
      <c r="N4305" s="267">
        <f t="shared" ref="N4305" si="1386">SUM(L4305:M4305)</f>
        <v>0</v>
      </c>
      <c r="O4305" s="268">
        <f t="shared" ref="O4305" si="1387">SUM(P4305:Z4305)</f>
        <v>0</v>
      </c>
      <c r="P4305" s="239"/>
      <c r="Q4305" s="239"/>
      <c r="R4305" s="239"/>
      <c r="S4305" s="239"/>
      <c r="T4305" s="239"/>
      <c r="U4305" s="240"/>
      <c r="V4305" s="240"/>
      <c r="W4305" s="240"/>
      <c r="X4305" s="278"/>
      <c r="Y4305" s="237"/>
      <c r="Z4305" s="237"/>
      <c r="AA4305" s="279"/>
      <c r="AB4305" s="238"/>
      <c r="AC4305" s="196">
        <f t="shared" si="1251"/>
        <v>0</v>
      </c>
      <c r="AD4305" s="196">
        <f t="shared" si="1252"/>
        <v>0</v>
      </c>
      <c r="AE4305" s="196">
        <f t="shared" si="1253"/>
        <v>0</v>
      </c>
      <c r="AF4305" s="2">
        <f t="shared" si="1254"/>
        <v>0</v>
      </c>
      <c r="AG4305" s="2">
        <f t="shared" si="1255"/>
        <v>0</v>
      </c>
    </row>
    <row r="4306" spans="1:33">
      <c r="A4306" s="20" t="s">
        <v>25614</v>
      </c>
      <c r="B4306" s="150"/>
      <c r="C4306" s="21" t="s">
        <v>25281</v>
      </c>
      <c r="D4306" s="109" t="s">
        <v>3102</v>
      </c>
      <c r="E4306" s="109"/>
      <c r="F4306" s="391" t="s">
        <v>25707</v>
      </c>
      <c r="G4306" s="23" t="s">
        <v>25802</v>
      </c>
      <c r="H4306" s="23"/>
      <c r="I4306" s="23"/>
      <c r="J4306" s="23"/>
      <c r="K4306" s="23"/>
      <c r="L4306" s="375" t="s">
        <v>45</v>
      </c>
      <c r="M4306" s="351"/>
      <c r="N4306" s="267">
        <f t="shared" ref="N4306" si="1388">SUM(L4306:M4306)</f>
        <v>0</v>
      </c>
      <c r="O4306" s="268">
        <f t="shared" ref="O4306" si="1389">SUM(P4306:Z4306)</f>
        <v>0</v>
      </c>
      <c r="P4306" s="239"/>
      <c r="Q4306" s="239"/>
      <c r="R4306" s="239"/>
      <c r="S4306" s="239"/>
      <c r="T4306" s="239"/>
      <c r="U4306" s="240"/>
      <c r="V4306" s="240"/>
      <c r="W4306" s="240"/>
      <c r="X4306" s="278"/>
      <c r="Y4306" s="237"/>
      <c r="Z4306" s="237"/>
      <c r="AA4306" s="279"/>
      <c r="AB4306" s="238"/>
      <c r="AC4306" s="196">
        <f t="shared" si="1251"/>
        <v>0</v>
      </c>
      <c r="AD4306" s="196">
        <f t="shared" si="1252"/>
        <v>0</v>
      </c>
      <c r="AE4306" s="196">
        <f t="shared" si="1253"/>
        <v>0</v>
      </c>
      <c r="AF4306" s="2">
        <f t="shared" si="1254"/>
        <v>0</v>
      </c>
      <c r="AG4306" s="2">
        <f t="shared" si="1255"/>
        <v>0</v>
      </c>
    </row>
    <row r="4307" spans="1:33">
      <c r="A4307" s="20" t="s">
        <v>25168</v>
      </c>
      <c r="B4307" s="150"/>
      <c r="C4307" s="21" t="s">
        <v>25294</v>
      </c>
      <c r="D4307" s="109" t="s">
        <v>3137</v>
      </c>
      <c r="E4307" s="109"/>
      <c r="F4307" s="391" t="s">
        <v>25310</v>
      </c>
      <c r="G4307" s="23" t="s">
        <v>14332</v>
      </c>
      <c r="H4307" s="23"/>
      <c r="I4307" s="23"/>
      <c r="J4307" s="23"/>
      <c r="K4307" s="23"/>
      <c r="L4307" s="375" t="s">
        <v>45</v>
      </c>
      <c r="M4307" s="351" t="s">
        <v>45</v>
      </c>
      <c r="N4307" s="267">
        <f t="shared" ref="N4307:N4308" si="1390">SUM(L4307:M4307)</f>
        <v>0</v>
      </c>
      <c r="O4307" s="268">
        <f t="shared" ref="O4307:O4308" si="1391">SUM(P4307:Z4307)</f>
        <v>200</v>
      </c>
      <c r="P4307" s="239"/>
      <c r="Q4307" s="239"/>
      <c r="R4307" s="239"/>
      <c r="S4307" s="239"/>
      <c r="T4307" s="239"/>
      <c r="U4307" s="240">
        <f>700-500</f>
        <v>200</v>
      </c>
      <c r="V4307" s="240"/>
      <c r="W4307" s="240"/>
      <c r="X4307" s="278"/>
      <c r="Y4307" s="237"/>
      <c r="Z4307" s="237"/>
      <c r="AA4307" s="279"/>
      <c r="AB4307" s="238" t="s">
        <v>25370</v>
      </c>
      <c r="AC4307" s="196">
        <f t="shared" si="1251"/>
        <v>200</v>
      </c>
      <c r="AD4307" s="196">
        <f t="shared" si="1252"/>
        <v>200</v>
      </c>
      <c r="AE4307" s="196">
        <f t="shared" si="1253"/>
        <v>0</v>
      </c>
      <c r="AF4307" s="2">
        <f t="shared" si="1254"/>
        <v>200</v>
      </c>
      <c r="AG4307" s="2">
        <f t="shared" si="1255"/>
        <v>0</v>
      </c>
    </row>
    <row r="4308" spans="1:33">
      <c r="A4308" s="20" t="s">
        <v>25167</v>
      </c>
      <c r="B4308" s="150"/>
      <c r="C4308" s="21" t="s">
        <v>25295</v>
      </c>
      <c r="D4308" s="109" t="s">
        <v>3137</v>
      </c>
      <c r="E4308" s="109"/>
      <c r="F4308" s="391" t="s">
        <v>25307</v>
      </c>
      <c r="G4308" s="23" t="s">
        <v>14332</v>
      </c>
      <c r="H4308" s="23"/>
      <c r="I4308" s="23"/>
      <c r="J4308" s="23"/>
      <c r="K4308" s="23"/>
      <c r="L4308" s="375" t="s">
        <v>45</v>
      </c>
      <c r="M4308" s="351"/>
      <c r="N4308" s="267">
        <f t="shared" si="1390"/>
        <v>0</v>
      </c>
      <c r="O4308" s="268">
        <f t="shared" si="1391"/>
        <v>50</v>
      </c>
      <c r="P4308" s="239"/>
      <c r="Q4308" s="239"/>
      <c r="R4308" s="239"/>
      <c r="S4308" s="239"/>
      <c r="T4308" s="239"/>
      <c r="U4308" s="240">
        <f>600-500-50</f>
        <v>50</v>
      </c>
      <c r="V4308" s="240"/>
      <c r="W4308" s="240"/>
      <c r="X4308" s="278"/>
      <c r="Y4308" s="237"/>
      <c r="Z4308" s="237"/>
      <c r="AA4308" s="279"/>
      <c r="AB4308" s="238" t="s">
        <v>25308</v>
      </c>
      <c r="AC4308" s="196">
        <f t="shared" si="1251"/>
        <v>50</v>
      </c>
      <c r="AD4308" s="196">
        <f t="shared" si="1252"/>
        <v>50</v>
      </c>
      <c r="AE4308" s="196">
        <f t="shared" si="1253"/>
        <v>0</v>
      </c>
      <c r="AF4308" s="2">
        <f t="shared" si="1254"/>
        <v>50</v>
      </c>
      <c r="AG4308" s="2">
        <f t="shared" si="1255"/>
        <v>0</v>
      </c>
    </row>
    <row r="4309" spans="1:33">
      <c r="A4309" s="20" t="s">
        <v>25169</v>
      </c>
      <c r="B4309" s="150"/>
      <c r="C4309" s="21" t="s">
        <v>25316</v>
      </c>
      <c r="D4309" s="109" t="s">
        <v>3137</v>
      </c>
      <c r="E4309" s="109"/>
      <c r="F4309" s="391" t="s">
        <v>25319</v>
      </c>
      <c r="G4309" s="23" t="s">
        <v>25317</v>
      </c>
      <c r="H4309" s="23" t="s">
        <v>25681</v>
      </c>
      <c r="I4309" s="23" t="s">
        <v>13317</v>
      </c>
      <c r="J4309" s="23"/>
      <c r="K4309" s="23"/>
      <c r="L4309" s="375" t="s">
        <v>27870</v>
      </c>
      <c r="M4309" s="351" t="s">
        <v>45</v>
      </c>
      <c r="N4309" s="267">
        <f t="shared" ref="N4309" si="1392">SUM(L4309:M4309)</f>
        <v>0</v>
      </c>
      <c r="O4309" s="268">
        <f t="shared" ref="O4309" si="1393">SUM(P4309:Z4309)</f>
        <v>550</v>
      </c>
      <c r="P4309" s="239"/>
      <c r="Q4309" s="239"/>
      <c r="R4309" s="241"/>
      <c r="S4309" s="239"/>
      <c r="T4309" s="239"/>
      <c r="U4309" s="240">
        <f>800-100-100-400-50+500-600+700-500+1050-1000+650-400</f>
        <v>550</v>
      </c>
      <c r="V4309" s="240"/>
      <c r="W4309" s="240"/>
      <c r="X4309" s="278"/>
      <c r="Y4309" s="237"/>
      <c r="Z4309" s="237"/>
      <c r="AA4309" s="279"/>
      <c r="AB4309" s="238" t="s">
        <v>27863</v>
      </c>
      <c r="AC4309" s="196">
        <f t="shared" si="1251"/>
        <v>550</v>
      </c>
      <c r="AD4309" s="196">
        <f t="shared" si="1252"/>
        <v>550</v>
      </c>
      <c r="AE4309" s="196">
        <f t="shared" si="1253"/>
        <v>0</v>
      </c>
      <c r="AF4309" s="2">
        <f t="shared" si="1254"/>
        <v>550</v>
      </c>
      <c r="AG4309" s="2">
        <f t="shared" si="1255"/>
        <v>0</v>
      </c>
    </row>
    <row r="4310" spans="1:33">
      <c r="A4310" s="20" t="s">
        <v>25473</v>
      </c>
      <c r="B4310" s="150"/>
      <c r="C4310" s="21" t="s">
        <v>25486</v>
      </c>
      <c r="D4310" s="109" t="s">
        <v>5979</v>
      </c>
      <c r="E4310" s="109"/>
      <c r="F4310" s="391" t="s">
        <v>25495</v>
      </c>
      <c r="G4310" s="23" t="s">
        <v>25487</v>
      </c>
      <c r="H4310" s="23"/>
      <c r="I4310" s="23"/>
      <c r="J4310" s="23"/>
      <c r="K4310" s="23"/>
      <c r="L4310" s="375" t="s">
        <v>45</v>
      </c>
      <c r="M4310" s="351" t="s">
        <v>45</v>
      </c>
      <c r="N4310" s="267">
        <f t="shared" ref="N4310" si="1394">SUM(L4310:M4310)</f>
        <v>0</v>
      </c>
      <c r="O4310" s="268">
        <f t="shared" ref="O4310" si="1395">SUM(P4310:Z4310)</f>
        <v>100</v>
      </c>
      <c r="P4310" s="239"/>
      <c r="Q4310" s="239"/>
      <c r="R4310" s="241"/>
      <c r="S4310" s="239"/>
      <c r="T4310" s="239"/>
      <c r="U4310" s="240">
        <f>200-100</f>
        <v>100</v>
      </c>
      <c r="V4310" s="240"/>
      <c r="W4310" s="240"/>
      <c r="X4310" s="278"/>
      <c r="Y4310" s="237"/>
      <c r="Z4310" s="237"/>
      <c r="AA4310" s="279"/>
      <c r="AB4310" s="238" t="s">
        <v>25494</v>
      </c>
      <c r="AC4310" s="196">
        <f t="shared" si="1251"/>
        <v>100</v>
      </c>
      <c r="AD4310" s="196">
        <f t="shared" si="1252"/>
        <v>100</v>
      </c>
      <c r="AE4310" s="196">
        <f t="shared" si="1253"/>
        <v>0</v>
      </c>
      <c r="AF4310" s="2">
        <f t="shared" si="1254"/>
        <v>100</v>
      </c>
      <c r="AG4310" s="2">
        <f t="shared" si="1255"/>
        <v>0</v>
      </c>
    </row>
    <row r="4311" spans="1:33">
      <c r="A4311" s="20" t="s">
        <v>25346</v>
      </c>
      <c r="B4311" s="150"/>
      <c r="C4311" s="21" t="s">
        <v>25374</v>
      </c>
      <c r="D4311" s="109" t="s">
        <v>3137</v>
      </c>
      <c r="E4311" s="109"/>
      <c r="F4311" s="391" t="s">
        <v>25380</v>
      </c>
      <c r="G4311" s="23" t="s">
        <v>13888</v>
      </c>
      <c r="H4311" s="23"/>
      <c r="I4311" s="23"/>
      <c r="J4311" s="23"/>
      <c r="K4311" s="23"/>
      <c r="L4311" s="375" t="s">
        <v>45</v>
      </c>
      <c r="M4311" s="351" t="s">
        <v>45</v>
      </c>
      <c r="N4311" s="267">
        <f t="shared" ref="N4311" si="1396">SUM(L4311:M4311)</f>
        <v>0</v>
      </c>
      <c r="O4311" s="268">
        <f t="shared" ref="O4311" si="1397">SUM(P4311:Z4311)</f>
        <v>150</v>
      </c>
      <c r="P4311" s="239"/>
      <c r="Q4311" s="239"/>
      <c r="R4311" s="241"/>
      <c r="S4311" s="239"/>
      <c r="T4311" s="239"/>
      <c r="U4311" s="240">
        <f>450-300</f>
        <v>150</v>
      </c>
      <c r="V4311" s="240"/>
      <c r="W4311" s="240"/>
      <c r="X4311" s="278"/>
      <c r="Y4311" s="237"/>
      <c r="Z4311" s="237"/>
      <c r="AA4311" s="279"/>
      <c r="AB4311" s="238" t="s">
        <v>25590</v>
      </c>
      <c r="AC4311" s="196">
        <f t="shared" ref="AC4311:AC4375" si="1398">SUM(P4311:AA4311)</f>
        <v>150</v>
      </c>
      <c r="AD4311" s="196">
        <f t="shared" ref="AD4311:AD4375" si="1399">SUM(P4311:AB4311)</f>
        <v>150</v>
      </c>
      <c r="AE4311" s="196">
        <f t="shared" ref="AE4311:AE4375" si="1400">SUM(AC4311-AD4311)</f>
        <v>0</v>
      </c>
      <c r="AF4311" s="2">
        <f t="shared" ref="AF4311:AF4375" si="1401">+AC4311</f>
        <v>150</v>
      </c>
      <c r="AG4311" s="2">
        <f t="shared" ref="AG4311:AG4375" si="1402">+AC4311-AF4311</f>
        <v>0</v>
      </c>
    </row>
    <row r="4312" spans="1:33">
      <c r="A4312" s="20" t="s">
        <v>25161</v>
      </c>
      <c r="B4312" s="150"/>
      <c r="C4312" s="21" t="s">
        <v>25282</v>
      </c>
      <c r="D4312" s="109" t="s">
        <v>3137</v>
      </c>
      <c r="E4312" s="109"/>
      <c r="F4312" s="391" t="s">
        <v>25290</v>
      </c>
      <c r="G4312" s="23" t="s">
        <v>6133</v>
      </c>
      <c r="H4312" s="23" t="s">
        <v>25463</v>
      </c>
      <c r="I4312" s="23"/>
      <c r="J4312" s="23"/>
      <c r="K4312" s="23"/>
      <c r="L4312" s="375" t="s">
        <v>27633</v>
      </c>
      <c r="M4312" s="351" t="s">
        <v>45</v>
      </c>
      <c r="N4312" s="267">
        <f t="shared" ref="N4312" si="1403">SUM(L4312:M4312)</f>
        <v>0</v>
      </c>
      <c r="O4312" s="268">
        <f t="shared" ref="O4312" si="1404">SUM(P4312:Z4312)</f>
        <v>750</v>
      </c>
      <c r="P4312" s="239"/>
      <c r="Q4312" s="239">
        <f>350-200+1100-500</f>
        <v>750</v>
      </c>
      <c r="R4312" s="239"/>
      <c r="S4312" s="239"/>
      <c r="T4312" s="239"/>
      <c r="U4312" s="240"/>
      <c r="V4312" s="240"/>
      <c r="W4312" s="240"/>
      <c r="X4312" s="278"/>
      <c r="Y4312" s="237"/>
      <c r="Z4312" s="237"/>
      <c r="AA4312" s="279"/>
      <c r="AB4312" s="238" t="s">
        <v>27624</v>
      </c>
      <c r="AC4312" s="196">
        <f t="shared" si="1398"/>
        <v>750</v>
      </c>
      <c r="AD4312" s="196">
        <f t="shared" si="1399"/>
        <v>750</v>
      </c>
      <c r="AE4312" s="196">
        <f t="shared" si="1400"/>
        <v>0</v>
      </c>
      <c r="AF4312" s="2">
        <f t="shared" si="1401"/>
        <v>750</v>
      </c>
      <c r="AG4312" s="2">
        <f t="shared" si="1402"/>
        <v>0</v>
      </c>
    </row>
    <row r="4313" spans="1:33">
      <c r="A4313" s="20" t="s">
        <v>26738</v>
      </c>
      <c r="B4313" s="150"/>
      <c r="C4313" s="21" t="s">
        <v>25282</v>
      </c>
      <c r="D4313" s="109" t="s">
        <v>3137</v>
      </c>
      <c r="E4313" s="109" t="s">
        <v>25784</v>
      </c>
      <c r="F4313" s="391" t="s">
        <v>25290</v>
      </c>
      <c r="G4313" s="23" t="s">
        <v>25785</v>
      </c>
      <c r="H4313" s="23"/>
      <c r="I4313" s="23"/>
      <c r="J4313" s="23"/>
      <c r="K4313" s="23"/>
      <c r="L4313" s="375" t="s">
        <v>45</v>
      </c>
      <c r="M4313" s="351">
        <v>50</v>
      </c>
      <c r="N4313" s="267">
        <f t="shared" ref="N4313" si="1405">SUM(L4313:M4313)</f>
        <v>50</v>
      </c>
      <c r="O4313" s="268">
        <f t="shared" ref="O4313" si="1406">SUM(P4313:Z4313)</f>
        <v>0</v>
      </c>
      <c r="P4313" s="239"/>
      <c r="Q4313" s="239"/>
      <c r="R4313" s="239"/>
      <c r="S4313" s="239"/>
      <c r="T4313" s="239"/>
      <c r="U4313" s="240"/>
      <c r="V4313" s="240"/>
      <c r="W4313" s="240"/>
      <c r="X4313" s="278"/>
      <c r="Y4313" s="237"/>
      <c r="Z4313" s="237"/>
      <c r="AA4313" s="279"/>
      <c r="AB4313" s="238"/>
      <c r="AC4313" s="196">
        <f t="shared" si="1398"/>
        <v>0</v>
      </c>
      <c r="AD4313" s="196">
        <f t="shared" si="1399"/>
        <v>0</v>
      </c>
      <c r="AE4313" s="196">
        <f t="shared" si="1400"/>
        <v>0</v>
      </c>
      <c r="AF4313" s="2">
        <f t="shared" si="1401"/>
        <v>0</v>
      </c>
      <c r="AG4313" s="2">
        <f t="shared" si="1402"/>
        <v>0</v>
      </c>
    </row>
    <row r="4314" spans="1:33">
      <c r="A4314" s="20" t="s">
        <v>25350</v>
      </c>
      <c r="B4314" s="150"/>
      <c r="C4314" s="21" t="s">
        <v>25282</v>
      </c>
      <c r="D4314" s="109" t="s">
        <v>8376</v>
      </c>
      <c r="E4314" s="109"/>
      <c r="F4314" s="391" t="s">
        <v>25290</v>
      </c>
      <c r="G4314" s="23" t="s">
        <v>25395</v>
      </c>
      <c r="H4314" s="23" t="s">
        <v>25506</v>
      </c>
      <c r="I4314" s="23"/>
      <c r="J4314" s="23"/>
      <c r="K4314" s="23"/>
      <c r="L4314" s="375" t="s">
        <v>45</v>
      </c>
      <c r="M4314" s="351"/>
      <c r="N4314" s="267">
        <f t="shared" ref="N4314" si="1407">SUM(L4314:M4314)</f>
        <v>0</v>
      </c>
      <c r="O4314" s="268">
        <f t="shared" ref="O4314" si="1408">SUM(P4314:Z4314)</f>
        <v>0</v>
      </c>
      <c r="P4314" s="239"/>
      <c r="Q4314" s="239"/>
      <c r="R4314" s="239"/>
      <c r="S4314" s="239"/>
      <c r="T4314" s="239"/>
      <c r="U4314" s="240"/>
      <c r="V4314" s="240"/>
      <c r="W4314" s="240"/>
      <c r="X4314" s="278"/>
      <c r="Y4314" s="237"/>
      <c r="Z4314" s="237"/>
      <c r="AA4314" s="279"/>
      <c r="AB4314" s="238"/>
      <c r="AC4314" s="196">
        <f t="shared" si="1398"/>
        <v>0</v>
      </c>
      <c r="AD4314" s="196">
        <f t="shared" si="1399"/>
        <v>0</v>
      </c>
      <c r="AE4314" s="196">
        <f t="shared" si="1400"/>
        <v>0</v>
      </c>
      <c r="AF4314" s="2">
        <f t="shared" si="1401"/>
        <v>0</v>
      </c>
      <c r="AG4314" s="2">
        <f t="shared" si="1402"/>
        <v>0</v>
      </c>
    </row>
    <row r="4315" spans="1:33">
      <c r="A4315" s="20" t="s">
        <v>25166</v>
      </c>
      <c r="B4315" s="150"/>
      <c r="C4315" s="21" t="s">
        <v>25274</v>
      </c>
      <c r="D4315" s="109" t="s">
        <v>5979</v>
      </c>
      <c r="E4315" s="109"/>
      <c r="F4315" s="391" t="s">
        <v>25296</v>
      </c>
      <c r="G4315" s="23" t="s">
        <v>15443</v>
      </c>
      <c r="H4315" s="23"/>
      <c r="I4315" s="23"/>
      <c r="J4315" s="23"/>
      <c r="K4315" s="23"/>
      <c r="L4315" s="375" t="s">
        <v>45</v>
      </c>
      <c r="M4315" s="351"/>
      <c r="N4315" s="267">
        <f t="shared" ref="N4315" si="1409">SUM(L4315:M4315)</f>
        <v>0</v>
      </c>
      <c r="O4315" s="268">
        <f t="shared" ref="O4315" si="1410">SUM(P4315:Z4315)</f>
        <v>100</v>
      </c>
      <c r="P4315" s="239"/>
      <c r="Q4315" s="239"/>
      <c r="R4315" s="239"/>
      <c r="S4315" s="239"/>
      <c r="T4315" s="239"/>
      <c r="U4315" s="240"/>
      <c r="V4315" s="240">
        <f>600-400+200-300</f>
        <v>100</v>
      </c>
      <c r="W4315" s="240"/>
      <c r="X4315" s="278"/>
      <c r="Y4315" s="237"/>
      <c r="Z4315" s="237"/>
      <c r="AA4315" s="279"/>
      <c r="AB4315" s="238" t="s">
        <v>25439</v>
      </c>
      <c r="AC4315" s="196">
        <f t="shared" si="1398"/>
        <v>100</v>
      </c>
      <c r="AD4315" s="196">
        <f t="shared" si="1399"/>
        <v>100</v>
      </c>
      <c r="AE4315" s="196">
        <f t="shared" si="1400"/>
        <v>0</v>
      </c>
      <c r="AF4315" s="2">
        <f t="shared" si="1401"/>
        <v>100</v>
      </c>
      <c r="AG4315" s="2">
        <f t="shared" si="1402"/>
        <v>0</v>
      </c>
    </row>
    <row r="4316" spans="1:33">
      <c r="A4316" s="20" t="s">
        <v>25345</v>
      </c>
      <c r="B4316" s="150"/>
      <c r="C4316" s="21" t="s">
        <v>25343</v>
      </c>
      <c r="D4316" s="109" t="s">
        <v>3137</v>
      </c>
      <c r="E4316" s="109"/>
      <c r="F4316" s="391" t="s">
        <v>25369</v>
      </c>
      <c r="G4316" s="23" t="s">
        <v>13888</v>
      </c>
      <c r="H4316" s="23"/>
      <c r="I4316" s="23"/>
      <c r="J4316" s="23"/>
      <c r="K4316" s="23"/>
      <c r="L4316" s="375" t="s">
        <v>45</v>
      </c>
      <c r="M4316" s="351" t="s">
        <v>45</v>
      </c>
      <c r="N4316" s="267">
        <f t="shared" ref="N4316:N4317" si="1411">SUM(L4316:M4316)</f>
        <v>0</v>
      </c>
      <c r="O4316" s="268">
        <f t="shared" ref="O4316:O4317" si="1412">SUM(P4316:Z4316)</f>
        <v>300</v>
      </c>
      <c r="P4316" s="239"/>
      <c r="Q4316" s="239"/>
      <c r="R4316" s="239"/>
      <c r="S4316" s="239"/>
      <c r="T4316" s="239"/>
      <c r="U4316" s="240">
        <f>1650-1350</f>
        <v>300</v>
      </c>
      <c r="V4316" s="240"/>
      <c r="W4316" s="240"/>
      <c r="X4316" s="278"/>
      <c r="Y4316" s="237"/>
      <c r="Z4316" s="237"/>
      <c r="AA4316" s="279"/>
      <c r="AB4316" s="238" t="s">
        <v>25692</v>
      </c>
      <c r="AC4316" s="196">
        <f t="shared" si="1398"/>
        <v>300</v>
      </c>
      <c r="AD4316" s="196">
        <f t="shared" si="1399"/>
        <v>300</v>
      </c>
      <c r="AE4316" s="196">
        <f t="shared" si="1400"/>
        <v>0</v>
      </c>
      <c r="AF4316" s="2">
        <f t="shared" si="1401"/>
        <v>300</v>
      </c>
      <c r="AG4316" s="2">
        <f t="shared" si="1402"/>
        <v>0</v>
      </c>
    </row>
    <row r="4317" spans="1:33">
      <c r="A4317" s="20" t="s">
        <v>25347</v>
      </c>
      <c r="B4317" s="150"/>
      <c r="C4317" s="21" t="s">
        <v>25375</v>
      </c>
      <c r="D4317" s="109" t="s">
        <v>3137</v>
      </c>
      <c r="E4317" s="109"/>
      <c r="F4317" s="391" t="s">
        <v>25381</v>
      </c>
      <c r="G4317" s="23" t="s">
        <v>13888</v>
      </c>
      <c r="H4317" s="23"/>
      <c r="I4317" s="23"/>
      <c r="J4317" s="23"/>
      <c r="K4317" s="23"/>
      <c r="L4317" s="375" t="s">
        <v>45</v>
      </c>
      <c r="M4317" s="351" t="s">
        <v>45</v>
      </c>
      <c r="N4317" s="267">
        <f t="shared" si="1411"/>
        <v>0</v>
      </c>
      <c r="O4317" s="268">
        <f t="shared" si="1412"/>
        <v>200</v>
      </c>
      <c r="P4317" s="239"/>
      <c r="Q4317" s="239"/>
      <c r="R4317" s="239"/>
      <c r="S4317" s="239"/>
      <c r="T4317" s="239"/>
      <c r="U4317" s="240">
        <f>500-300</f>
        <v>200</v>
      </c>
      <c r="V4317" s="240"/>
      <c r="W4317" s="240"/>
      <c r="X4317" s="278"/>
      <c r="Y4317" s="237"/>
      <c r="Z4317" s="237"/>
      <c r="AA4317" s="279"/>
      <c r="AB4317" s="238" t="s">
        <v>25865</v>
      </c>
      <c r="AC4317" s="196">
        <f t="shared" si="1398"/>
        <v>200</v>
      </c>
      <c r="AD4317" s="196">
        <f t="shared" si="1399"/>
        <v>200</v>
      </c>
      <c r="AE4317" s="196">
        <f t="shared" si="1400"/>
        <v>0</v>
      </c>
      <c r="AF4317" s="2">
        <f t="shared" si="1401"/>
        <v>200</v>
      </c>
      <c r="AG4317" s="2">
        <f t="shared" si="1402"/>
        <v>0</v>
      </c>
    </row>
    <row r="4318" spans="1:33">
      <c r="A4318" s="20" t="s">
        <v>25430</v>
      </c>
      <c r="B4318" s="150"/>
      <c r="C4318" s="21" t="s">
        <v>25458</v>
      </c>
      <c r="D4318" s="109" t="s">
        <v>3137</v>
      </c>
      <c r="E4318" s="109"/>
      <c r="F4318" s="391" t="s">
        <v>25462</v>
      </c>
      <c r="G4318" s="23" t="s">
        <v>13888</v>
      </c>
      <c r="H4318" s="23"/>
      <c r="I4318" s="23"/>
      <c r="J4318" s="23"/>
      <c r="K4318" s="23"/>
      <c r="L4318" s="375">
        <f>300+320</f>
        <v>620</v>
      </c>
      <c r="M4318" s="351" t="s">
        <v>45</v>
      </c>
      <c r="N4318" s="267">
        <f t="shared" ref="N4318" si="1413">SUM(L4318:M4318)</f>
        <v>620</v>
      </c>
      <c r="O4318" s="268">
        <f t="shared" ref="O4318" si="1414">SUM(P4318:Z4318)</f>
        <v>0</v>
      </c>
      <c r="P4318" s="239"/>
      <c r="Q4318" s="239"/>
      <c r="R4318" s="239"/>
      <c r="S4318" s="239"/>
      <c r="T4318" s="239"/>
      <c r="U4318" s="240"/>
      <c r="V4318" s="240"/>
      <c r="W4318" s="240"/>
      <c r="X4318" s="278"/>
      <c r="Y4318" s="237"/>
      <c r="Z4318" s="237"/>
      <c r="AA4318" s="279"/>
      <c r="AB4318" s="238"/>
      <c r="AC4318" s="196">
        <f t="shared" si="1398"/>
        <v>0</v>
      </c>
      <c r="AD4318" s="196">
        <f t="shared" si="1399"/>
        <v>0</v>
      </c>
      <c r="AE4318" s="196">
        <f t="shared" si="1400"/>
        <v>0</v>
      </c>
      <c r="AF4318" s="2">
        <f t="shared" si="1401"/>
        <v>0</v>
      </c>
      <c r="AG4318" s="2">
        <f t="shared" si="1402"/>
        <v>0</v>
      </c>
    </row>
    <row r="4319" spans="1:33">
      <c r="A4319" s="20" t="s">
        <v>25938</v>
      </c>
      <c r="B4319" s="150"/>
      <c r="C4319" s="21" t="s">
        <v>25458</v>
      </c>
      <c r="D4319" s="109" t="s">
        <v>3137</v>
      </c>
      <c r="E4319" s="109" t="s">
        <v>25979</v>
      </c>
      <c r="F4319" s="391" t="s">
        <v>25997</v>
      </c>
      <c r="G4319" s="23" t="s">
        <v>13888</v>
      </c>
      <c r="H4319" s="23"/>
      <c r="I4319" s="23"/>
      <c r="J4319" s="23"/>
      <c r="K4319" s="23"/>
      <c r="L4319" s="375" t="s">
        <v>45</v>
      </c>
      <c r="M4319" s="351" t="s">
        <v>45</v>
      </c>
      <c r="N4319" s="267">
        <f t="shared" ref="N4319" si="1415">SUM(L4319:M4319)</f>
        <v>0</v>
      </c>
      <c r="O4319" s="268">
        <f t="shared" ref="O4319" si="1416">SUM(P4319:Z4319)</f>
        <v>0</v>
      </c>
      <c r="P4319" s="239"/>
      <c r="Q4319" s="239"/>
      <c r="R4319" s="239"/>
      <c r="S4319" s="239"/>
      <c r="T4319" s="239"/>
      <c r="U4319" s="240"/>
      <c r="V4319" s="240"/>
      <c r="W4319" s="240"/>
      <c r="X4319" s="278"/>
      <c r="Y4319" s="237"/>
      <c r="Z4319" s="237"/>
      <c r="AA4319" s="279"/>
      <c r="AB4319" s="238"/>
      <c r="AC4319" s="196">
        <f t="shared" si="1398"/>
        <v>0</v>
      </c>
      <c r="AD4319" s="196">
        <f t="shared" si="1399"/>
        <v>0</v>
      </c>
      <c r="AE4319" s="196">
        <f t="shared" si="1400"/>
        <v>0</v>
      </c>
      <c r="AF4319" s="2">
        <f t="shared" si="1401"/>
        <v>0</v>
      </c>
      <c r="AG4319" s="2">
        <f t="shared" si="1402"/>
        <v>0</v>
      </c>
    </row>
    <row r="4320" spans="1:33">
      <c r="A4320" s="20" t="s">
        <v>25605</v>
      </c>
      <c r="B4320" s="150"/>
      <c r="C4320" s="21" t="s">
        <v>25598</v>
      </c>
      <c r="D4320" s="109" t="s">
        <v>25599</v>
      </c>
      <c r="E4320" s="109"/>
      <c r="F4320" s="391" t="s">
        <v>25636</v>
      </c>
      <c r="G4320" s="23" t="s">
        <v>6133</v>
      </c>
      <c r="H4320" s="23"/>
      <c r="I4320" s="23"/>
      <c r="J4320" s="23"/>
      <c r="K4320" s="23"/>
      <c r="L4320" s="375" t="s">
        <v>27855</v>
      </c>
      <c r="M4320" s="351" t="s">
        <v>45</v>
      </c>
      <c r="N4320" s="267">
        <f t="shared" ref="N4320" si="1417">SUM(L4320:M4320)</f>
        <v>0</v>
      </c>
      <c r="O4320" s="268">
        <f t="shared" ref="O4320" si="1418">SUM(P4320:Z4320)</f>
        <v>1750</v>
      </c>
      <c r="P4320" s="239"/>
      <c r="Q4320" s="239">
        <f>3200-750+3400-600+2800-350-3000-1000-1000-500-450</f>
        <v>1750</v>
      </c>
      <c r="R4320" s="239"/>
      <c r="S4320" s="239"/>
      <c r="T4320" s="239"/>
      <c r="U4320" s="240"/>
      <c r="V4320" s="240"/>
      <c r="W4320" s="240"/>
      <c r="X4320" s="278"/>
      <c r="Y4320" s="237"/>
      <c r="Z4320" s="237"/>
      <c r="AA4320" s="279"/>
      <c r="AB4320" s="238" t="s">
        <v>27881</v>
      </c>
      <c r="AC4320" s="196">
        <f t="shared" si="1398"/>
        <v>1750</v>
      </c>
      <c r="AD4320" s="196">
        <f t="shared" si="1399"/>
        <v>1750</v>
      </c>
      <c r="AE4320" s="196">
        <f t="shared" si="1400"/>
        <v>0</v>
      </c>
      <c r="AF4320" s="2">
        <f t="shared" si="1401"/>
        <v>1750</v>
      </c>
      <c r="AG4320" s="2">
        <f t="shared" si="1402"/>
        <v>0</v>
      </c>
    </row>
    <row r="4321" spans="1:33">
      <c r="A4321" s="20" t="s">
        <v>25479</v>
      </c>
      <c r="B4321" s="150"/>
      <c r="C4321" s="21" t="s">
        <v>25507</v>
      </c>
      <c r="D4321" s="109" t="s">
        <v>5979</v>
      </c>
      <c r="E4321" s="109"/>
      <c r="F4321" s="391" t="s">
        <v>25509</v>
      </c>
      <c r="G4321" s="23" t="s">
        <v>13565</v>
      </c>
      <c r="H4321" s="23"/>
      <c r="I4321" s="23"/>
      <c r="J4321" s="23"/>
      <c r="K4321" s="23"/>
      <c r="L4321" s="375">
        <f>510+1610+1710</f>
        <v>3830</v>
      </c>
      <c r="M4321" s="351" t="s">
        <v>27523</v>
      </c>
      <c r="N4321" s="267">
        <f t="shared" ref="N4321" si="1419">SUM(L4321:M4321)</f>
        <v>3830</v>
      </c>
      <c r="O4321" s="268">
        <f t="shared" ref="O4321" si="1420">SUM(P4321:Z4321)</f>
        <v>6200</v>
      </c>
      <c r="P4321" s="239"/>
      <c r="Q4321" s="239"/>
      <c r="R4321" s="239"/>
      <c r="S4321" s="239"/>
      <c r="T4321" s="239"/>
      <c r="U4321" s="240"/>
      <c r="V4321" s="240">
        <f>4400-3600+7400-3600-100-3600+4400+4500-3600</f>
        <v>6200</v>
      </c>
      <c r="W4321" s="240"/>
      <c r="X4321" s="278"/>
      <c r="Y4321" s="237"/>
      <c r="Z4321" s="237"/>
      <c r="AA4321" s="279"/>
      <c r="AB4321" s="238" t="s">
        <v>27964</v>
      </c>
      <c r="AC4321" s="196">
        <f t="shared" si="1398"/>
        <v>6200</v>
      </c>
      <c r="AD4321" s="196">
        <f t="shared" si="1399"/>
        <v>6200</v>
      </c>
      <c r="AE4321" s="196">
        <f t="shared" si="1400"/>
        <v>0</v>
      </c>
      <c r="AF4321" s="2">
        <f t="shared" si="1401"/>
        <v>6200</v>
      </c>
      <c r="AG4321" s="2">
        <f t="shared" si="1402"/>
        <v>0</v>
      </c>
    </row>
    <row r="4322" spans="1:33">
      <c r="A4322" s="20" t="s">
        <v>25811</v>
      </c>
      <c r="B4322" s="150"/>
      <c r="C4322" s="21" t="s">
        <v>25693</v>
      </c>
      <c r="D4322" s="109" t="s">
        <v>3137</v>
      </c>
      <c r="E4322" s="109" t="s">
        <v>25694</v>
      </c>
      <c r="F4322" s="391" t="s">
        <v>25699</v>
      </c>
      <c r="G4322" s="23" t="s">
        <v>25695</v>
      </c>
      <c r="H4322" s="23"/>
      <c r="I4322" s="23"/>
      <c r="J4322" s="23"/>
      <c r="K4322" s="23"/>
      <c r="L4322" s="375" t="s">
        <v>45</v>
      </c>
      <c r="M4322" s="351"/>
      <c r="N4322" s="267">
        <f t="shared" ref="N4322" si="1421">SUM(L4322:M4322)</f>
        <v>0</v>
      </c>
      <c r="O4322" s="268">
        <f t="shared" ref="O4322" si="1422">SUM(P4322:Z4322)</f>
        <v>300</v>
      </c>
      <c r="P4322" s="239"/>
      <c r="Q4322" s="239"/>
      <c r="R4322" s="239"/>
      <c r="S4322" s="239"/>
      <c r="T4322" s="239"/>
      <c r="U4322" s="240">
        <f>400-100</f>
        <v>300</v>
      </c>
      <c r="V4322" s="240"/>
      <c r="W4322" s="240"/>
      <c r="X4322" s="278"/>
      <c r="Y4322" s="237"/>
      <c r="Z4322" s="237"/>
      <c r="AA4322" s="279"/>
      <c r="AB4322" s="238" t="s">
        <v>25698</v>
      </c>
      <c r="AC4322" s="196">
        <f t="shared" si="1398"/>
        <v>300</v>
      </c>
      <c r="AD4322" s="196">
        <f t="shared" si="1399"/>
        <v>300</v>
      </c>
      <c r="AE4322" s="196">
        <f t="shared" si="1400"/>
        <v>0</v>
      </c>
      <c r="AF4322" s="2">
        <f t="shared" si="1401"/>
        <v>300</v>
      </c>
      <c r="AG4322" s="2">
        <f t="shared" si="1402"/>
        <v>0</v>
      </c>
    </row>
    <row r="4323" spans="1:33">
      <c r="A4323" s="20" t="s">
        <v>25612</v>
      </c>
      <c r="B4323" s="150"/>
      <c r="C4323" s="21" t="s">
        <v>25646</v>
      </c>
      <c r="D4323" s="109" t="s">
        <v>3137</v>
      </c>
      <c r="E4323" s="109" t="s">
        <v>25647</v>
      </c>
      <c r="F4323" s="391" t="s">
        <v>25649</v>
      </c>
      <c r="G4323" s="23" t="s">
        <v>25648</v>
      </c>
      <c r="H4323" s="23"/>
      <c r="I4323" s="23"/>
      <c r="J4323" s="23"/>
      <c r="K4323" s="23"/>
      <c r="L4323" s="375"/>
      <c r="M4323" s="351"/>
      <c r="N4323" s="267">
        <f t="shared" ref="N4323:N4324" si="1423">SUM(L4323:M4323)</f>
        <v>0</v>
      </c>
      <c r="O4323" s="268">
        <f t="shared" ref="O4323:O4324" si="1424">SUM(P4323:Z4323)</f>
        <v>0</v>
      </c>
      <c r="P4323" s="239"/>
      <c r="Q4323" s="239"/>
      <c r="R4323" s="239"/>
      <c r="S4323" s="239"/>
      <c r="T4323" s="239"/>
      <c r="U4323" s="240"/>
      <c r="V4323" s="240"/>
      <c r="W4323" s="240"/>
      <c r="X4323" s="278"/>
      <c r="Y4323" s="237"/>
      <c r="Z4323" s="237"/>
      <c r="AA4323" s="279"/>
      <c r="AB4323" s="238"/>
      <c r="AC4323" s="196">
        <f t="shared" si="1398"/>
        <v>0</v>
      </c>
      <c r="AD4323" s="196">
        <f t="shared" si="1399"/>
        <v>0</v>
      </c>
      <c r="AE4323" s="196">
        <f t="shared" si="1400"/>
        <v>0</v>
      </c>
      <c r="AF4323" s="2">
        <f t="shared" si="1401"/>
        <v>0</v>
      </c>
      <c r="AG4323" s="2">
        <f t="shared" si="1402"/>
        <v>0</v>
      </c>
    </row>
    <row r="4324" spans="1:33">
      <c r="A4324" s="20" t="s">
        <v>25349</v>
      </c>
      <c r="B4324" s="150"/>
      <c r="C4324" s="21" t="s">
        <v>25426</v>
      </c>
      <c r="D4324" s="109" t="s">
        <v>5979</v>
      </c>
      <c r="E4324" s="109"/>
      <c r="F4324" s="391" t="s">
        <v>25428</v>
      </c>
      <c r="G4324" s="23" t="s">
        <v>25429</v>
      </c>
      <c r="H4324" s="23" t="s">
        <v>26926</v>
      </c>
      <c r="I4324" s="23"/>
      <c r="J4324" s="23"/>
      <c r="K4324" s="23"/>
      <c r="L4324" s="375">
        <v>4940</v>
      </c>
      <c r="M4324" s="351"/>
      <c r="N4324" s="267">
        <f t="shared" si="1423"/>
        <v>4940</v>
      </c>
      <c r="O4324" s="268">
        <f t="shared" si="1424"/>
        <v>7500</v>
      </c>
      <c r="P4324" s="239"/>
      <c r="Q4324" s="239"/>
      <c r="R4324" s="239"/>
      <c r="S4324" s="239"/>
      <c r="T4324" s="239"/>
      <c r="U4324" s="240"/>
      <c r="V4324" s="240">
        <f>4400-3600+3000-3600+3800+1400-3600+2300+1300+1400-3600+1800-3600+3500-3600+3500-3600+3100+1800+400-100+1100</f>
        <v>7500</v>
      </c>
      <c r="W4324" s="240"/>
      <c r="X4324" s="278"/>
      <c r="Y4324" s="237"/>
      <c r="Z4324" s="237"/>
      <c r="AA4324" s="279"/>
      <c r="AB4324" s="238" t="s">
        <v>28032</v>
      </c>
      <c r="AC4324" s="196">
        <f t="shared" si="1398"/>
        <v>7500</v>
      </c>
      <c r="AD4324" s="196">
        <f t="shared" si="1399"/>
        <v>7500</v>
      </c>
      <c r="AE4324" s="196">
        <f t="shared" si="1400"/>
        <v>0</v>
      </c>
      <c r="AF4324" s="2">
        <f t="shared" si="1401"/>
        <v>7500</v>
      </c>
      <c r="AG4324" s="2">
        <f t="shared" si="1402"/>
        <v>0</v>
      </c>
    </row>
    <row r="4325" spans="1:33">
      <c r="A4325" s="20" t="s">
        <v>25812</v>
      </c>
      <c r="B4325" s="150"/>
      <c r="C4325" s="21" t="s">
        <v>25757</v>
      </c>
      <c r="D4325" s="109" t="s">
        <v>3137</v>
      </c>
      <c r="E4325" s="109" t="s">
        <v>24312</v>
      </c>
      <c r="F4325" s="391" t="s">
        <v>25850</v>
      </c>
      <c r="G4325" s="23" t="s">
        <v>6133</v>
      </c>
      <c r="H4325" s="23" t="s">
        <v>25976</v>
      </c>
      <c r="I4325" s="23"/>
      <c r="J4325" s="23"/>
      <c r="K4325" s="23"/>
      <c r="L4325" s="375"/>
      <c r="M4325" s="351"/>
      <c r="N4325" s="267">
        <f t="shared" ref="N4325:N4326" si="1425">SUM(L4325:M4325)</f>
        <v>0</v>
      </c>
      <c r="O4325" s="268">
        <f t="shared" ref="O4325:O4326" si="1426">SUM(P4325:Z4325)</f>
        <v>900</v>
      </c>
      <c r="P4325" s="239"/>
      <c r="Q4325" s="239">
        <f>500-50+50-50-50-300</f>
        <v>100</v>
      </c>
      <c r="R4325" s="239"/>
      <c r="S4325" s="239"/>
      <c r="T4325" s="239">
        <f>1000-200</f>
        <v>800</v>
      </c>
      <c r="U4325" s="240"/>
      <c r="V4325" s="240"/>
      <c r="W4325" s="240"/>
      <c r="X4325" s="278"/>
      <c r="Y4325" s="237"/>
      <c r="Z4325" s="237"/>
      <c r="AA4325" s="279"/>
      <c r="AB4325" s="238" t="s">
        <v>26303</v>
      </c>
      <c r="AC4325" s="196">
        <f t="shared" si="1398"/>
        <v>900</v>
      </c>
      <c r="AD4325" s="196">
        <f t="shared" si="1399"/>
        <v>900</v>
      </c>
      <c r="AE4325" s="196">
        <f t="shared" si="1400"/>
        <v>0</v>
      </c>
      <c r="AF4325" s="2">
        <f t="shared" si="1401"/>
        <v>900</v>
      </c>
      <c r="AG4325" s="2">
        <f t="shared" si="1402"/>
        <v>0</v>
      </c>
    </row>
    <row r="4326" spans="1:33">
      <c r="A4326" s="20" t="s">
        <v>25480</v>
      </c>
      <c r="B4326" s="150"/>
      <c r="C4326" s="21" t="s">
        <v>25511</v>
      </c>
      <c r="D4326" s="109" t="s">
        <v>3137</v>
      </c>
      <c r="E4326" s="109"/>
      <c r="F4326" s="391" t="s">
        <v>25516</v>
      </c>
      <c r="G4326" s="23" t="s">
        <v>25515</v>
      </c>
      <c r="H4326" s="23"/>
      <c r="I4326" s="23"/>
      <c r="J4326" s="23"/>
      <c r="K4326" s="23"/>
      <c r="L4326" s="375" t="s">
        <v>27925</v>
      </c>
      <c r="M4326" s="351" t="s">
        <v>45</v>
      </c>
      <c r="N4326" s="267">
        <f t="shared" si="1425"/>
        <v>0</v>
      </c>
      <c r="O4326" s="268">
        <f t="shared" si="1426"/>
        <v>900</v>
      </c>
      <c r="P4326" s="239"/>
      <c r="Q4326" s="239">
        <f>2100-200-750-200+550-600</f>
        <v>900</v>
      </c>
      <c r="R4326" s="239"/>
      <c r="S4326" s="239"/>
      <c r="T4326" s="239"/>
      <c r="U4326" s="240"/>
      <c r="V4326" s="240"/>
      <c r="W4326" s="240"/>
      <c r="X4326" s="278"/>
      <c r="Y4326" s="237"/>
      <c r="Z4326" s="237"/>
      <c r="AA4326" s="279"/>
      <c r="AB4326" s="238" t="s">
        <v>27922</v>
      </c>
      <c r="AC4326" s="196">
        <f t="shared" si="1398"/>
        <v>900</v>
      </c>
      <c r="AD4326" s="196">
        <f t="shared" si="1399"/>
        <v>900</v>
      </c>
      <c r="AE4326" s="196">
        <f t="shared" si="1400"/>
        <v>0</v>
      </c>
      <c r="AF4326" s="2">
        <f t="shared" si="1401"/>
        <v>900</v>
      </c>
      <c r="AG4326" s="2">
        <f t="shared" si="1402"/>
        <v>0</v>
      </c>
    </row>
    <row r="4327" spans="1:33">
      <c r="A4327" s="20" t="s">
        <v>25437</v>
      </c>
      <c r="B4327" s="150"/>
      <c r="C4327" s="21" t="s">
        <v>25469</v>
      </c>
      <c r="D4327" s="109" t="s">
        <v>3137</v>
      </c>
      <c r="E4327" s="109"/>
      <c r="F4327" s="391" t="s">
        <v>25482</v>
      </c>
      <c r="G4327" s="23" t="s">
        <v>15071</v>
      </c>
      <c r="H4327" s="23"/>
      <c r="I4327" s="23"/>
      <c r="J4327" s="23"/>
      <c r="K4327" s="23"/>
      <c r="L4327" s="375" t="s">
        <v>27487</v>
      </c>
      <c r="M4327" s="351"/>
      <c r="N4327" s="267">
        <f t="shared" ref="N4327" si="1427">SUM(L4327:M4327)</f>
        <v>0</v>
      </c>
      <c r="O4327" s="268">
        <f t="shared" ref="O4327" si="1428">SUM(P4327:Z4327)</f>
        <v>250</v>
      </c>
      <c r="P4327" s="239"/>
      <c r="Q4327" s="239"/>
      <c r="R4327" s="239"/>
      <c r="S4327" s="239"/>
      <c r="T4327" s="239"/>
      <c r="U4327" s="240">
        <f>500-150-100</f>
        <v>250</v>
      </c>
      <c r="V4327" s="240"/>
      <c r="W4327" s="240"/>
      <c r="X4327" s="278"/>
      <c r="Y4327" s="237"/>
      <c r="Z4327" s="237"/>
      <c r="AA4327" s="279"/>
      <c r="AB4327" s="238" t="s">
        <v>27486</v>
      </c>
      <c r="AC4327" s="196">
        <f t="shared" si="1398"/>
        <v>250</v>
      </c>
      <c r="AD4327" s="196">
        <f t="shared" si="1399"/>
        <v>250</v>
      </c>
      <c r="AE4327" s="196">
        <f t="shared" si="1400"/>
        <v>0</v>
      </c>
      <c r="AF4327" s="2">
        <f t="shared" si="1401"/>
        <v>250</v>
      </c>
      <c r="AG4327" s="2">
        <f t="shared" si="1402"/>
        <v>0</v>
      </c>
    </row>
    <row r="4328" spans="1:33">
      <c r="A4328" s="20" t="s">
        <v>25520</v>
      </c>
      <c r="B4328" s="150"/>
      <c r="C4328" s="21" t="s">
        <v>25551</v>
      </c>
      <c r="D4328" s="109" t="s">
        <v>25564</v>
      </c>
      <c r="E4328" s="109"/>
      <c r="F4328" s="391" t="s">
        <v>25562</v>
      </c>
      <c r="G4328" s="23" t="s">
        <v>25553</v>
      </c>
      <c r="H4328" s="23"/>
      <c r="I4328" s="23"/>
      <c r="J4328" s="23"/>
      <c r="K4328" s="23"/>
      <c r="L4328" s="375" t="s">
        <v>45</v>
      </c>
      <c r="M4328" s="351" t="s">
        <v>45</v>
      </c>
      <c r="N4328" s="267">
        <f t="shared" ref="N4328:N4329" si="1429">SUM(L4328:M4328)</f>
        <v>0</v>
      </c>
      <c r="O4328" s="268">
        <f t="shared" ref="O4328:O4329" si="1430">SUM(P4328:Z4328)</f>
        <v>1400</v>
      </c>
      <c r="P4328" s="239"/>
      <c r="Q4328" s="239"/>
      <c r="R4328" s="239"/>
      <c r="S4328" s="239"/>
      <c r="T4328" s="239"/>
      <c r="U4328" s="240">
        <f>1900-300-300-200-100-100-100-200+1900-500-100-200-100-200</f>
        <v>1400</v>
      </c>
      <c r="V4328" s="240"/>
      <c r="W4328" s="240"/>
      <c r="X4328" s="278"/>
      <c r="Y4328" s="237"/>
      <c r="Z4328" s="237"/>
      <c r="AA4328" s="279"/>
      <c r="AB4328" s="238" t="s">
        <v>27007</v>
      </c>
      <c r="AC4328" s="196">
        <f t="shared" si="1398"/>
        <v>1400</v>
      </c>
      <c r="AD4328" s="196">
        <f t="shared" si="1399"/>
        <v>1400</v>
      </c>
      <c r="AE4328" s="196">
        <f t="shared" si="1400"/>
        <v>0</v>
      </c>
      <c r="AF4328" s="2">
        <f t="shared" si="1401"/>
        <v>1400</v>
      </c>
      <c r="AG4328" s="2">
        <f t="shared" si="1402"/>
        <v>0</v>
      </c>
    </row>
    <row r="4329" spans="1:33">
      <c r="A4329" s="20" t="s">
        <v>25521</v>
      </c>
      <c r="B4329" s="150"/>
      <c r="C4329" s="21" t="s">
        <v>25552</v>
      </c>
      <c r="D4329" s="109" t="s">
        <v>25564</v>
      </c>
      <c r="E4329" s="109"/>
      <c r="F4329" s="391" t="s">
        <v>25563</v>
      </c>
      <c r="G4329" s="23" t="s">
        <v>25553</v>
      </c>
      <c r="H4329" s="23"/>
      <c r="I4329" s="23"/>
      <c r="J4329" s="23"/>
      <c r="K4329" s="23"/>
      <c r="L4329" s="375" t="s">
        <v>45</v>
      </c>
      <c r="M4329" s="351"/>
      <c r="N4329" s="267">
        <f t="shared" si="1429"/>
        <v>0</v>
      </c>
      <c r="O4329" s="268">
        <f t="shared" si="1430"/>
        <v>1300</v>
      </c>
      <c r="P4329" s="239"/>
      <c r="Q4329" s="239"/>
      <c r="R4329" s="239"/>
      <c r="S4329" s="239"/>
      <c r="T4329" s="239"/>
      <c r="U4329" s="240">
        <f>300-200+1200-100-100-1000+1400+600-300-200-200-100</f>
        <v>1300</v>
      </c>
      <c r="V4329" s="240"/>
      <c r="W4329" s="240"/>
      <c r="X4329" s="278"/>
      <c r="Y4329" s="237"/>
      <c r="Z4329" s="237"/>
      <c r="AA4329" s="279"/>
      <c r="AB4329" s="238" t="s">
        <v>26099</v>
      </c>
      <c r="AC4329" s="196">
        <f t="shared" si="1398"/>
        <v>1300</v>
      </c>
      <c r="AD4329" s="196">
        <f t="shared" si="1399"/>
        <v>1300</v>
      </c>
      <c r="AE4329" s="196">
        <f t="shared" si="1400"/>
        <v>0</v>
      </c>
      <c r="AF4329" s="2">
        <f t="shared" si="1401"/>
        <v>1300</v>
      </c>
      <c r="AG4329" s="2">
        <f t="shared" si="1402"/>
        <v>0</v>
      </c>
    </row>
    <row r="4330" spans="1:33">
      <c r="A4330" s="20" t="s">
        <v>26734</v>
      </c>
      <c r="B4330" s="150"/>
      <c r="C4330" s="21" t="s">
        <v>26663</v>
      </c>
      <c r="D4330" s="109" t="s">
        <v>5979</v>
      </c>
      <c r="E4330" s="109"/>
      <c r="F4330" s="391" t="s">
        <v>26670</v>
      </c>
      <c r="G4330" s="23" t="s">
        <v>15443</v>
      </c>
      <c r="H4330" s="23"/>
      <c r="I4330" s="23"/>
      <c r="J4330" s="23"/>
      <c r="K4330" s="23"/>
      <c r="L4330" s="375" t="s">
        <v>27553</v>
      </c>
      <c r="M4330" s="351"/>
      <c r="N4330" s="267">
        <f t="shared" ref="N4330" si="1431">SUM(L4330:M4330)</f>
        <v>0</v>
      </c>
      <c r="O4330" s="268">
        <f t="shared" ref="O4330" si="1432">SUM(P4330:Z4330)</f>
        <v>0</v>
      </c>
      <c r="P4330" s="239"/>
      <c r="Q4330" s="239"/>
      <c r="R4330" s="239"/>
      <c r="S4330" s="239"/>
      <c r="T4330" s="239"/>
      <c r="U4330" s="240"/>
      <c r="V4330" s="240"/>
      <c r="W4330" s="240"/>
      <c r="X4330" s="278"/>
      <c r="Y4330" s="237"/>
      <c r="Z4330" s="237"/>
      <c r="AA4330" s="279"/>
      <c r="AB4330" s="238"/>
      <c r="AC4330" s="196">
        <f t="shared" si="1398"/>
        <v>0</v>
      </c>
      <c r="AD4330" s="196">
        <f t="shared" si="1399"/>
        <v>0</v>
      </c>
      <c r="AE4330" s="196">
        <f t="shared" si="1400"/>
        <v>0</v>
      </c>
      <c r="AF4330" s="2">
        <f t="shared" si="1401"/>
        <v>0</v>
      </c>
      <c r="AG4330" s="2">
        <f t="shared" si="1402"/>
        <v>0</v>
      </c>
    </row>
    <row r="4331" spans="1:33">
      <c r="A4331" s="20" t="s">
        <v>26737</v>
      </c>
      <c r="B4331" s="150"/>
      <c r="C4331" s="21" t="s">
        <v>26663</v>
      </c>
      <c r="D4331" s="109" t="s">
        <v>5979</v>
      </c>
      <c r="E4331" s="109" t="s">
        <v>26669</v>
      </c>
      <c r="F4331" s="391" t="s">
        <v>26671</v>
      </c>
      <c r="G4331" s="23" t="s">
        <v>23449</v>
      </c>
      <c r="H4331" s="23"/>
      <c r="I4331" s="23"/>
      <c r="J4331" s="23"/>
      <c r="K4331" s="23"/>
      <c r="L4331" s="375" t="s">
        <v>27799</v>
      </c>
      <c r="M4331" s="351"/>
      <c r="N4331" s="267">
        <f t="shared" ref="N4331" si="1433">SUM(L4331:M4331)</f>
        <v>0</v>
      </c>
      <c r="O4331" s="268">
        <f t="shared" ref="O4331" si="1434">SUM(P4331:Z4331)</f>
        <v>2550</v>
      </c>
      <c r="P4331" s="239"/>
      <c r="Q4331" s="239"/>
      <c r="R4331" s="239"/>
      <c r="S4331" s="239"/>
      <c r="T4331" s="239"/>
      <c r="U4331" s="240">
        <f>3950-1450-1550-750+6100-2500+2550+4450-3000-7000+2850-3000+7100+2450+2850-3000-1500-3000-3000</f>
        <v>2550</v>
      </c>
      <c r="V4331" s="240"/>
      <c r="W4331" s="240"/>
      <c r="X4331" s="278"/>
      <c r="Y4331" s="237"/>
      <c r="Z4331" s="237"/>
      <c r="AA4331" s="279"/>
      <c r="AB4331" s="238" t="s">
        <v>27731</v>
      </c>
      <c r="AC4331" s="196">
        <f t="shared" si="1398"/>
        <v>2550</v>
      </c>
      <c r="AD4331" s="196">
        <f t="shared" si="1399"/>
        <v>2550</v>
      </c>
      <c r="AE4331" s="196">
        <f t="shared" si="1400"/>
        <v>0</v>
      </c>
      <c r="AF4331" s="2">
        <f t="shared" si="1401"/>
        <v>2550</v>
      </c>
      <c r="AG4331" s="2">
        <f t="shared" si="1402"/>
        <v>0</v>
      </c>
    </row>
    <row r="4332" spans="1:33">
      <c r="A4332" s="20" t="s">
        <v>25523</v>
      </c>
      <c r="B4332" s="150"/>
      <c r="C4332" s="21" t="s">
        <v>25577</v>
      </c>
      <c r="D4332" s="109" t="s">
        <v>3137</v>
      </c>
      <c r="E4332" s="109"/>
      <c r="F4332" s="391" t="s">
        <v>25578</v>
      </c>
      <c r="G4332" s="23" t="s">
        <v>6133</v>
      </c>
      <c r="H4332" s="23" t="s">
        <v>26233</v>
      </c>
      <c r="I4332" s="23" t="s">
        <v>27447</v>
      </c>
      <c r="J4332" s="23"/>
      <c r="K4332" s="23"/>
      <c r="L4332" s="375" t="s">
        <v>27989</v>
      </c>
      <c r="M4332" s="351"/>
      <c r="N4332" s="267">
        <f t="shared" ref="N4332" si="1435">SUM(L4332:M4332)</f>
        <v>0</v>
      </c>
      <c r="O4332" s="268">
        <f t="shared" ref="O4332" si="1436">SUM(P4332:Z4332)</f>
        <v>7950</v>
      </c>
      <c r="P4332" s="239"/>
      <c r="Q4332" s="239">
        <f>4400-4200-100+4200-1000-1000+400-750-350+5550-300+1600-500</f>
        <v>7950</v>
      </c>
      <c r="R4332" s="239"/>
      <c r="S4332" s="239"/>
      <c r="T4332" s="239"/>
      <c r="U4332" s="240"/>
      <c r="V4332" s="240"/>
      <c r="W4332" s="240"/>
      <c r="X4332" s="278"/>
      <c r="Y4332" s="237"/>
      <c r="Z4332" s="237"/>
      <c r="AA4332" s="279"/>
      <c r="AB4332" s="238" t="s">
        <v>28000</v>
      </c>
      <c r="AC4332" s="196">
        <f t="shared" si="1398"/>
        <v>7950</v>
      </c>
      <c r="AD4332" s="196">
        <f t="shared" si="1399"/>
        <v>7950</v>
      </c>
      <c r="AE4332" s="196">
        <f t="shared" si="1400"/>
        <v>0</v>
      </c>
      <c r="AF4332" s="2">
        <f t="shared" si="1401"/>
        <v>7950</v>
      </c>
      <c r="AG4332" s="2">
        <f t="shared" si="1402"/>
        <v>0</v>
      </c>
    </row>
    <row r="4333" spans="1:33">
      <c r="A4333" s="20" t="s">
        <v>26110</v>
      </c>
      <c r="B4333" s="150"/>
      <c r="C4333" s="21" t="s">
        <v>26031</v>
      </c>
      <c r="D4333" s="109" t="s">
        <v>26033</v>
      </c>
      <c r="E4333" s="109"/>
      <c r="F4333" s="391" t="s">
        <v>26035</v>
      </c>
      <c r="G4333" s="23" t="s">
        <v>26036</v>
      </c>
      <c r="H4333" s="23"/>
      <c r="I4333" s="23"/>
      <c r="J4333" s="23"/>
      <c r="K4333" s="23"/>
      <c r="L4333" s="375" t="s">
        <v>7787</v>
      </c>
      <c r="M4333" s="351"/>
      <c r="N4333" s="267">
        <f t="shared" ref="N4333:N4334" si="1437">SUM(L4333:M4333)</f>
        <v>0</v>
      </c>
      <c r="O4333" s="268">
        <f t="shared" ref="O4333:O4334" si="1438">SUM(P4333:Z4333)</f>
        <v>25</v>
      </c>
      <c r="P4333" s="239"/>
      <c r="Q4333" s="239"/>
      <c r="R4333" s="239"/>
      <c r="S4333" s="239"/>
      <c r="T4333" s="239"/>
      <c r="U4333" s="240">
        <f>450+75-500</f>
        <v>25</v>
      </c>
      <c r="V4333" s="240"/>
      <c r="W4333" s="240"/>
      <c r="X4333" s="278"/>
      <c r="Y4333" s="237"/>
      <c r="Z4333" s="237"/>
      <c r="AA4333" s="279"/>
      <c r="AB4333" s="238" t="s">
        <v>26029</v>
      </c>
      <c r="AC4333" s="196">
        <f t="shared" si="1398"/>
        <v>25</v>
      </c>
      <c r="AD4333" s="196">
        <f t="shared" si="1399"/>
        <v>25</v>
      </c>
      <c r="AE4333" s="196">
        <f t="shared" si="1400"/>
        <v>0</v>
      </c>
      <c r="AF4333" s="2">
        <f t="shared" si="1401"/>
        <v>25</v>
      </c>
      <c r="AG4333" s="2">
        <f t="shared" si="1402"/>
        <v>0</v>
      </c>
    </row>
    <row r="4334" spans="1:33">
      <c r="A4334" s="20" t="s">
        <v>26111</v>
      </c>
      <c r="B4334" s="150"/>
      <c r="C4334" s="21" t="s">
        <v>26032</v>
      </c>
      <c r="D4334" s="109" t="s">
        <v>26033</v>
      </c>
      <c r="E4334" s="109" t="s">
        <v>26034</v>
      </c>
      <c r="F4334" s="391" t="s">
        <v>26035</v>
      </c>
      <c r="G4334" s="23" t="s">
        <v>26036</v>
      </c>
      <c r="H4334" s="23"/>
      <c r="I4334" s="23"/>
      <c r="J4334" s="23"/>
      <c r="K4334" s="23"/>
      <c r="L4334" s="375" t="s">
        <v>7787</v>
      </c>
      <c r="M4334" s="351"/>
      <c r="N4334" s="267">
        <f t="shared" si="1437"/>
        <v>0</v>
      </c>
      <c r="O4334" s="268">
        <f t="shared" si="1438"/>
        <v>50</v>
      </c>
      <c r="P4334" s="239"/>
      <c r="Q4334" s="239"/>
      <c r="R4334" s="239"/>
      <c r="S4334" s="239"/>
      <c r="T4334" s="239"/>
      <c r="U4334" s="240">
        <f>550-500</f>
        <v>50</v>
      </c>
      <c r="V4334" s="240"/>
      <c r="W4334" s="240"/>
      <c r="X4334" s="278"/>
      <c r="Y4334" s="237"/>
      <c r="Z4334" s="237"/>
      <c r="AA4334" s="279"/>
      <c r="AB4334" s="238" t="s">
        <v>26029</v>
      </c>
      <c r="AC4334" s="196">
        <f t="shared" si="1398"/>
        <v>50</v>
      </c>
      <c r="AD4334" s="196">
        <f t="shared" si="1399"/>
        <v>50</v>
      </c>
      <c r="AE4334" s="196">
        <f t="shared" si="1400"/>
        <v>0</v>
      </c>
      <c r="AF4334" s="2">
        <f t="shared" si="1401"/>
        <v>50</v>
      </c>
      <c r="AG4334" s="2">
        <f t="shared" si="1402"/>
        <v>0</v>
      </c>
    </row>
    <row r="4335" spans="1:33">
      <c r="A4335" s="20" t="s">
        <v>25943</v>
      </c>
      <c r="B4335" s="150"/>
      <c r="C4335" s="21" t="s">
        <v>25993</v>
      </c>
      <c r="D4335" s="109" t="s">
        <v>3137</v>
      </c>
      <c r="E4335" s="109" t="s">
        <v>25879</v>
      </c>
      <c r="F4335" s="391" t="s">
        <v>26006</v>
      </c>
      <c r="G4335" s="23" t="s">
        <v>14332</v>
      </c>
      <c r="H4335" s="23"/>
      <c r="I4335" s="23"/>
      <c r="J4335" s="23"/>
      <c r="K4335" s="23"/>
      <c r="L4335" s="375" t="s">
        <v>45</v>
      </c>
      <c r="M4335" s="351" t="s">
        <v>45</v>
      </c>
      <c r="N4335" s="267">
        <f t="shared" ref="N4335:N4336" si="1439">SUM(L4335:M4335)</f>
        <v>0</v>
      </c>
      <c r="O4335" s="268">
        <f t="shared" ref="O4335:O4336" si="1440">SUM(P4335:Z4335)</f>
        <v>200</v>
      </c>
      <c r="P4335" s="239"/>
      <c r="Q4335" s="239"/>
      <c r="R4335" s="239"/>
      <c r="S4335" s="239"/>
      <c r="T4335" s="239"/>
      <c r="U4335" s="240">
        <f>700-500</f>
        <v>200</v>
      </c>
      <c r="V4335" s="240"/>
      <c r="W4335" s="240"/>
      <c r="X4335" s="278"/>
      <c r="Y4335" s="237"/>
      <c r="Z4335" s="237"/>
      <c r="AA4335" s="279"/>
      <c r="AB4335" s="238" t="s">
        <v>26005</v>
      </c>
      <c r="AC4335" s="196">
        <f t="shared" si="1398"/>
        <v>200</v>
      </c>
      <c r="AD4335" s="196">
        <f t="shared" si="1399"/>
        <v>200</v>
      </c>
      <c r="AE4335" s="196">
        <f t="shared" si="1400"/>
        <v>0</v>
      </c>
      <c r="AF4335" s="2">
        <f t="shared" si="1401"/>
        <v>200</v>
      </c>
      <c r="AG4335" s="2">
        <f t="shared" si="1402"/>
        <v>0</v>
      </c>
    </row>
    <row r="4336" spans="1:33">
      <c r="A4336" s="20" t="s">
        <v>25944</v>
      </c>
      <c r="B4336" s="150"/>
      <c r="C4336" s="21" t="s">
        <v>25994</v>
      </c>
      <c r="D4336" s="109" t="s">
        <v>3137</v>
      </c>
      <c r="E4336" s="109" t="s">
        <v>25879</v>
      </c>
      <c r="F4336" s="391" t="s">
        <v>26007</v>
      </c>
      <c r="G4336" s="23" t="s">
        <v>14332</v>
      </c>
      <c r="H4336" s="23"/>
      <c r="I4336" s="23"/>
      <c r="J4336" s="23"/>
      <c r="K4336" s="23"/>
      <c r="L4336" s="375" t="s">
        <v>45</v>
      </c>
      <c r="M4336" s="351" t="s">
        <v>45</v>
      </c>
      <c r="N4336" s="267">
        <f t="shared" si="1439"/>
        <v>0</v>
      </c>
      <c r="O4336" s="268">
        <f t="shared" si="1440"/>
        <v>250</v>
      </c>
      <c r="P4336" s="239"/>
      <c r="Q4336" s="239"/>
      <c r="R4336" s="239"/>
      <c r="S4336" s="239"/>
      <c r="T4336" s="239"/>
      <c r="U4336" s="240">
        <f>700-500+450-500+100</f>
        <v>250</v>
      </c>
      <c r="V4336" s="240"/>
      <c r="W4336" s="240"/>
      <c r="X4336" s="278"/>
      <c r="Y4336" s="237"/>
      <c r="Z4336" s="237"/>
      <c r="AA4336" s="279"/>
      <c r="AB4336" s="238" t="s">
        <v>26975</v>
      </c>
      <c r="AC4336" s="196">
        <f t="shared" si="1398"/>
        <v>250</v>
      </c>
      <c r="AD4336" s="196">
        <f t="shared" si="1399"/>
        <v>250</v>
      </c>
      <c r="AE4336" s="196">
        <f t="shared" si="1400"/>
        <v>0</v>
      </c>
      <c r="AF4336" s="2">
        <f t="shared" si="1401"/>
        <v>250</v>
      </c>
      <c r="AG4336" s="2">
        <f t="shared" si="1402"/>
        <v>0</v>
      </c>
    </row>
    <row r="4337" spans="1:33">
      <c r="A4337" s="20" t="s">
        <v>25606</v>
      </c>
      <c r="B4337" s="150"/>
      <c r="C4337" s="21" t="s">
        <v>25600</v>
      </c>
      <c r="D4337" s="109" t="s">
        <v>5979</v>
      </c>
      <c r="E4337" s="109"/>
      <c r="F4337" s="391" t="s">
        <v>25637</v>
      </c>
      <c r="G4337" s="23" t="s">
        <v>13565</v>
      </c>
      <c r="H4337" s="23"/>
      <c r="I4337" s="23"/>
      <c r="J4337" s="23"/>
      <c r="K4337" s="23"/>
      <c r="L4337" s="375" t="s">
        <v>27931</v>
      </c>
      <c r="M4337" s="351" t="s">
        <v>27951</v>
      </c>
      <c r="N4337" s="267">
        <f t="shared" ref="N4337" si="1441">SUM(L4337:M4337)</f>
        <v>0</v>
      </c>
      <c r="O4337" s="268">
        <f t="shared" ref="O4337" si="1442">SUM(P4337:Z4337)</f>
        <v>200</v>
      </c>
      <c r="P4337" s="239"/>
      <c r="Q4337" s="239"/>
      <c r="R4337" s="239"/>
      <c r="S4337" s="239"/>
      <c r="T4337" s="239"/>
      <c r="U4337" s="240"/>
      <c r="V4337" s="240">
        <f>2100+5400+1000-3600-3600+2800-3600-400+2000+4200+2400-3600+2200-3600+2800+900-3600-3600+2800+2100-3600-1300</f>
        <v>200</v>
      </c>
      <c r="W4337" s="240"/>
      <c r="X4337" s="278"/>
      <c r="Y4337" s="237"/>
      <c r="Z4337" s="237"/>
      <c r="AA4337" s="279"/>
      <c r="AB4337" s="238" t="s">
        <v>27946</v>
      </c>
      <c r="AC4337" s="196">
        <f t="shared" si="1398"/>
        <v>200</v>
      </c>
      <c r="AD4337" s="196">
        <f t="shared" si="1399"/>
        <v>200</v>
      </c>
      <c r="AE4337" s="196">
        <f t="shared" si="1400"/>
        <v>0</v>
      </c>
      <c r="AF4337" s="2">
        <f t="shared" si="1401"/>
        <v>200</v>
      </c>
      <c r="AG4337" s="2">
        <f t="shared" si="1402"/>
        <v>0</v>
      </c>
    </row>
    <row r="4338" spans="1:33">
      <c r="A4338" s="20" t="s">
        <v>26109</v>
      </c>
      <c r="B4338" s="150"/>
      <c r="C4338" s="21" t="s">
        <v>26171</v>
      </c>
      <c r="D4338" s="109" t="s">
        <v>3137</v>
      </c>
      <c r="E4338" s="109"/>
      <c r="F4338" s="391" t="s">
        <v>26178</v>
      </c>
      <c r="G4338" s="23" t="s">
        <v>26188</v>
      </c>
      <c r="H4338" s="23"/>
      <c r="I4338" s="23"/>
      <c r="J4338" s="23"/>
      <c r="K4338" s="23"/>
      <c r="L4338" s="375"/>
      <c r="M4338" s="351" t="s">
        <v>45</v>
      </c>
      <c r="N4338" s="267">
        <f t="shared" ref="N4338" si="1443">SUM(L4338:M4338)</f>
        <v>0</v>
      </c>
      <c r="O4338" s="268">
        <f t="shared" ref="O4338" si="1444">SUM(P4338:Z4338)</f>
        <v>700</v>
      </c>
      <c r="P4338" s="239"/>
      <c r="Q4338" s="239">
        <f>1200-500</f>
        <v>700</v>
      </c>
      <c r="R4338" s="239"/>
      <c r="S4338" s="239"/>
      <c r="T4338" s="239"/>
      <c r="U4338" s="240"/>
      <c r="V4338" s="240"/>
      <c r="W4338" s="240"/>
      <c r="X4338" s="278"/>
      <c r="Y4338" s="237"/>
      <c r="Z4338" s="237"/>
      <c r="AA4338" s="279"/>
      <c r="AB4338" s="238" t="s">
        <v>26179</v>
      </c>
      <c r="AC4338" s="196">
        <f t="shared" si="1398"/>
        <v>700</v>
      </c>
      <c r="AD4338" s="196">
        <f t="shared" si="1399"/>
        <v>700</v>
      </c>
      <c r="AE4338" s="196">
        <f t="shared" si="1400"/>
        <v>0</v>
      </c>
      <c r="AF4338" s="2">
        <f t="shared" si="1401"/>
        <v>700</v>
      </c>
      <c r="AG4338" s="2">
        <f t="shared" si="1402"/>
        <v>0</v>
      </c>
    </row>
    <row r="4339" spans="1:33">
      <c r="A4339" s="20" t="s">
        <v>25607</v>
      </c>
      <c r="B4339" s="150"/>
      <c r="C4339" s="21" t="s">
        <v>25592</v>
      </c>
      <c r="D4339" s="109" t="s">
        <v>7761</v>
      </c>
      <c r="E4339" s="109"/>
      <c r="F4339" s="391" t="s">
        <v>25593</v>
      </c>
      <c r="G4339" s="23" t="s">
        <v>25597</v>
      </c>
      <c r="H4339" s="23" t="s">
        <v>25697</v>
      </c>
      <c r="I4339" s="23"/>
      <c r="J4339" s="23"/>
      <c r="K4339" s="23"/>
      <c r="L4339" s="375" t="s">
        <v>45</v>
      </c>
      <c r="M4339" s="351"/>
      <c r="N4339" s="267">
        <f t="shared" ref="N4339" si="1445">SUM(L4339:M4339)</f>
        <v>0</v>
      </c>
      <c r="O4339" s="268">
        <f t="shared" ref="O4339" si="1446">SUM(P4339:Z4339)</f>
        <v>700</v>
      </c>
      <c r="P4339" s="239"/>
      <c r="Q4339" s="239"/>
      <c r="R4339" s="239"/>
      <c r="S4339" s="239"/>
      <c r="T4339" s="239"/>
      <c r="U4339" s="240">
        <f>1000-300</f>
        <v>700</v>
      </c>
      <c r="V4339" s="240"/>
      <c r="W4339" s="240"/>
      <c r="X4339" s="278"/>
      <c r="Y4339" s="237"/>
      <c r="Z4339" s="237"/>
      <c r="AA4339" s="279"/>
      <c r="AB4339" s="238" t="s">
        <v>25698</v>
      </c>
      <c r="AC4339" s="196">
        <f t="shared" si="1398"/>
        <v>700</v>
      </c>
      <c r="AD4339" s="196">
        <f t="shared" si="1399"/>
        <v>700</v>
      </c>
      <c r="AE4339" s="196">
        <f t="shared" si="1400"/>
        <v>0</v>
      </c>
      <c r="AF4339" s="2">
        <f t="shared" si="1401"/>
        <v>700</v>
      </c>
      <c r="AG4339" s="2">
        <f t="shared" si="1402"/>
        <v>0</v>
      </c>
    </row>
    <row r="4340" spans="1:33">
      <c r="A4340" s="20" t="s">
        <v>25608</v>
      </c>
      <c r="B4340" s="150"/>
      <c r="C4340" s="21" t="s">
        <v>25640</v>
      </c>
      <c r="D4340" s="109" t="s">
        <v>3137</v>
      </c>
      <c r="E4340" s="109"/>
      <c r="F4340" s="391" t="s">
        <v>25651</v>
      </c>
      <c r="G4340" s="23" t="s">
        <v>6133</v>
      </c>
      <c r="H4340" s="23"/>
      <c r="I4340" s="23"/>
      <c r="J4340" s="23"/>
      <c r="K4340" s="23"/>
      <c r="L4340" s="375" t="s">
        <v>45</v>
      </c>
      <c r="M4340" s="351" t="s">
        <v>45</v>
      </c>
      <c r="N4340" s="267">
        <f t="shared" ref="N4340" si="1447">SUM(L4340:M4340)</f>
        <v>0</v>
      </c>
      <c r="O4340" s="268">
        <f t="shared" ref="O4340" si="1448">SUM(P4340:Z4340)</f>
        <v>600</v>
      </c>
      <c r="P4340" s="239"/>
      <c r="Q4340" s="239">
        <f>550-500+550</f>
        <v>600</v>
      </c>
      <c r="R4340" s="239"/>
      <c r="S4340" s="239"/>
      <c r="T4340" s="239"/>
      <c r="U4340" s="240"/>
      <c r="V4340" s="240"/>
      <c r="W4340" s="240"/>
      <c r="X4340" s="278"/>
      <c r="Y4340" s="237"/>
      <c r="Z4340" s="237"/>
      <c r="AA4340" s="279"/>
      <c r="AB4340" s="238" t="s">
        <v>25655</v>
      </c>
      <c r="AC4340" s="196">
        <f t="shared" si="1398"/>
        <v>600</v>
      </c>
      <c r="AD4340" s="196">
        <f t="shared" si="1399"/>
        <v>600</v>
      </c>
      <c r="AE4340" s="196">
        <f t="shared" si="1400"/>
        <v>0</v>
      </c>
      <c r="AF4340" s="2">
        <f t="shared" si="1401"/>
        <v>600</v>
      </c>
      <c r="AG4340" s="2">
        <f t="shared" si="1402"/>
        <v>0</v>
      </c>
    </row>
    <row r="4341" spans="1:33">
      <c r="A4341" s="20" t="s">
        <v>25618</v>
      </c>
      <c r="B4341" s="150"/>
      <c r="C4341" s="21" t="s">
        <v>25756</v>
      </c>
      <c r="D4341" s="109" t="s">
        <v>3137</v>
      </c>
      <c r="E4341" s="109"/>
      <c r="F4341" s="391" t="s">
        <v>25789</v>
      </c>
      <c r="G4341" s="23" t="s">
        <v>25775</v>
      </c>
      <c r="H4341" s="23" t="s">
        <v>25934</v>
      </c>
      <c r="I4341" s="23" t="s">
        <v>26137</v>
      </c>
      <c r="J4341" s="23"/>
      <c r="K4341" s="23"/>
      <c r="L4341" s="375" t="s">
        <v>45</v>
      </c>
      <c r="M4341" s="351" t="s">
        <v>45</v>
      </c>
      <c r="N4341" s="267">
        <f t="shared" ref="N4341" si="1449">SUM(L4341:M4341)</f>
        <v>0</v>
      </c>
      <c r="O4341" s="268">
        <f t="shared" ref="O4341" si="1450">SUM(P4341:Z4341)</f>
        <v>0</v>
      </c>
      <c r="P4341" s="239"/>
      <c r="Q4341" s="239"/>
      <c r="R4341" s="239"/>
      <c r="S4341" s="239"/>
      <c r="T4341" s="239"/>
      <c r="U4341" s="240"/>
      <c r="V4341" s="240"/>
      <c r="W4341" s="240"/>
      <c r="X4341" s="278"/>
      <c r="Y4341" s="237"/>
      <c r="Z4341" s="237"/>
      <c r="AA4341" s="279"/>
      <c r="AB4341" s="238"/>
      <c r="AC4341" s="196">
        <f t="shared" si="1398"/>
        <v>0</v>
      </c>
      <c r="AD4341" s="196">
        <f t="shared" si="1399"/>
        <v>0</v>
      </c>
      <c r="AE4341" s="196">
        <f t="shared" si="1400"/>
        <v>0</v>
      </c>
      <c r="AF4341" s="2">
        <f t="shared" si="1401"/>
        <v>0</v>
      </c>
      <c r="AG4341" s="2">
        <f t="shared" si="1402"/>
        <v>0</v>
      </c>
    </row>
    <row r="4342" spans="1:33">
      <c r="A4342" s="20" t="s">
        <v>25613</v>
      </c>
      <c r="B4342" s="150"/>
      <c r="C4342" s="21" t="s">
        <v>25671</v>
      </c>
      <c r="D4342" s="109" t="s">
        <v>3137</v>
      </c>
      <c r="E4342" s="109"/>
      <c r="F4342" s="391" t="s">
        <v>25677</v>
      </c>
      <c r="G4342" s="23" t="s">
        <v>17522</v>
      </c>
      <c r="H4342" s="23"/>
      <c r="I4342" s="23"/>
      <c r="J4342" s="23"/>
      <c r="K4342" s="23"/>
      <c r="L4342" s="375" t="s">
        <v>45</v>
      </c>
      <c r="M4342" s="351" t="s">
        <v>45</v>
      </c>
      <c r="N4342" s="267">
        <f t="shared" ref="N4342" si="1451">SUM(L4342:M4342)</f>
        <v>0</v>
      </c>
      <c r="O4342" s="268">
        <f t="shared" ref="O4342" si="1452">SUM(P4342:Z4342)</f>
        <v>950</v>
      </c>
      <c r="P4342" s="239"/>
      <c r="Q4342" s="239">
        <f>2450-2000+250+900+950-600-1000</f>
        <v>950</v>
      </c>
      <c r="R4342" s="239"/>
      <c r="S4342" s="239"/>
      <c r="T4342" s="239"/>
      <c r="U4342" s="240"/>
      <c r="V4342" s="240"/>
      <c r="W4342" s="240"/>
      <c r="X4342" s="278"/>
      <c r="Y4342" s="237"/>
      <c r="Z4342" s="237"/>
      <c r="AA4342" s="279"/>
      <c r="AB4342" s="238" t="s">
        <v>26092</v>
      </c>
      <c r="AC4342" s="196">
        <f t="shared" si="1398"/>
        <v>950</v>
      </c>
      <c r="AD4342" s="196">
        <f t="shared" si="1399"/>
        <v>950</v>
      </c>
      <c r="AE4342" s="196">
        <f t="shared" si="1400"/>
        <v>0</v>
      </c>
      <c r="AF4342" s="2">
        <f t="shared" si="1401"/>
        <v>950</v>
      </c>
      <c r="AG4342" s="2">
        <f t="shared" si="1402"/>
        <v>0</v>
      </c>
    </row>
    <row r="4343" spans="1:33">
      <c r="A4343" s="20" t="s">
        <v>25817</v>
      </c>
      <c r="B4343" s="150"/>
      <c r="C4343" s="21" t="s">
        <v>25877</v>
      </c>
      <c r="D4343" s="109" t="s">
        <v>5979</v>
      </c>
      <c r="E4343" s="109" t="s">
        <v>25879</v>
      </c>
      <c r="F4343" s="391" t="s">
        <v>25921</v>
      </c>
      <c r="G4343" s="23" t="s">
        <v>15443</v>
      </c>
      <c r="H4343" s="23"/>
      <c r="I4343" s="23"/>
      <c r="J4343" s="23"/>
      <c r="K4343" s="23"/>
      <c r="L4343" s="375" t="s">
        <v>45</v>
      </c>
      <c r="M4343" s="351"/>
      <c r="N4343" s="267">
        <f t="shared" ref="N4343" si="1453">SUM(L4343:M4343)</f>
        <v>0</v>
      </c>
      <c r="O4343" s="268">
        <f t="shared" ref="O4343" si="1454">SUM(P4343:Z4343)</f>
        <v>300</v>
      </c>
      <c r="P4343" s="239"/>
      <c r="Q4343" s="239"/>
      <c r="R4343" s="239"/>
      <c r="S4343" s="239"/>
      <c r="T4343" s="239"/>
      <c r="U4343" s="240"/>
      <c r="V4343" s="240">
        <f>500-300+400-300</f>
        <v>300</v>
      </c>
      <c r="W4343" s="240"/>
      <c r="X4343" s="278"/>
      <c r="Y4343" s="237"/>
      <c r="Z4343" s="237"/>
      <c r="AA4343" s="279"/>
      <c r="AB4343" s="238" t="s">
        <v>26310</v>
      </c>
      <c r="AC4343" s="196">
        <f t="shared" si="1398"/>
        <v>300</v>
      </c>
      <c r="AD4343" s="196">
        <f t="shared" si="1399"/>
        <v>300</v>
      </c>
      <c r="AE4343" s="196">
        <f t="shared" si="1400"/>
        <v>0</v>
      </c>
      <c r="AF4343" s="2">
        <f t="shared" si="1401"/>
        <v>300</v>
      </c>
      <c r="AG4343" s="2">
        <f t="shared" si="1402"/>
        <v>0</v>
      </c>
    </row>
    <row r="4344" spans="1:33">
      <c r="A4344" s="20" t="s">
        <v>26107</v>
      </c>
      <c r="B4344" s="150"/>
      <c r="C4344" s="21" t="s">
        <v>27172</v>
      </c>
      <c r="D4344" s="109" t="s">
        <v>3137</v>
      </c>
      <c r="E4344" s="109" t="s">
        <v>26147</v>
      </c>
      <c r="F4344" s="391" t="s">
        <v>26154</v>
      </c>
      <c r="G4344" s="23" t="s">
        <v>13301</v>
      </c>
      <c r="H4344" s="23" t="s">
        <v>26190</v>
      </c>
      <c r="I4344" s="23" t="s">
        <v>26534</v>
      </c>
      <c r="J4344" s="23" t="s">
        <v>27018</v>
      </c>
      <c r="K4344" s="23"/>
      <c r="L4344" s="375" t="s">
        <v>27930</v>
      </c>
      <c r="M4344" s="351"/>
      <c r="N4344" s="267">
        <f t="shared" ref="N4344" si="1455">SUM(L4344:M4344)</f>
        <v>0</v>
      </c>
      <c r="O4344" s="268">
        <f t="shared" ref="O4344" si="1456">SUM(P4344:Z4344)</f>
        <v>1350</v>
      </c>
      <c r="P4344" s="239"/>
      <c r="Q4344" s="240">
        <f>1500-150-50-50-400+1450+1050-2000</f>
        <v>1350</v>
      </c>
      <c r="R4344" s="239"/>
      <c r="S4344" s="239"/>
      <c r="T4344" s="239"/>
      <c r="U4344" s="240"/>
      <c r="V4344" s="240"/>
      <c r="W4344" s="240"/>
      <c r="X4344" s="278"/>
      <c r="Y4344" s="237"/>
      <c r="Z4344" s="237"/>
      <c r="AA4344" s="279"/>
      <c r="AB4344" s="238" t="s">
        <v>27905</v>
      </c>
      <c r="AC4344" s="196">
        <f t="shared" si="1398"/>
        <v>1350</v>
      </c>
      <c r="AD4344" s="196">
        <f t="shared" si="1399"/>
        <v>1350</v>
      </c>
      <c r="AE4344" s="196">
        <f t="shared" si="1400"/>
        <v>0</v>
      </c>
      <c r="AF4344" s="2">
        <f t="shared" si="1401"/>
        <v>1350</v>
      </c>
      <c r="AG4344" s="2">
        <f t="shared" si="1402"/>
        <v>0</v>
      </c>
    </row>
    <row r="4345" spans="1:33">
      <c r="A4345" s="20" t="s">
        <v>25610</v>
      </c>
      <c r="B4345" s="150"/>
      <c r="C4345" s="21" t="s">
        <v>25669</v>
      </c>
      <c r="D4345" s="109" t="s">
        <v>3137</v>
      </c>
      <c r="E4345" s="109"/>
      <c r="F4345" s="391" t="s">
        <v>25676</v>
      </c>
      <c r="G4345" s="23" t="s">
        <v>16291</v>
      </c>
      <c r="H4345" s="23"/>
      <c r="I4345" s="23"/>
      <c r="J4345" s="23"/>
      <c r="K4345" s="23"/>
      <c r="L4345" s="375" t="s">
        <v>27385</v>
      </c>
      <c r="M4345" s="351"/>
      <c r="N4345" s="267">
        <f t="shared" ref="N4345" si="1457">SUM(L4345:M4345)</f>
        <v>0</v>
      </c>
      <c r="O4345" s="268">
        <f t="shared" ref="O4345" si="1458">SUM(P4345:Z4345)</f>
        <v>200</v>
      </c>
      <c r="P4345" s="239"/>
      <c r="Q4345" s="239"/>
      <c r="R4345" s="239"/>
      <c r="S4345" s="239"/>
      <c r="T4345" s="239"/>
      <c r="U4345" s="240">
        <f>500-300</f>
        <v>200</v>
      </c>
      <c r="V4345" s="240"/>
      <c r="W4345" s="240"/>
      <c r="X4345" s="278"/>
      <c r="Y4345" s="237"/>
      <c r="Z4345" s="237"/>
      <c r="AA4345" s="279"/>
      <c r="AB4345" s="238" t="s">
        <v>27379</v>
      </c>
      <c r="AC4345" s="196">
        <f t="shared" si="1398"/>
        <v>200</v>
      </c>
      <c r="AD4345" s="196">
        <f t="shared" si="1399"/>
        <v>200</v>
      </c>
      <c r="AE4345" s="196">
        <f t="shared" si="1400"/>
        <v>0</v>
      </c>
      <c r="AF4345" s="2">
        <f t="shared" si="1401"/>
        <v>200</v>
      </c>
      <c r="AG4345" s="2">
        <f t="shared" si="1402"/>
        <v>0</v>
      </c>
    </row>
    <row r="4346" spans="1:33">
      <c r="A4346" s="20" t="s">
        <v>25625</v>
      </c>
      <c r="B4346" s="150"/>
      <c r="C4346" s="21" t="s">
        <v>25795</v>
      </c>
      <c r="D4346" s="109" t="s">
        <v>3137</v>
      </c>
      <c r="E4346" s="109" t="s">
        <v>22282</v>
      </c>
      <c r="F4346" s="391" t="s">
        <v>25836</v>
      </c>
      <c r="G4346" s="23" t="s">
        <v>14332</v>
      </c>
      <c r="H4346" s="23"/>
      <c r="I4346" s="23"/>
      <c r="J4346" s="23"/>
      <c r="K4346" s="23"/>
      <c r="L4346" s="375" t="s">
        <v>45</v>
      </c>
      <c r="M4346" s="351"/>
      <c r="N4346" s="267">
        <f t="shared" ref="N4346:N4347" si="1459">SUM(L4346:M4346)</f>
        <v>0</v>
      </c>
      <c r="O4346" s="268">
        <f t="shared" ref="O4346:O4347" si="1460">SUM(P4346:Z4346)</f>
        <v>100</v>
      </c>
      <c r="P4346" s="239"/>
      <c r="Q4346" s="239"/>
      <c r="R4346" s="239"/>
      <c r="S4346" s="239"/>
      <c r="T4346" s="239"/>
      <c r="U4346" s="240">
        <f>600-500</f>
        <v>100</v>
      </c>
      <c r="V4346" s="240"/>
      <c r="W4346" s="240"/>
      <c r="X4346" s="278"/>
      <c r="Y4346" s="237"/>
      <c r="Z4346" s="237"/>
      <c r="AA4346" s="279"/>
      <c r="AB4346" s="238" t="s">
        <v>25800</v>
      </c>
      <c r="AC4346" s="196">
        <f t="shared" si="1398"/>
        <v>100</v>
      </c>
      <c r="AD4346" s="196">
        <f t="shared" si="1399"/>
        <v>100</v>
      </c>
      <c r="AE4346" s="196">
        <f t="shared" si="1400"/>
        <v>0</v>
      </c>
      <c r="AF4346" s="2">
        <f t="shared" si="1401"/>
        <v>100</v>
      </c>
      <c r="AG4346" s="2">
        <f t="shared" si="1402"/>
        <v>0</v>
      </c>
    </row>
    <row r="4347" spans="1:33">
      <c r="A4347" s="20" t="s">
        <v>25615</v>
      </c>
      <c r="B4347" s="150"/>
      <c r="C4347" s="21" t="s">
        <v>25700</v>
      </c>
      <c r="D4347" s="109" t="s">
        <v>3137</v>
      </c>
      <c r="E4347" s="109" t="s">
        <v>25708</v>
      </c>
      <c r="F4347" s="391" t="s">
        <v>25710</v>
      </c>
      <c r="G4347" s="23" t="s">
        <v>25695</v>
      </c>
      <c r="H4347" s="23"/>
      <c r="I4347" s="23"/>
      <c r="J4347" s="23"/>
      <c r="K4347" s="23"/>
      <c r="L4347" s="375" t="s">
        <v>45</v>
      </c>
      <c r="M4347" s="351"/>
      <c r="N4347" s="267">
        <f t="shared" si="1459"/>
        <v>0</v>
      </c>
      <c r="O4347" s="268">
        <f t="shared" si="1460"/>
        <v>300</v>
      </c>
      <c r="P4347" s="239"/>
      <c r="Q4347" s="239"/>
      <c r="R4347" s="239"/>
      <c r="S4347" s="239"/>
      <c r="T4347" s="239"/>
      <c r="U4347" s="240">
        <v>300</v>
      </c>
      <c r="V4347" s="240"/>
      <c r="W4347" s="240"/>
      <c r="X4347" s="278"/>
      <c r="Y4347" s="237"/>
      <c r="Z4347" s="237"/>
      <c r="AA4347" s="279"/>
      <c r="AB4347" s="238" t="s">
        <v>25723</v>
      </c>
      <c r="AC4347" s="196">
        <f t="shared" si="1398"/>
        <v>300</v>
      </c>
      <c r="AD4347" s="196">
        <f t="shared" si="1399"/>
        <v>300</v>
      </c>
      <c r="AE4347" s="196">
        <f t="shared" si="1400"/>
        <v>0</v>
      </c>
      <c r="AF4347" s="2">
        <f t="shared" si="1401"/>
        <v>300</v>
      </c>
      <c r="AG4347" s="2">
        <f t="shared" si="1402"/>
        <v>0</v>
      </c>
    </row>
    <row r="4348" spans="1:33">
      <c r="A4348" s="20" t="s">
        <v>25616</v>
      </c>
      <c r="B4348" s="150"/>
      <c r="C4348" s="21" t="s">
        <v>25701</v>
      </c>
      <c r="D4348" s="109" t="s">
        <v>3137</v>
      </c>
      <c r="E4348" s="109" t="s">
        <v>25708</v>
      </c>
      <c r="F4348" s="391" t="s">
        <v>25709</v>
      </c>
      <c r="G4348" s="23" t="s">
        <v>25695</v>
      </c>
      <c r="H4348" s="23"/>
      <c r="I4348" s="23"/>
      <c r="J4348" s="23"/>
      <c r="K4348" s="23"/>
      <c r="L4348" s="375" t="s">
        <v>45</v>
      </c>
      <c r="M4348" s="351"/>
      <c r="N4348" s="267">
        <f t="shared" ref="N4348" si="1461">SUM(L4348:M4348)</f>
        <v>0</v>
      </c>
      <c r="O4348" s="268">
        <f t="shared" ref="O4348" si="1462">SUM(P4348:Z4348)</f>
        <v>400</v>
      </c>
      <c r="P4348" s="239"/>
      <c r="Q4348" s="239"/>
      <c r="R4348" s="239"/>
      <c r="S4348" s="239"/>
      <c r="T4348" s="239"/>
      <c r="U4348" s="240">
        <f>500-100</f>
        <v>400</v>
      </c>
      <c r="V4348" s="240"/>
      <c r="W4348" s="240"/>
      <c r="X4348" s="278"/>
      <c r="Y4348" s="237"/>
      <c r="Z4348" s="237"/>
      <c r="AA4348" s="279"/>
      <c r="AB4348" s="238" t="s">
        <v>25711</v>
      </c>
      <c r="AC4348" s="196">
        <f t="shared" si="1398"/>
        <v>400</v>
      </c>
      <c r="AD4348" s="196">
        <f t="shared" si="1399"/>
        <v>400</v>
      </c>
      <c r="AE4348" s="196">
        <f t="shared" si="1400"/>
        <v>0</v>
      </c>
      <c r="AF4348" s="2">
        <f t="shared" si="1401"/>
        <v>400</v>
      </c>
      <c r="AG4348" s="2">
        <f t="shared" si="1402"/>
        <v>0</v>
      </c>
    </row>
    <row r="4349" spans="1:33">
      <c r="A4349" s="20" t="s">
        <v>25946</v>
      </c>
      <c r="B4349" s="150"/>
      <c r="C4349" s="21" t="s">
        <v>26000</v>
      </c>
      <c r="D4349" s="109" t="s">
        <v>3137</v>
      </c>
      <c r="E4349" s="109"/>
      <c r="F4349" s="391" t="s">
        <v>26020</v>
      </c>
      <c r="G4349" s="23" t="s">
        <v>13888</v>
      </c>
      <c r="H4349" s="23"/>
      <c r="I4349" s="23"/>
      <c r="J4349" s="23"/>
      <c r="K4349" s="23"/>
      <c r="L4349" s="375" t="s">
        <v>45</v>
      </c>
      <c r="M4349" s="351" t="s">
        <v>45</v>
      </c>
      <c r="N4349" s="267">
        <f t="shared" ref="N4349" si="1463">SUM(L4349:M4349)</f>
        <v>0</v>
      </c>
      <c r="O4349" s="268">
        <f t="shared" ref="O4349" si="1464">SUM(P4349:Z4349)</f>
        <v>100</v>
      </c>
      <c r="P4349" s="239"/>
      <c r="Q4349" s="239"/>
      <c r="R4349" s="239"/>
      <c r="S4349" s="239"/>
      <c r="T4349" s="239"/>
      <c r="U4349" s="240">
        <f>200-100</f>
        <v>100</v>
      </c>
      <c r="V4349" s="240"/>
      <c r="W4349" s="240"/>
      <c r="X4349" s="278"/>
      <c r="Y4349" s="237"/>
      <c r="Z4349" s="237"/>
      <c r="AA4349" s="279"/>
      <c r="AB4349" s="238" t="s">
        <v>26023</v>
      </c>
      <c r="AC4349" s="196">
        <f t="shared" si="1398"/>
        <v>100</v>
      </c>
      <c r="AD4349" s="196">
        <f t="shared" si="1399"/>
        <v>100</v>
      </c>
      <c r="AE4349" s="196">
        <f t="shared" si="1400"/>
        <v>0</v>
      </c>
      <c r="AF4349" s="2">
        <f t="shared" si="1401"/>
        <v>100</v>
      </c>
      <c r="AG4349" s="2">
        <f t="shared" si="1402"/>
        <v>0</v>
      </c>
    </row>
    <row r="4350" spans="1:33">
      <c r="A4350" s="20" t="s">
        <v>25945</v>
      </c>
      <c r="B4350" s="150"/>
      <c r="C4350" s="21" t="s">
        <v>25964</v>
      </c>
      <c r="D4350" s="109" t="s">
        <v>4070</v>
      </c>
      <c r="E4350" s="109" t="s">
        <v>25965</v>
      </c>
      <c r="F4350" s="391" t="s">
        <v>25966</v>
      </c>
      <c r="G4350" s="23" t="s">
        <v>25967</v>
      </c>
      <c r="H4350" s="23" t="s">
        <v>26786</v>
      </c>
      <c r="I4350" s="23"/>
      <c r="J4350" s="23"/>
      <c r="K4350" s="23"/>
      <c r="L4350" s="375" t="s">
        <v>7787</v>
      </c>
      <c r="M4350" s="351"/>
      <c r="N4350" s="267">
        <f t="shared" ref="N4350" si="1465">SUM(L4350:M4350)</f>
        <v>0</v>
      </c>
      <c r="O4350" s="268">
        <f t="shared" ref="O4350" si="1466">SUM(P4350:Z4350)</f>
        <v>7900</v>
      </c>
      <c r="P4350" s="239"/>
      <c r="Q4350" s="239">
        <f>6300-800+9000-750-1000-300+9000-4500-300-400-400-1600-1500-750-2050-250-1500-300</f>
        <v>7900</v>
      </c>
      <c r="R4350" s="239"/>
      <c r="S4350" s="239"/>
      <c r="T4350" s="239"/>
      <c r="U4350" s="240"/>
      <c r="V4350" s="240"/>
      <c r="W4350" s="240"/>
      <c r="X4350" s="278"/>
      <c r="Y4350" s="237"/>
      <c r="Z4350" s="237"/>
      <c r="AA4350" s="279"/>
      <c r="AB4350" s="238" t="s">
        <v>27473</v>
      </c>
      <c r="AC4350" s="196">
        <f t="shared" si="1398"/>
        <v>7900</v>
      </c>
      <c r="AD4350" s="196">
        <f t="shared" si="1399"/>
        <v>7900</v>
      </c>
      <c r="AE4350" s="196">
        <f t="shared" si="1400"/>
        <v>0</v>
      </c>
      <c r="AF4350" s="2">
        <f t="shared" si="1401"/>
        <v>7900</v>
      </c>
      <c r="AG4350" s="2">
        <f t="shared" si="1402"/>
        <v>0</v>
      </c>
    </row>
    <row r="4351" spans="1:33">
      <c r="A4351" s="20" t="s">
        <v>25619</v>
      </c>
      <c r="B4351" s="150"/>
      <c r="C4351" s="21" t="s">
        <v>25782</v>
      </c>
      <c r="D4351" s="109" t="s">
        <v>5979</v>
      </c>
      <c r="E4351" s="109"/>
      <c r="F4351" s="391" t="s">
        <v>25790</v>
      </c>
      <c r="G4351" s="23" t="s">
        <v>13565</v>
      </c>
      <c r="H4351" s="23"/>
      <c r="I4351" s="23"/>
      <c r="J4351" s="23"/>
      <c r="K4351" s="23"/>
      <c r="L4351" s="375" t="s">
        <v>27870</v>
      </c>
      <c r="M4351" s="351"/>
      <c r="N4351" s="267">
        <f t="shared" ref="N4351:N4354" si="1467">SUM(L4351:M4351)</f>
        <v>0</v>
      </c>
      <c r="O4351" s="268">
        <f t="shared" ref="O4351:O4354" si="1468">SUM(P4351:Z4351)</f>
        <v>400</v>
      </c>
      <c r="P4351" s="239"/>
      <c r="Q4351" s="239"/>
      <c r="R4351" s="239"/>
      <c r="S4351" s="239"/>
      <c r="T4351" s="239"/>
      <c r="U4351" s="240"/>
      <c r="V4351" s="240">
        <f>1000-500-300+800-600+900-900+800-900+900-1000+500-400+1300-100-1000+1000+400-1700+200</f>
        <v>400</v>
      </c>
      <c r="W4351" s="240"/>
      <c r="X4351" s="278"/>
      <c r="Y4351" s="237"/>
      <c r="Z4351" s="237"/>
      <c r="AA4351" s="279"/>
      <c r="AB4351" s="238" t="s">
        <v>27868</v>
      </c>
      <c r="AC4351" s="196">
        <f t="shared" si="1398"/>
        <v>400</v>
      </c>
      <c r="AD4351" s="196">
        <f t="shared" si="1399"/>
        <v>400</v>
      </c>
      <c r="AE4351" s="196">
        <f t="shared" si="1400"/>
        <v>0</v>
      </c>
      <c r="AF4351" s="2">
        <f t="shared" si="1401"/>
        <v>400</v>
      </c>
      <c r="AG4351" s="2">
        <f t="shared" si="1402"/>
        <v>0</v>
      </c>
    </row>
    <row r="4352" spans="1:33">
      <c r="A4352" s="20" t="s">
        <v>26856</v>
      </c>
      <c r="B4352" s="150"/>
      <c r="C4352" s="21" t="s">
        <v>25782</v>
      </c>
      <c r="D4352" s="109" t="s">
        <v>5979</v>
      </c>
      <c r="E4352" s="109" t="s">
        <v>26189</v>
      </c>
      <c r="F4352" s="391" t="s">
        <v>25790</v>
      </c>
      <c r="G4352" s="23" t="s">
        <v>15443</v>
      </c>
      <c r="H4352" s="23"/>
      <c r="I4352" s="23"/>
      <c r="J4352" s="23"/>
      <c r="K4352" s="23"/>
      <c r="L4352" s="375" t="s">
        <v>27835</v>
      </c>
      <c r="M4352" s="351"/>
      <c r="N4352" s="267">
        <f t="shared" ref="N4352" si="1469">SUM(L4352:M4352)</f>
        <v>0</v>
      </c>
      <c r="O4352" s="268">
        <f t="shared" ref="O4352" si="1470">SUM(P4352:Z4352)</f>
        <v>100</v>
      </c>
      <c r="P4352" s="239"/>
      <c r="Q4352" s="239"/>
      <c r="R4352" s="239"/>
      <c r="S4352" s="239"/>
      <c r="T4352" s="239"/>
      <c r="U4352" s="240"/>
      <c r="V4352" s="240">
        <f>200-100</f>
        <v>100</v>
      </c>
      <c r="W4352" s="240"/>
      <c r="X4352" s="278"/>
      <c r="Y4352" s="237"/>
      <c r="Z4352" s="237"/>
      <c r="AA4352" s="279"/>
      <c r="AB4352" s="238" t="s">
        <v>27828</v>
      </c>
      <c r="AC4352" s="196">
        <f t="shared" si="1398"/>
        <v>100</v>
      </c>
      <c r="AD4352" s="196">
        <f t="shared" si="1399"/>
        <v>100</v>
      </c>
      <c r="AE4352" s="196">
        <f t="shared" si="1400"/>
        <v>0</v>
      </c>
      <c r="AF4352" s="2">
        <f t="shared" si="1401"/>
        <v>100</v>
      </c>
      <c r="AG4352" s="2">
        <f t="shared" si="1402"/>
        <v>0</v>
      </c>
    </row>
    <row r="4353" spans="1:33">
      <c r="A4353" s="20" t="s">
        <v>27108</v>
      </c>
      <c r="B4353" s="150"/>
      <c r="C4353" s="21" t="s">
        <v>26976</v>
      </c>
      <c r="D4353" s="109" t="s">
        <v>3137</v>
      </c>
      <c r="E4353" s="109"/>
      <c r="F4353" s="391" t="s">
        <v>26984</v>
      </c>
      <c r="G4353" s="23" t="s">
        <v>13301</v>
      </c>
      <c r="H4353" s="23"/>
      <c r="I4353" s="23"/>
      <c r="J4353" s="23"/>
      <c r="K4353" s="23"/>
      <c r="L4353" s="375" t="s">
        <v>27620</v>
      </c>
      <c r="M4353" s="351"/>
      <c r="N4353" s="267">
        <f t="shared" ref="N4353" si="1471">SUM(L4353:M4353)</f>
        <v>0</v>
      </c>
      <c r="O4353" s="268">
        <f t="shared" ref="O4353" si="1472">SUM(P4353:Z4353)</f>
        <v>0</v>
      </c>
      <c r="P4353" s="239"/>
      <c r="Q4353" s="239"/>
      <c r="R4353" s="239"/>
      <c r="S4353" s="239"/>
      <c r="T4353" s="239"/>
      <c r="U4353" s="240"/>
      <c r="V4353" s="240"/>
      <c r="W4353" s="240"/>
      <c r="X4353" s="278"/>
      <c r="Y4353" s="237"/>
      <c r="Z4353" s="237"/>
      <c r="AA4353" s="279"/>
      <c r="AB4353" s="238"/>
      <c r="AC4353" s="196"/>
      <c r="AD4353" s="196"/>
      <c r="AE4353" s="196"/>
    </row>
    <row r="4354" spans="1:33">
      <c r="A4354" s="20" t="s">
        <v>25818</v>
      </c>
      <c r="B4354" s="150"/>
      <c r="C4354" s="21" t="s">
        <v>25917</v>
      </c>
      <c r="D4354" s="109" t="s">
        <v>25918</v>
      </c>
      <c r="E4354" s="109" t="s">
        <v>26055</v>
      </c>
      <c r="F4354" s="391" t="s">
        <v>25919</v>
      </c>
      <c r="G4354" s="23" t="s">
        <v>25916</v>
      </c>
      <c r="H4354" s="23"/>
      <c r="I4354" s="23"/>
      <c r="J4354" s="23"/>
      <c r="K4354" s="23"/>
      <c r="L4354" s="375"/>
      <c r="M4354" s="351"/>
      <c r="N4354" s="267">
        <f t="shared" si="1467"/>
        <v>0</v>
      </c>
      <c r="O4354" s="268">
        <f t="shared" si="1468"/>
        <v>50</v>
      </c>
      <c r="P4354" s="239"/>
      <c r="Q4354" s="239"/>
      <c r="R4354" s="239"/>
      <c r="S4354" s="239"/>
      <c r="T4354" s="239"/>
      <c r="U4354" s="240">
        <f>250-200</f>
        <v>50</v>
      </c>
      <c r="V4354" s="240"/>
      <c r="W4354" s="240"/>
      <c r="X4354" s="278"/>
      <c r="Y4354" s="237"/>
      <c r="Z4354" s="237"/>
      <c r="AA4354" s="279"/>
      <c r="AB4354" s="238" t="s">
        <v>25915</v>
      </c>
      <c r="AC4354" s="196">
        <f t="shared" si="1398"/>
        <v>50</v>
      </c>
      <c r="AD4354" s="196">
        <f t="shared" si="1399"/>
        <v>50</v>
      </c>
      <c r="AE4354" s="196">
        <f t="shared" si="1400"/>
        <v>0</v>
      </c>
      <c r="AF4354" s="2">
        <f t="shared" si="1401"/>
        <v>50</v>
      </c>
      <c r="AG4354" s="2">
        <f t="shared" si="1402"/>
        <v>0</v>
      </c>
    </row>
    <row r="4355" spans="1:33">
      <c r="A4355" s="20" t="s">
        <v>25819</v>
      </c>
      <c r="B4355" s="150"/>
      <c r="C4355" s="21" t="s">
        <v>25920</v>
      </c>
      <c r="D4355" s="109" t="s">
        <v>25918</v>
      </c>
      <c r="E4355" s="109" t="s">
        <v>26063</v>
      </c>
      <c r="F4355" s="391" t="s">
        <v>25919</v>
      </c>
      <c r="G4355" s="23" t="s">
        <v>25916</v>
      </c>
      <c r="H4355" s="23"/>
      <c r="I4355" s="23"/>
      <c r="J4355" s="23"/>
      <c r="K4355" s="23"/>
      <c r="L4355" s="375"/>
      <c r="M4355" s="351" t="s">
        <v>45</v>
      </c>
      <c r="N4355" s="267">
        <f t="shared" ref="N4355:N4370" si="1473">SUM(L4355:M4355)</f>
        <v>0</v>
      </c>
      <c r="O4355" s="268">
        <f t="shared" ref="O4355:O4370" si="1474">SUM(P4355:Z4355)</f>
        <v>0</v>
      </c>
      <c r="P4355" s="239"/>
      <c r="Q4355" s="239"/>
      <c r="R4355" s="239"/>
      <c r="S4355" s="239"/>
      <c r="T4355" s="239"/>
      <c r="U4355" s="240"/>
      <c r="V4355" s="240"/>
      <c r="W4355" s="240"/>
      <c r="X4355" s="278"/>
      <c r="Y4355" s="237"/>
      <c r="Z4355" s="237"/>
      <c r="AA4355" s="279"/>
      <c r="AB4355" s="238"/>
      <c r="AC4355" s="196">
        <f t="shared" si="1398"/>
        <v>0</v>
      </c>
      <c r="AD4355" s="196">
        <f t="shared" si="1399"/>
        <v>0</v>
      </c>
      <c r="AE4355" s="196">
        <f t="shared" si="1400"/>
        <v>0</v>
      </c>
      <c r="AF4355" s="2">
        <f t="shared" si="1401"/>
        <v>0</v>
      </c>
      <c r="AG4355" s="2">
        <f t="shared" si="1402"/>
        <v>0</v>
      </c>
    </row>
    <row r="4356" spans="1:33">
      <c r="A4356" s="20" t="s">
        <v>25816</v>
      </c>
      <c r="B4356" s="150"/>
      <c r="C4356" s="21" t="s">
        <v>25878</v>
      </c>
      <c r="D4356" s="109" t="s">
        <v>3137</v>
      </c>
      <c r="E4356" s="109" t="s">
        <v>25879</v>
      </c>
      <c r="F4356" s="391" t="s">
        <v>25900</v>
      </c>
      <c r="G4356" s="23" t="s">
        <v>14332</v>
      </c>
      <c r="H4356" s="23"/>
      <c r="I4356" s="23"/>
      <c r="J4356" s="23"/>
      <c r="K4356" s="23"/>
      <c r="L4356" s="375" t="s">
        <v>45</v>
      </c>
      <c r="M4356" s="351"/>
      <c r="N4356" s="267">
        <f t="shared" si="1473"/>
        <v>0</v>
      </c>
      <c r="O4356" s="268">
        <f t="shared" si="1474"/>
        <v>350</v>
      </c>
      <c r="P4356" s="239"/>
      <c r="Q4356" s="239"/>
      <c r="R4356" s="239"/>
      <c r="S4356" s="239"/>
      <c r="T4356" s="239"/>
      <c r="U4356" s="240">
        <f>2350+700-2500+1200+1100-2500</f>
        <v>350</v>
      </c>
      <c r="V4356" s="240"/>
      <c r="W4356" s="240"/>
      <c r="X4356" s="278"/>
      <c r="Y4356" s="237"/>
      <c r="Z4356" s="237"/>
      <c r="AA4356" s="279"/>
      <c r="AB4356" s="238" t="s">
        <v>26072</v>
      </c>
      <c r="AC4356" s="196">
        <f t="shared" si="1398"/>
        <v>350</v>
      </c>
      <c r="AD4356" s="196">
        <f t="shared" si="1399"/>
        <v>350</v>
      </c>
      <c r="AE4356" s="196">
        <f t="shared" si="1400"/>
        <v>0</v>
      </c>
      <c r="AF4356" s="2">
        <f t="shared" si="1401"/>
        <v>350</v>
      </c>
      <c r="AG4356" s="2">
        <f t="shared" si="1402"/>
        <v>0</v>
      </c>
    </row>
    <row r="4357" spans="1:33">
      <c r="A4357" s="20" t="s">
        <v>25813</v>
      </c>
      <c r="B4357" s="150"/>
      <c r="C4357" s="21" t="s">
        <v>25851</v>
      </c>
      <c r="D4357" s="109" t="s">
        <v>3958</v>
      </c>
      <c r="E4357" s="109"/>
      <c r="F4357" s="391" t="s">
        <v>25867</v>
      </c>
      <c r="G4357" s="23" t="s">
        <v>25906</v>
      </c>
      <c r="H4357" s="23"/>
      <c r="I4357" s="23"/>
      <c r="J4357" s="23"/>
      <c r="K4357" s="23"/>
      <c r="L4357" s="375" t="s">
        <v>45</v>
      </c>
      <c r="M4357" s="351" t="s">
        <v>45</v>
      </c>
      <c r="N4357" s="267">
        <f t="shared" si="1473"/>
        <v>0</v>
      </c>
      <c r="O4357" s="268">
        <f t="shared" si="1474"/>
        <v>1000</v>
      </c>
      <c r="P4357" s="239"/>
      <c r="Q4357" s="239"/>
      <c r="R4357" s="239"/>
      <c r="S4357" s="239"/>
      <c r="T4357" s="239"/>
      <c r="U4357" s="240">
        <f>1100-100</f>
        <v>1000</v>
      </c>
      <c r="V4357" s="240"/>
      <c r="W4357" s="240"/>
      <c r="X4357" s="278"/>
      <c r="Y4357" s="237"/>
      <c r="Z4357" s="237"/>
      <c r="AA4357" s="279"/>
      <c r="AB4357" s="238" t="s">
        <v>25865</v>
      </c>
      <c r="AC4357" s="196">
        <f t="shared" si="1398"/>
        <v>1000</v>
      </c>
      <c r="AD4357" s="196">
        <f t="shared" si="1399"/>
        <v>1000</v>
      </c>
      <c r="AE4357" s="196">
        <f t="shared" si="1400"/>
        <v>0</v>
      </c>
      <c r="AF4357" s="2">
        <f t="shared" si="1401"/>
        <v>1000</v>
      </c>
      <c r="AG4357" s="2">
        <f t="shared" si="1402"/>
        <v>0</v>
      </c>
    </row>
    <row r="4358" spans="1:33">
      <c r="A4358" s="20" t="s">
        <v>25948</v>
      </c>
      <c r="B4358" s="150"/>
      <c r="C4358" s="21" t="s">
        <v>26027</v>
      </c>
      <c r="D4358" s="109" t="s">
        <v>3137</v>
      </c>
      <c r="E4358" s="109" t="s">
        <v>26028</v>
      </c>
      <c r="F4358" s="391" t="s">
        <v>26037</v>
      </c>
      <c r="G4358" s="23" t="s">
        <v>13888</v>
      </c>
      <c r="H4358" s="23" t="s">
        <v>26291</v>
      </c>
      <c r="I4358" s="23"/>
      <c r="J4358" s="23"/>
      <c r="K4358" s="23"/>
      <c r="L4358" s="375" t="s">
        <v>45</v>
      </c>
      <c r="M4358" s="351" t="s">
        <v>45</v>
      </c>
      <c r="N4358" s="267">
        <f t="shared" ref="N4358" si="1475">SUM(L4358:M4358)</f>
        <v>0</v>
      </c>
      <c r="O4358" s="268">
        <f t="shared" ref="O4358" si="1476">SUM(P4358:Z4358)</f>
        <v>200</v>
      </c>
      <c r="P4358" s="239"/>
      <c r="Q4358" s="239"/>
      <c r="R4358" s="239"/>
      <c r="S4358" s="239"/>
      <c r="T4358" s="239"/>
      <c r="U4358" s="240">
        <f>650-450</f>
        <v>200</v>
      </c>
      <c r="V4358" s="240"/>
      <c r="W4358" s="240"/>
      <c r="X4358" s="278"/>
      <c r="Y4358" s="237"/>
      <c r="Z4358" s="237"/>
      <c r="AA4358" s="279"/>
      <c r="AB4358" s="238" t="s">
        <v>26848</v>
      </c>
      <c r="AC4358" s="196">
        <f t="shared" si="1398"/>
        <v>200</v>
      </c>
      <c r="AD4358" s="196">
        <f t="shared" si="1399"/>
        <v>200</v>
      </c>
      <c r="AE4358" s="196">
        <f t="shared" si="1400"/>
        <v>0</v>
      </c>
      <c r="AF4358" s="2">
        <f t="shared" si="1401"/>
        <v>200</v>
      </c>
      <c r="AG4358" s="2">
        <f t="shared" si="1402"/>
        <v>0</v>
      </c>
    </row>
    <row r="4359" spans="1:33">
      <c r="A4359" s="20" t="s">
        <v>25935</v>
      </c>
      <c r="B4359" s="150"/>
      <c r="C4359" s="21" t="s">
        <v>25931</v>
      </c>
      <c r="D4359" s="109" t="s">
        <v>5979</v>
      </c>
      <c r="E4359" s="109" t="s">
        <v>25932</v>
      </c>
      <c r="F4359" s="391" t="s">
        <v>25958</v>
      </c>
      <c r="G4359" s="23" t="s">
        <v>15443</v>
      </c>
      <c r="H4359" s="23"/>
      <c r="I4359" s="23"/>
      <c r="J4359" s="23"/>
      <c r="K4359" s="23"/>
      <c r="L4359" s="375" t="s">
        <v>45</v>
      </c>
      <c r="M4359" s="351" t="s">
        <v>45</v>
      </c>
      <c r="N4359" s="267">
        <f t="shared" ref="N4359" si="1477">SUM(L4359:M4359)</f>
        <v>0</v>
      </c>
      <c r="O4359" s="268">
        <f t="shared" ref="O4359" si="1478">SUM(P4359:Z4359)</f>
        <v>300</v>
      </c>
      <c r="P4359" s="239"/>
      <c r="Q4359" s="239"/>
      <c r="R4359" s="239"/>
      <c r="S4359" s="239"/>
      <c r="T4359" s="239"/>
      <c r="U4359" s="240"/>
      <c r="V4359" s="240">
        <f>700-500+600-500+1000-1000+100+900-1000</f>
        <v>300</v>
      </c>
      <c r="W4359" s="240"/>
      <c r="X4359" s="278"/>
      <c r="Y4359" s="237"/>
      <c r="Z4359" s="237"/>
      <c r="AA4359" s="279"/>
      <c r="AB4359" s="238" t="s">
        <v>26173</v>
      </c>
      <c r="AC4359" s="196">
        <f t="shared" si="1398"/>
        <v>300</v>
      </c>
      <c r="AD4359" s="196">
        <f t="shared" si="1399"/>
        <v>300</v>
      </c>
      <c r="AE4359" s="196">
        <f t="shared" si="1400"/>
        <v>0</v>
      </c>
      <c r="AF4359" s="2">
        <f t="shared" si="1401"/>
        <v>300</v>
      </c>
      <c r="AG4359" s="2">
        <f t="shared" si="1402"/>
        <v>0</v>
      </c>
    </row>
    <row r="4360" spans="1:33">
      <c r="A4360" s="20" t="s">
        <v>26119</v>
      </c>
      <c r="B4360" s="150"/>
      <c r="C4360" s="21" t="s">
        <v>26221</v>
      </c>
      <c r="D4360" s="109" t="s">
        <v>3137</v>
      </c>
      <c r="E4360" s="109" t="s">
        <v>26281</v>
      </c>
      <c r="F4360" s="391" t="s">
        <v>26222</v>
      </c>
      <c r="G4360" s="23" t="s">
        <v>13888</v>
      </c>
      <c r="H4360" s="23" t="s">
        <v>27024</v>
      </c>
      <c r="I4360" s="23"/>
      <c r="J4360" s="23"/>
      <c r="K4360" s="23"/>
      <c r="L4360" s="375" t="s">
        <v>7787</v>
      </c>
      <c r="M4360" s="351" t="s">
        <v>7787</v>
      </c>
      <c r="N4360" s="267">
        <f t="shared" ref="N4360" si="1479">SUM(L4360:M4360)</f>
        <v>0</v>
      </c>
      <c r="O4360" s="268">
        <f t="shared" ref="O4360" si="1480">SUM(P4360:Z4360)</f>
        <v>2100</v>
      </c>
      <c r="P4360" s="239"/>
      <c r="Q4360" s="239"/>
      <c r="R4360" s="239"/>
      <c r="S4360" s="239"/>
      <c r="T4360" s="240"/>
      <c r="U4360" s="240">
        <f>8100-1500+900-3000-1000-1400</f>
        <v>2100</v>
      </c>
      <c r="V4360" s="240"/>
      <c r="W4360" s="240"/>
      <c r="X4360" s="278"/>
      <c r="Y4360" s="237"/>
      <c r="Z4360" s="237"/>
      <c r="AA4360" s="279"/>
      <c r="AB4360" s="238" t="s">
        <v>27743</v>
      </c>
      <c r="AC4360" s="196">
        <f t="shared" si="1398"/>
        <v>2100</v>
      </c>
      <c r="AD4360" s="196">
        <f t="shared" si="1399"/>
        <v>2100</v>
      </c>
      <c r="AE4360" s="196">
        <f t="shared" si="1400"/>
        <v>0</v>
      </c>
      <c r="AF4360" s="2">
        <f t="shared" si="1401"/>
        <v>2100</v>
      </c>
      <c r="AG4360" s="2">
        <f t="shared" si="1402"/>
        <v>0</v>
      </c>
    </row>
    <row r="4361" spans="1:33">
      <c r="A4361" s="20" t="s">
        <v>25936</v>
      </c>
      <c r="B4361" s="150"/>
      <c r="C4361" s="21" t="s">
        <v>25978</v>
      </c>
      <c r="D4361" s="109" t="s">
        <v>5979</v>
      </c>
      <c r="E4361" s="109" t="s">
        <v>22282</v>
      </c>
      <c r="F4361" s="391" t="s">
        <v>25991</v>
      </c>
      <c r="G4361" s="23" t="s">
        <v>15443</v>
      </c>
      <c r="H4361" s="23"/>
      <c r="I4361" s="23"/>
      <c r="J4361" s="23"/>
      <c r="K4361" s="23"/>
      <c r="L4361" s="375"/>
      <c r="M4361" s="351" t="s">
        <v>45</v>
      </c>
      <c r="N4361" s="267">
        <f t="shared" ref="N4361" si="1481">SUM(L4361:M4361)</f>
        <v>0</v>
      </c>
      <c r="O4361" s="268">
        <f t="shared" ref="O4361" si="1482">SUM(P4361:Z4361)</f>
        <v>200</v>
      </c>
      <c r="P4361" s="239"/>
      <c r="Q4361" s="239"/>
      <c r="R4361" s="239"/>
      <c r="S4361" s="239"/>
      <c r="T4361" s="239"/>
      <c r="U4361" s="240"/>
      <c r="V4361" s="240">
        <f>200-100+500-200-200+300-300</f>
        <v>200</v>
      </c>
      <c r="W4361" s="240"/>
      <c r="X4361" s="278"/>
      <c r="Y4361" s="237"/>
      <c r="Z4361" s="237"/>
      <c r="AA4361" s="279"/>
      <c r="AB4361" s="238" t="s">
        <v>26292</v>
      </c>
      <c r="AC4361" s="196">
        <f t="shared" si="1398"/>
        <v>200</v>
      </c>
      <c r="AD4361" s="196">
        <f t="shared" si="1399"/>
        <v>200</v>
      </c>
      <c r="AE4361" s="196">
        <f t="shared" si="1400"/>
        <v>0</v>
      </c>
      <c r="AF4361" s="2">
        <f t="shared" si="1401"/>
        <v>200</v>
      </c>
      <c r="AG4361" s="2">
        <f t="shared" si="1402"/>
        <v>0</v>
      </c>
    </row>
    <row r="4362" spans="1:33">
      <c r="A4362" s="20" t="s">
        <v>26118</v>
      </c>
      <c r="B4362" s="150"/>
      <c r="C4362" s="21" t="s">
        <v>25978</v>
      </c>
      <c r="D4362" s="109" t="s">
        <v>5979</v>
      </c>
      <c r="E4362" s="109" t="s">
        <v>26189</v>
      </c>
      <c r="F4362" s="391" t="s">
        <v>25991</v>
      </c>
      <c r="G4362" s="23" t="s">
        <v>15443</v>
      </c>
      <c r="H4362" s="23"/>
      <c r="I4362" s="23"/>
      <c r="J4362" s="23"/>
      <c r="K4362" s="23"/>
      <c r="L4362" s="375"/>
      <c r="M4362" s="351"/>
      <c r="N4362" s="267">
        <f t="shared" ref="N4362" si="1483">SUM(L4362:M4362)</f>
        <v>0</v>
      </c>
      <c r="O4362" s="268">
        <f t="shared" ref="O4362" si="1484">SUM(P4362:Z4362)</f>
        <v>0</v>
      </c>
      <c r="P4362" s="239"/>
      <c r="Q4362" s="239"/>
      <c r="R4362" s="239"/>
      <c r="S4362" s="239"/>
      <c r="T4362" s="239"/>
      <c r="U4362" s="240"/>
      <c r="V4362" s="240"/>
      <c r="W4362" s="240"/>
      <c r="X4362" s="278"/>
      <c r="Y4362" s="237"/>
      <c r="Z4362" s="237"/>
      <c r="AA4362" s="279"/>
      <c r="AB4362" s="238"/>
      <c r="AC4362" s="196">
        <f t="shared" si="1398"/>
        <v>0</v>
      </c>
      <c r="AD4362" s="196">
        <f t="shared" si="1399"/>
        <v>0</v>
      </c>
      <c r="AE4362" s="196">
        <f t="shared" si="1400"/>
        <v>0</v>
      </c>
      <c r="AF4362" s="2">
        <f t="shared" si="1401"/>
        <v>0</v>
      </c>
      <c r="AG4362" s="2">
        <f t="shared" si="1402"/>
        <v>0</v>
      </c>
    </row>
    <row r="4363" spans="1:33">
      <c r="A4363" s="20" t="s">
        <v>25937</v>
      </c>
      <c r="B4363" s="150"/>
      <c r="C4363" s="21" t="s">
        <v>25992</v>
      </c>
      <c r="D4363" s="109" t="s">
        <v>3137</v>
      </c>
      <c r="E4363" s="109" t="s">
        <v>26342</v>
      </c>
      <c r="F4363" s="391" t="s">
        <v>25996</v>
      </c>
      <c r="G4363" s="23" t="s">
        <v>24275</v>
      </c>
      <c r="H4363" s="23"/>
      <c r="I4363" s="23"/>
      <c r="J4363" s="23"/>
      <c r="K4363" s="23"/>
      <c r="L4363" s="375"/>
      <c r="M4363" s="351"/>
      <c r="N4363" s="267">
        <f t="shared" ref="N4363:N4368" si="1485">SUM(L4363:M4363)</f>
        <v>0</v>
      </c>
      <c r="O4363" s="268">
        <f t="shared" ref="O4363:O4368" si="1486">SUM(P4363:Z4363)</f>
        <v>0</v>
      </c>
      <c r="P4363" s="239"/>
      <c r="Q4363" s="239"/>
      <c r="R4363" s="239"/>
      <c r="S4363" s="239"/>
      <c r="T4363" s="239"/>
      <c r="U4363" s="240"/>
      <c r="V4363" s="240"/>
      <c r="W4363" s="240"/>
      <c r="X4363" s="278"/>
      <c r="Y4363" s="237"/>
      <c r="Z4363" s="237"/>
      <c r="AA4363" s="279"/>
      <c r="AB4363" s="238"/>
      <c r="AC4363" s="196">
        <f t="shared" si="1398"/>
        <v>0</v>
      </c>
      <c r="AD4363" s="196">
        <f t="shared" si="1399"/>
        <v>0</v>
      </c>
      <c r="AE4363" s="196">
        <f t="shared" si="1400"/>
        <v>0</v>
      </c>
      <c r="AF4363" s="2">
        <f t="shared" si="1401"/>
        <v>0</v>
      </c>
      <c r="AG4363" s="2">
        <f t="shared" si="1402"/>
        <v>0</v>
      </c>
    </row>
    <row r="4364" spans="1:33">
      <c r="A4364" s="20" t="s">
        <v>26733</v>
      </c>
      <c r="B4364" s="150"/>
      <c r="C4364" s="21" t="s">
        <v>25992</v>
      </c>
      <c r="D4364" s="109" t="s">
        <v>4070</v>
      </c>
      <c r="E4364" s="109" t="s">
        <v>26343</v>
      </c>
      <c r="F4364" s="391" t="s">
        <v>26296</v>
      </c>
      <c r="G4364" s="23" t="s">
        <v>26151</v>
      </c>
      <c r="H4364" s="23"/>
      <c r="I4364" s="23"/>
      <c r="J4364" s="23"/>
      <c r="K4364" s="23"/>
      <c r="L4364" s="375" t="s">
        <v>27989</v>
      </c>
      <c r="M4364" s="351" t="s">
        <v>45</v>
      </c>
      <c r="N4364" s="267">
        <f t="shared" ref="N4364" si="1487">SUM(L4364:M4364)</f>
        <v>0</v>
      </c>
      <c r="O4364" s="268">
        <f t="shared" ref="O4364" si="1488">SUM(P4364:Z4364)</f>
        <v>9850</v>
      </c>
      <c r="P4364" s="239"/>
      <c r="Q4364" s="239"/>
      <c r="R4364" s="239">
        <f>400-200+1850-2000+5700-300+6200-1500-300</f>
        <v>9850</v>
      </c>
      <c r="S4364" s="239"/>
      <c r="T4364" s="239"/>
      <c r="U4364" s="240"/>
      <c r="V4364" s="240"/>
      <c r="W4364" s="240"/>
      <c r="X4364" s="278"/>
      <c r="Y4364" s="237"/>
      <c r="Z4364" s="237"/>
      <c r="AA4364" s="279"/>
      <c r="AB4364" s="238" t="s">
        <v>27992</v>
      </c>
      <c r="AC4364" s="196">
        <f t="shared" si="1398"/>
        <v>9850</v>
      </c>
      <c r="AD4364" s="196">
        <f t="shared" si="1399"/>
        <v>9850</v>
      </c>
      <c r="AE4364" s="196">
        <f t="shared" si="1400"/>
        <v>0</v>
      </c>
      <c r="AF4364" s="2">
        <f t="shared" si="1401"/>
        <v>9850</v>
      </c>
      <c r="AG4364" s="2">
        <f t="shared" si="1402"/>
        <v>0</v>
      </c>
    </row>
    <row r="4365" spans="1:33">
      <c r="A4365" s="20" t="s">
        <v>26258</v>
      </c>
      <c r="B4365" s="150"/>
      <c r="C4365" s="21" t="s">
        <v>25992</v>
      </c>
      <c r="D4365" s="109" t="s">
        <v>4070</v>
      </c>
      <c r="E4365" s="109" t="s">
        <v>26297</v>
      </c>
      <c r="F4365" s="391" t="s">
        <v>26296</v>
      </c>
      <c r="G4365" s="23" t="s">
        <v>26151</v>
      </c>
      <c r="H4365" s="23"/>
      <c r="I4365" s="23"/>
      <c r="J4365" s="23"/>
      <c r="K4365" s="23"/>
      <c r="L4365" s="375" t="s">
        <v>7787</v>
      </c>
      <c r="M4365" s="351"/>
      <c r="N4365" s="267">
        <f t="shared" ref="N4365" si="1489">SUM(L4365:M4365)</f>
        <v>0</v>
      </c>
      <c r="O4365" s="268">
        <f t="shared" ref="O4365" si="1490">SUM(P4365:Z4365)</f>
        <v>0</v>
      </c>
      <c r="P4365" s="239"/>
      <c r="Q4365" s="239"/>
      <c r="R4365" s="239"/>
      <c r="S4365" s="239"/>
      <c r="T4365" s="239"/>
      <c r="U4365" s="240"/>
      <c r="V4365" s="240"/>
      <c r="W4365" s="240"/>
      <c r="X4365" s="278"/>
      <c r="Y4365" s="237"/>
      <c r="Z4365" s="237"/>
      <c r="AA4365" s="279"/>
      <c r="AB4365" s="238"/>
      <c r="AC4365" s="196">
        <f t="shared" si="1398"/>
        <v>0</v>
      </c>
      <c r="AD4365" s="196">
        <f t="shared" si="1399"/>
        <v>0</v>
      </c>
      <c r="AE4365" s="196">
        <f t="shared" si="1400"/>
        <v>0</v>
      </c>
      <c r="AF4365" s="2">
        <f t="shared" si="1401"/>
        <v>0</v>
      </c>
      <c r="AG4365" s="2">
        <f t="shared" si="1402"/>
        <v>0</v>
      </c>
    </row>
    <row r="4366" spans="1:33">
      <c r="A4366" s="20" t="s">
        <v>26117</v>
      </c>
      <c r="B4366" s="150"/>
      <c r="C4366" s="21" t="s">
        <v>26225</v>
      </c>
      <c r="D4366" s="109" t="s">
        <v>3137</v>
      </c>
      <c r="E4366" s="109"/>
      <c r="F4366" s="391" t="s">
        <v>26229</v>
      </c>
      <c r="G4366" s="23" t="s">
        <v>23384</v>
      </c>
      <c r="H4366" s="23" t="s">
        <v>13934</v>
      </c>
      <c r="I4366" s="23" t="s">
        <v>23228</v>
      </c>
      <c r="J4366" s="23"/>
      <c r="K4366" s="23"/>
      <c r="L4366" s="375"/>
      <c r="M4366" s="351"/>
      <c r="N4366" s="267">
        <f t="shared" ref="N4366" si="1491">SUM(L4366:M4366)</f>
        <v>0</v>
      </c>
      <c r="O4366" s="268">
        <f t="shared" ref="O4366" si="1492">SUM(P4366:Z4366)</f>
        <v>650</v>
      </c>
      <c r="P4366" s="239"/>
      <c r="Q4366" s="239">
        <f>750-100</f>
        <v>650</v>
      </c>
      <c r="R4366" s="239"/>
      <c r="S4366" s="239"/>
      <c r="T4366" s="239"/>
      <c r="U4366" s="240"/>
      <c r="V4366" s="240"/>
      <c r="W4366" s="240"/>
      <c r="X4366" s="278"/>
      <c r="Y4366" s="237"/>
      <c r="Z4366" s="237"/>
      <c r="AA4366" s="279"/>
      <c r="AB4366" s="238" t="s">
        <v>28019</v>
      </c>
      <c r="AC4366" s="196">
        <f t="shared" si="1398"/>
        <v>650</v>
      </c>
      <c r="AD4366" s="196">
        <f t="shared" si="1399"/>
        <v>650</v>
      </c>
      <c r="AE4366" s="196">
        <f t="shared" si="1400"/>
        <v>0</v>
      </c>
      <c r="AF4366" s="2">
        <f t="shared" si="1401"/>
        <v>650</v>
      </c>
      <c r="AG4366" s="2">
        <f t="shared" si="1402"/>
        <v>0</v>
      </c>
    </row>
    <row r="4367" spans="1:33">
      <c r="A4367" s="20" t="s">
        <v>25949</v>
      </c>
      <c r="B4367" s="150"/>
      <c r="C4367" s="21" t="s">
        <v>26053</v>
      </c>
      <c r="D4367" s="109" t="s">
        <v>25918</v>
      </c>
      <c r="E4367" s="109" t="s">
        <v>26055</v>
      </c>
      <c r="F4367" s="391" t="s">
        <v>26056</v>
      </c>
      <c r="G4367" s="23" t="s">
        <v>25916</v>
      </c>
      <c r="H4367" s="23"/>
      <c r="I4367" s="23"/>
      <c r="J4367" s="23"/>
      <c r="K4367" s="23"/>
      <c r="L4367" s="375"/>
      <c r="M4367" s="351"/>
      <c r="N4367" s="267">
        <f t="shared" si="1485"/>
        <v>0</v>
      </c>
      <c r="O4367" s="268">
        <f t="shared" si="1486"/>
        <v>100</v>
      </c>
      <c r="P4367" s="239"/>
      <c r="Q4367" s="239"/>
      <c r="R4367" s="239"/>
      <c r="S4367" s="239"/>
      <c r="T4367" s="239"/>
      <c r="U4367" s="240">
        <f>1090-990</f>
        <v>100</v>
      </c>
      <c r="V4367" s="240"/>
      <c r="W4367" s="240"/>
      <c r="X4367" s="278"/>
      <c r="Y4367" s="237"/>
      <c r="Z4367" s="237"/>
      <c r="AA4367" s="279"/>
      <c r="AB4367" s="238" t="s">
        <v>26064</v>
      </c>
      <c r="AC4367" s="196">
        <f t="shared" si="1398"/>
        <v>100</v>
      </c>
      <c r="AD4367" s="196">
        <f t="shared" si="1399"/>
        <v>100</v>
      </c>
      <c r="AE4367" s="196">
        <f t="shared" si="1400"/>
        <v>0</v>
      </c>
      <c r="AF4367" s="2">
        <f t="shared" si="1401"/>
        <v>100</v>
      </c>
      <c r="AG4367" s="2">
        <f t="shared" si="1402"/>
        <v>0</v>
      </c>
    </row>
    <row r="4368" spans="1:33">
      <c r="A4368" s="20" t="s">
        <v>26008</v>
      </c>
      <c r="B4368" s="150"/>
      <c r="C4368" s="21" t="s">
        <v>26054</v>
      </c>
      <c r="D4368" s="109" t="s">
        <v>25918</v>
      </c>
      <c r="E4368" s="109" t="s">
        <v>26063</v>
      </c>
      <c r="F4368" s="391" t="s">
        <v>26057</v>
      </c>
      <c r="G4368" s="23" t="s">
        <v>25916</v>
      </c>
      <c r="H4368" s="23"/>
      <c r="I4368" s="23"/>
      <c r="J4368" s="23"/>
      <c r="K4368" s="23"/>
      <c r="L4368" s="375" t="s">
        <v>45</v>
      </c>
      <c r="M4368" s="351"/>
      <c r="N4368" s="267">
        <f t="shared" si="1485"/>
        <v>0</v>
      </c>
      <c r="O4368" s="268">
        <f t="shared" si="1486"/>
        <v>50</v>
      </c>
      <c r="P4368" s="239"/>
      <c r="Q4368" s="239"/>
      <c r="R4368" s="239"/>
      <c r="S4368" s="239"/>
      <c r="T4368" s="239"/>
      <c r="U4368" s="240">
        <f>1040-990</f>
        <v>50</v>
      </c>
      <c r="V4368" s="240"/>
      <c r="W4368" s="240"/>
      <c r="X4368" s="278"/>
      <c r="Y4368" s="237"/>
      <c r="Z4368" s="237"/>
      <c r="AA4368" s="279"/>
      <c r="AB4368" s="238" t="s">
        <v>26064</v>
      </c>
      <c r="AC4368" s="196">
        <f t="shared" si="1398"/>
        <v>50</v>
      </c>
      <c r="AD4368" s="196">
        <f t="shared" si="1399"/>
        <v>50</v>
      </c>
      <c r="AE4368" s="196">
        <f t="shared" si="1400"/>
        <v>0</v>
      </c>
      <c r="AF4368" s="2">
        <f t="shared" si="1401"/>
        <v>50</v>
      </c>
      <c r="AG4368" s="2">
        <f t="shared" si="1402"/>
        <v>0</v>
      </c>
    </row>
    <row r="4369" spans="1:33">
      <c r="A4369" s="20" t="s">
        <v>26009</v>
      </c>
      <c r="B4369" s="150"/>
      <c r="C4369" s="21" t="s">
        <v>26048</v>
      </c>
      <c r="D4369" s="109" t="s">
        <v>3137</v>
      </c>
      <c r="E4369" s="109" t="s">
        <v>26049</v>
      </c>
      <c r="F4369" s="391" t="s">
        <v>26530</v>
      </c>
      <c r="G4369" s="23" t="s">
        <v>14332</v>
      </c>
      <c r="H4369" s="23"/>
      <c r="I4369" s="23"/>
      <c r="J4369" s="23"/>
      <c r="K4369" s="23"/>
      <c r="L4369" s="375" t="s">
        <v>45</v>
      </c>
      <c r="M4369" s="351" t="s">
        <v>45</v>
      </c>
      <c r="N4369" s="267">
        <f t="shared" ref="N4369" si="1493">SUM(L4369:M4369)</f>
        <v>0</v>
      </c>
      <c r="O4369" s="268">
        <f t="shared" ref="O4369" si="1494">SUM(P4369:Z4369)</f>
        <v>1150</v>
      </c>
      <c r="P4369" s="239"/>
      <c r="Q4369" s="239"/>
      <c r="R4369" s="239"/>
      <c r="S4369" s="239"/>
      <c r="T4369" s="239"/>
      <c r="U4369" s="240">
        <f>1450-300</f>
        <v>1150</v>
      </c>
      <c r="V4369" s="240"/>
      <c r="W4369" s="240"/>
      <c r="X4369" s="278"/>
      <c r="Y4369" s="237"/>
      <c r="Z4369" s="237"/>
      <c r="AA4369" s="279"/>
      <c r="AB4369" s="238" t="s">
        <v>27157</v>
      </c>
      <c r="AC4369" s="196">
        <f t="shared" si="1398"/>
        <v>1150</v>
      </c>
      <c r="AD4369" s="196">
        <f t="shared" si="1399"/>
        <v>1150</v>
      </c>
      <c r="AE4369" s="196">
        <f t="shared" si="1400"/>
        <v>0</v>
      </c>
      <c r="AF4369" s="2">
        <f t="shared" si="1401"/>
        <v>1150</v>
      </c>
      <c r="AG4369" s="2">
        <f t="shared" si="1402"/>
        <v>0</v>
      </c>
    </row>
    <row r="4370" spans="1:33">
      <c r="A4370" s="20" t="s">
        <v>2931</v>
      </c>
      <c r="B4370" s="156" t="s">
        <v>16917</v>
      </c>
      <c r="C4370" s="21" t="s">
        <v>855</v>
      </c>
      <c r="D4370" s="109" t="s">
        <v>15167</v>
      </c>
      <c r="E4370" s="109"/>
      <c r="F4370" s="391" t="s">
        <v>16918</v>
      </c>
      <c r="G4370" s="23" t="s">
        <v>15802</v>
      </c>
      <c r="H4370" s="23" t="s">
        <v>24567</v>
      </c>
      <c r="I4370" s="23"/>
      <c r="J4370" s="23"/>
      <c r="K4370" s="23"/>
      <c r="L4370" s="375"/>
      <c r="M4370" s="351"/>
      <c r="N4370" s="267">
        <f t="shared" si="1473"/>
        <v>0</v>
      </c>
      <c r="O4370" s="268">
        <f t="shared" si="1474"/>
        <v>50</v>
      </c>
      <c r="P4370" s="239"/>
      <c r="Q4370" s="239"/>
      <c r="R4370" s="239"/>
      <c r="S4370" s="239">
        <f>100-50</f>
        <v>50</v>
      </c>
      <c r="T4370" s="239"/>
      <c r="U4370" s="240"/>
      <c r="V4370" s="240"/>
      <c r="W4370" s="240"/>
      <c r="X4370" s="278"/>
      <c r="Y4370" s="237"/>
      <c r="Z4370" s="237"/>
      <c r="AA4370" s="279"/>
      <c r="AB4370" s="238" t="s">
        <v>25488</v>
      </c>
      <c r="AC4370" s="196">
        <f t="shared" si="1398"/>
        <v>50</v>
      </c>
      <c r="AD4370" s="196">
        <f t="shared" si="1399"/>
        <v>50</v>
      </c>
      <c r="AE4370" s="196">
        <f t="shared" si="1400"/>
        <v>0</v>
      </c>
      <c r="AF4370" s="2">
        <f t="shared" si="1401"/>
        <v>50</v>
      </c>
      <c r="AG4370" s="2">
        <f t="shared" si="1402"/>
        <v>0</v>
      </c>
    </row>
    <row r="4371" spans="1:33">
      <c r="A4371" s="20" t="s">
        <v>25947</v>
      </c>
      <c r="B4371" s="156"/>
      <c r="C4371" s="21" t="s">
        <v>26026</v>
      </c>
      <c r="D4371" s="109" t="s">
        <v>3137</v>
      </c>
      <c r="E4371" s="109"/>
      <c r="F4371" s="391" t="s">
        <v>26030</v>
      </c>
      <c r="G4371" s="23" t="s">
        <v>22837</v>
      </c>
      <c r="H4371" s="23" t="s">
        <v>27251</v>
      </c>
      <c r="I4371" s="23"/>
      <c r="J4371" s="23"/>
      <c r="K4371" s="23"/>
      <c r="L4371" s="375" t="s">
        <v>45</v>
      </c>
      <c r="M4371" s="351"/>
      <c r="N4371" s="267">
        <f t="shared" ref="N4371" si="1495">SUM(L4371:M4371)</f>
        <v>0</v>
      </c>
      <c r="O4371" s="268">
        <f t="shared" ref="O4371" si="1496">SUM(P4371:Z4371)</f>
        <v>50</v>
      </c>
      <c r="P4371" s="239"/>
      <c r="Q4371" s="239">
        <f>450-400+200-100-100</f>
        <v>50</v>
      </c>
      <c r="R4371" s="239"/>
      <c r="S4371" s="239"/>
      <c r="T4371" s="239"/>
      <c r="U4371" s="240"/>
      <c r="V4371" s="240"/>
      <c r="W4371" s="240"/>
      <c r="X4371" s="278"/>
      <c r="Y4371" s="237"/>
      <c r="Z4371" s="237"/>
      <c r="AA4371" s="279"/>
      <c r="AB4371" s="238" t="s">
        <v>27247</v>
      </c>
      <c r="AC4371" s="196">
        <f t="shared" si="1398"/>
        <v>50</v>
      </c>
      <c r="AD4371" s="196">
        <f t="shared" si="1399"/>
        <v>50</v>
      </c>
      <c r="AE4371" s="196">
        <f t="shared" si="1400"/>
        <v>0</v>
      </c>
      <c r="AF4371" s="2">
        <f t="shared" si="1401"/>
        <v>50</v>
      </c>
      <c r="AG4371" s="2">
        <f t="shared" si="1402"/>
        <v>0</v>
      </c>
    </row>
    <row r="4372" spans="1:33">
      <c r="A4372" s="20" t="s">
        <v>26010</v>
      </c>
      <c r="B4372" s="156"/>
      <c r="C4372" s="21" t="s">
        <v>26087</v>
      </c>
      <c r="D4372" s="109" t="s">
        <v>3137</v>
      </c>
      <c r="E4372" s="109"/>
      <c r="F4372" s="391" t="s">
        <v>26093</v>
      </c>
      <c r="G4372" s="23" t="s">
        <v>22837</v>
      </c>
      <c r="H4372" s="23"/>
      <c r="I4372" s="23"/>
      <c r="J4372" s="23"/>
      <c r="K4372" s="23"/>
      <c r="L4372" s="375" t="s">
        <v>27912</v>
      </c>
      <c r="M4372" s="351" t="s">
        <v>45</v>
      </c>
      <c r="N4372" s="267">
        <f t="shared" ref="N4372" si="1497">SUM(L4372:M4372)</f>
        <v>0</v>
      </c>
      <c r="O4372" s="268">
        <f t="shared" ref="O4372" si="1498">SUM(P4372:Z4372)</f>
        <v>9250</v>
      </c>
      <c r="P4372" s="239"/>
      <c r="Q4372" s="239">
        <f>3200-2000+4600+2500+950</f>
        <v>9250</v>
      </c>
      <c r="R4372" s="239"/>
      <c r="S4372" s="239"/>
      <c r="T4372" s="239"/>
      <c r="U4372" s="240"/>
      <c r="V4372" s="240"/>
      <c r="W4372" s="240"/>
      <c r="X4372" s="278"/>
      <c r="Y4372" s="237"/>
      <c r="Z4372" s="237"/>
      <c r="AA4372" s="279"/>
      <c r="AB4372" s="238" t="s">
        <v>27909</v>
      </c>
      <c r="AC4372" s="196">
        <f t="shared" si="1398"/>
        <v>9250</v>
      </c>
      <c r="AD4372" s="196">
        <f t="shared" si="1399"/>
        <v>9250</v>
      </c>
      <c r="AE4372" s="196">
        <f t="shared" si="1400"/>
        <v>0</v>
      </c>
      <c r="AF4372" s="2">
        <f t="shared" si="1401"/>
        <v>9250</v>
      </c>
      <c r="AG4372" s="2">
        <f t="shared" si="1402"/>
        <v>0</v>
      </c>
    </row>
    <row r="4373" spans="1:33">
      <c r="A4373" s="20" t="s">
        <v>26018</v>
      </c>
      <c r="B4373" s="156"/>
      <c r="C4373" s="21" t="s">
        <v>26102</v>
      </c>
      <c r="D4373" s="109" t="s">
        <v>3137</v>
      </c>
      <c r="E4373" s="109"/>
      <c r="F4373" s="391" t="s">
        <v>26093</v>
      </c>
      <c r="G4373" s="23" t="s">
        <v>13301</v>
      </c>
      <c r="H4373" s="23"/>
      <c r="I4373" s="23"/>
      <c r="J4373" s="23"/>
      <c r="K4373" s="23"/>
      <c r="L4373" s="375" t="s">
        <v>27847</v>
      </c>
      <c r="M4373" s="351"/>
      <c r="N4373" s="267">
        <f t="shared" ref="N4373" si="1499">SUM(L4373:M4373)</f>
        <v>0</v>
      </c>
      <c r="O4373" s="268">
        <f t="shared" ref="O4373" si="1500">SUM(P4373:Z4373)</f>
        <v>8850</v>
      </c>
      <c r="P4373" s="239"/>
      <c r="Q4373" s="239"/>
      <c r="R4373" s="239"/>
      <c r="S4373" s="239"/>
      <c r="T4373" s="239"/>
      <c r="U4373" s="240">
        <f>2300+3650+3950-1050</f>
        <v>8850</v>
      </c>
      <c r="V4373" s="240"/>
      <c r="W4373" s="240"/>
      <c r="X4373" s="278"/>
      <c r="Y4373" s="237"/>
      <c r="Z4373" s="237"/>
      <c r="AA4373" s="279"/>
      <c r="AB4373" s="238" t="s">
        <v>27831</v>
      </c>
      <c r="AC4373" s="196">
        <f t="shared" si="1398"/>
        <v>8850</v>
      </c>
      <c r="AD4373" s="196">
        <f t="shared" si="1399"/>
        <v>8850</v>
      </c>
      <c r="AE4373" s="196">
        <f t="shared" si="1400"/>
        <v>0</v>
      </c>
      <c r="AF4373" s="2">
        <f t="shared" si="1401"/>
        <v>8850</v>
      </c>
      <c r="AG4373" s="2">
        <f t="shared" si="1402"/>
        <v>0</v>
      </c>
    </row>
    <row r="4374" spans="1:33">
      <c r="A4374" s="20" t="s">
        <v>26011</v>
      </c>
      <c r="B4374" s="156"/>
      <c r="C4374" s="21" t="s">
        <v>26085</v>
      </c>
      <c r="D4374" s="109" t="s">
        <v>3137</v>
      </c>
      <c r="E4374" s="109" t="s">
        <v>26086</v>
      </c>
      <c r="F4374" s="391" t="s">
        <v>26094</v>
      </c>
      <c r="G4374" s="23" t="s">
        <v>13888</v>
      </c>
      <c r="H4374" s="23"/>
      <c r="I4374" s="23"/>
      <c r="J4374" s="23"/>
      <c r="K4374" s="23"/>
      <c r="L4374" s="375"/>
      <c r="M4374" s="351" t="s">
        <v>45</v>
      </c>
      <c r="N4374" s="267">
        <f t="shared" ref="N4374" si="1501">SUM(L4374:M4374)</f>
        <v>0</v>
      </c>
      <c r="O4374" s="268">
        <f t="shared" ref="O4374" si="1502">SUM(P4374:Z4374)</f>
        <v>200</v>
      </c>
      <c r="P4374" s="239"/>
      <c r="Q4374" s="239"/>
      <c r="R4374" s="239"/>
      <c r="S4374" s="239"/>
      <c r="T4374" s="239"/>
      <c r="U4374" s="240">
        <f>300-100</f>
        <v>200</v>
      </c>
      <c r="V4374" s="240"/>
      <c r="W4374" s="240"/>
      <c r="X4374" s="278"/>
      <c r="Y4374" s="237"/>
      <c r="Z4374" s="237"/>
      <c r="AA4374" s="279"/>
      <c r="AB4374" s="238" t="s">
        <v>26091</v>
      </c>
      <c r="AC4374" s="196">
        <f t="shared" si="1398"/>
        <v>200</v>
      </c>
      <c r="AD4374" s="196">
        <f t="shared" si="1399"/>
        <v>200</v>
      </c>
      <c r="AE4374" s="196">
        <f t="shared" si="1400"/>
        <v>0</v>
      </c>
      <c r="AF4374" s="2">
        <f t="shared" si="1401"/>
        <v>200</v>
      </c>
      <c r="AG4374" s="2">
        <f t="shared" si="1402"/>
        <v>0</v>
      </c>
    </row>
    <row r="4375" spans="1:33">
      <c r="A4375" s="20" t="s">
        <v>26732</v>
      </c>
      <c r="B4375" s="156"/>
      <c r="C4375" s="21" t="s">
        <v>26647</v>
      </c>
      <c r="D4375" s="109" t="s">
        <v>11207</v>
      </c>
      <c r="E4375" s="109"/>
      <c r="F4375" s="391" t="s">
        <v>26653</v>
      </c>
      <c r="G4375" s="23" t="s">
        <v>15443</v>
      </c>
      <c r="H4375" s="23"/>
      <c r="I4375" s="23"/>
      <c r="J4375" s="23"/>
      <c r="K4375" s="23"/>
      <c r="L4375" s="375" t="s">
        <v>45</v>
      </c>
      <c r="M4375" s="351"/>
      <c r="N4375" s="267">
        <f t="shared" ref="N4375" si="1503">SUM(L4375:M4375)</f>
        <v>0</v>
      </c>
      <c r="O4375" s="268">
        <f t="shared" ref="O4375" si="1504">SUM(P4375:Z4375)</f>
        <v>100</v>
      </c>
      <c r="P4375" s="239"/>
      <c r="Q4375" s="239"/>
      <c r="R4375" s="239"/>
      <c r="S4375" s="239"/>
      <c r="T4375" s="239"/>
      <c r="U4375" s="240"/>
      <c r="V4375" s="240">
        <f>400-300</f>
        <v>100</v>
      </c>
      <c r="W4375" s="240"/>
      <c r="X4375" s="278"/>
      <c r="Y4375" s="237"/>
      <c r="Z4375" s="237"/>
      <c r="AA4375" s="279"/>
      <c r="AB4375" s="238" t="s">
        <v>26654</v>
      </c>
      <c r="AC4375" s="196">
        <f t="shared" si="1398"/>
        <v>100</v>
      </c>
      <c r="AD4375" s="196">
        <f t="shared" si="1399"/>
        <v>100</v>
      </c>
      <c r="AE4375" s="196">
        <f t="shared" si="1400"/>
        <v>0</v>
      </c>
      <c r="AF4375" s="2">
        <f t="shared" si="1401"/>
        <v>100</v>
      </c>
      <c r="AG4375" s="2">
        <f t="shared" si="1402"/>
        <v>0</v>
      </c>
    </row>
    <row r="4376" spans="1:33">
      <c r="A4376" s="20" t="s">
        <v>26115</v>
      </c>
      <c r="B4376" s="156"/>
      <c r="C4376" s="21" t="s">
        <v>26214</v>
      </c>
      <c r="D4376" s="109" t="s">
        <v>3137</v>
      </c>
      <c r="E4376" s="109"/>
      <c r="F4376" s="391" t="s">
        <v>26218</v>
      </c>
      <c r="G4376" s="23" t="s">
        <v>13888</v>
      </c>
      <c r="H4376" s="23"/>
      <c r="I4376" s="23"/>
      <c r="J4376" s="23"/>
      <c r="K4376" s="23"/>
      <c r="L4376" s="375" t="s">
        <v>45</v>
      </c>
      <c r="M4376" s="351"/>
      <c r="N4376" s="267">
        <f t="shared" ref="N4376" si="1505">SUM(L4376:M4376)</f>
        <v>0</v>
      </c>
      <c r="O4376" s="268">
        <f t="shared" ref="O4376" si="1506">SUM(P4376:Z4376)</f>
        <v>0</v>
      </c>
      <c r="P4376" s="239"/>
      <c r="Q4376" s="239"/>
      <c r="R4376" s="239"/>
      <c r="S4376" s="239"/>
      <c r="T4376" s="239"/>
      <c r="U4376" s="240"/>
      <c r="V4376" s="240"/>
      <c r="W4376" s="240"/>
      <c r="X4376" s="278"/>
      <c r="Y4376" s="237"/>
      <c r="Z4376" s="237"/>
      <c r="AA4376" s="279"/>
      <c r="AB4376" s="238"/>
      <c r="AC4376" s="196">
        <f t="shared" ref="AC4376:AC4509" si="1507">SUM(P4376:AA4376)</f>
        <v>0</v>
      </c>
      <c r="AD4376" s="196">
        <f t="shared" ref="AD4376:AD4509" si="1508">SUM(P4376:AB4376)</f>
        <v>0</v>
      </c>
      <c r="AE4376" s="196">
        <f t="shared" ref="AE4376:AE4509" si="1509">SUM(AC4376-AD4376)</f>
        <v>0</v>
      </c>
      <c r="AF4376" s="2">
        <f t="shared" ref="AF4376:AF4509" si="1510">+AC4376</f>
        <v>0</v>
      </c>
      <c r="AG4376" s="2">
        <f t="shared" ref="AG4376:AG4509" si="1511">+AC4376-AF4376</f>
        <v>0</v>
      </c>
    </row>
    <row r="4377" spans="1:33">
      <c r="A4377" s="20" t="s">
        <v>26114</v>
      </c>
      <c r="B4377" s="156"/>
      <c r="C4377" s="21" t="s">
        <v>26208</v>
      </c>
      <c r="D4377" s="109" t="s">
        <v>3958</v>
      </c>
      <c r="E4377" s="109"/>
      <c r="F4377" s="391" t="s">
        <v>26212</v>
      </c>
      <c r="G4377" s="23" t="s">
        <v>25906</v>
      </c>
      <c r="H4377" s="23" t="s">
        <v>26314</v>
      </c>
      <c r="I4377" s="23"/>
      <c r="J4377" s="23"/>
      <c r="K4377" s="23"/>
      <c r="L4377" s="375">
        <f>4800+3100</f>
        <v>7900</v>
      </c>
      <c r="M4377" s="351" t="s">
        <v>45</v>
      </c>
      <c r="N4377" s="267">
        <f t="shared" ref="N4377" si="1512">SUM(L4377:M4377)</f>
        <v>7900</v>
      </c>
      <c r="O4377" s="268">
        <f t="shared" ref="O4377" si="1513">SUM(P4377:Z4377)</f>
        <v>6200</v>
      </c>
      <c r="P4377" s="239"/>
      <c r="Q4377" s="239"/>
      <c r="R4377" s="239"/>
      <c r="S4377" s="239"/>
      <c r="T4377" s="239"/>
      <c r="U4377" s="240">
        <f>2600-200-300+700-100-1000-400-300-100-200-400+5900</f>
        <v>6200</v>
      </c>
      <c r="V4377" s="240"/>
      <c r="W4377" s="240"/>
      <c r="X4377" s="278"/>
      <c r="Y4377" s="237"/>
      <c r="Z4377" s="237"/>
      <c r="AA4377" s="279"/>
      <c r="AB4377" s="238" t="s">
        <v>28020</v>
      </c>
      <c r="AC4377" s="196">
        <f t="shared" si="1507"/>
        <v>6200</v>
      </c>
      <c r="AD4377" s="196">
        <f t="shared" si="1508"/>
        <v>6200</v>
      </c>
      <c r="AE4377" s="196">
        <f t="shared" si="1509"/>
        <v>0</v>
      </c>
      <c r="AF4377" s="2">
        <f t="shared" si="1510"/>
        <v>6200</v>
      </c>
      <c r="AG4377" s="2">
        <f t="shared" si="1511"/>
        <v>0</v>
      </c>
    </row>
    <row r="4378" spans="1:33">
      <c r="A4378" s="20" t="s">
        <v>26116</v>
      </c>
      <c r="B4378" s="156"/>
      <c r="C4378" s="21" t="s">
        <v>26224</v>
      </c>
      <c r="D4378" s="109" t="s">
        <v>5979</v>
      </c>
      <c r="E4378" s="109"/>
      <c r="F4378" s="391" t="s">
        <v>26228</v>
      </c>
      <c r="G4378" s="23" t="s">
        <v>15443</v>
      </c>
      <c r="H4378" s="23" t="s">
        <v>26487</v>
      </c>
      <c r="I4378" s="23" t="s">
        <v>26926</v>
      </c>
      <c r="J4378" s="23"/>
      <c r="K4378" s="23"/>
      <c r="L4378" s="375" t="s">
        <v>27951</v>
      </c>
      <c r="M4378" s="351"/>
      <c r="N4378" s="267">
        <f t="shared" ref="N4378" si="1514">SUM(L4378:M4378)</f>
        <v>0</v>
      </c>
      <c r="O4378" s="268">
        <f t="shared" ref="O4378" si="1515">SUM(P4378:Z4378)</f>
        <v>1200</v>
      </c>
      <c r="P4378" s="239"/>
      <c r="Q4378" s="239"/>
      <c r="R4378" s="239"/>
      <c r="S4378" s="239"/>
      <c r="T4378" s="239"/>
      <c r="U4378" s="240"/>
      <c r="V4378" s="240">
        <f>1400-1000-300+600-300-200+500-400+3300-1000-200-1000-600+1400-1000</f>
        <v>1200</v>
      </c>
      <c r="W4378" s="240"/>
      <c r="X4378" s="278"/>
      <c r="Y4378" s="237"/>
      <c r="Z4378" s="237"/>
      <c r="AA4378" s="279"/>
      <c r="AB4378" s="238" t="s">
        <v>27945</v>
      </c>
      <c r="AC4378" s="196">
        <f t="shared" si="1507"/>
        <v>1200</v>
      </c>
      <c r="AD4378" s="196">
        <f t="shared" si="1508"/>
        <v>1200</v>
      </c>
      <c r="AE4378" s="196">
        <f t="shared" si="1509"/>
        <v>0</v>
      </c>
      <c r="AF4378" s="2">
        <f t="shared" si="1510"/>
        <v>1200</v>
      </c>
      <c r="AG4378" s="2">
        <f t="shared" si="1511"/>
        <v>0</v>
      </c>
    </row>
    <row r="4379" spans="1:33">
      <c r="A4379" s="20" t="s">
        <v>26121</v>
      </c>
      <c r="B4379" s="156"/>
      <c r="C4379" s="21" t="s">
        <v>26235</v>
      </c>
      <c r="D4379" s="109" t="s">
        <v>3137</v>
      </c>
      <c r="E4379" s="109"/>
      <c r="F4379" s="391" t="s">
        <v>26241</v>
      </c>
      <c r="G4379" s="23" t="s">
        <v>26240</v>
      </c>
      <c r="H4379" s="23"/>
      <c r="I4379" s="23"/>
      <c r="J4379" s="23"/>
      <c r="K4379" s="23"/>
      <c r="L4379" s="375" t="s">
        <v>45</v>
      </c>
      <c r="M4379" s="351"/>
      <c r="N4379" s="267">
        <f t="shared" ref="N4379" si="1516">SUM(L4379:M4379)</f>
        <v>0</v>
      </c>
      <c r="O4379" s="268">
        <f t="shared" ref="O4379" si="1517">SUM(P4379:Z4379)</f>
        <v>100</v>
      </c>
      <c r="P4379" s="239"/>
      <c r="Q4379" s="239">
        <f>600-500</f>
        <v>100</v>
      </c>
      <c r="R4379" s="239"/>
      <c r="S4379" s="239"/>
      <c r="T4379" s="239"/>
      <c r="U4379" s="240"/>
      <c r="V4379" s="240"/>
      <c r="W4379" s="240"/>
      <c r="X4379" s="278"/>
      <c r="Y4379" s="237"/>
      <c r="Z4379" s="237"/>
      <c r="AA4379" s="279"/>
      <c r="AB4379" s="238" t="s">
        <v>26242</v>
      </c>
      <c r="AC4379" s="196">
        <f t="shared" si="1507"/>
        <v>100</v>
      </c>
      <c r="AD4379" s="196">
        <f t="shared" si="1508"/>
        <v>100</v>
      </c>
      <c r="AE4379" s="196">
        <f t="shared" si="1509"/>
        <v>0</v>
      </c>
      <c r="AF4379" s="2">
        <f t="shared" si="1510"/>
        <v>100</v>
      </c>
      <c r="AG4379" s="2">
        <f t="shared" si="1511"/>
        <v>0</v>
      </c>
    </row>
    <row r="4380" spans="1:33">
      <c r="A4380" s="20" t="s">
        <v>26269</v>
      </c>
      <c r="B4380" s="156"/>
      <c r="C4380" s="21" t="s">
        <v>26348</v>
      </c>
      <c r="D4380" s="109" t="s">
        <v>3137</v>
      </c>
      <c r="E4380" s="109"/>
      <c r="F4380" s="391" t="s">
        <v>26353</v>
      </c>
      <c r="G4380" s="23" t="s">
        <v>13301</v>
      </c>
      <c r="H4380" s="23" t="s">
        <v>26557</v>
      </c>
      <c r="I4380" s="23"/>
      <c r="J4380" s="23"/>
      <c r="K4380" s="23"/>
      <c r="L4380" s="375" t="s">
        <v>45</v>
      </c>
      <c r="M4380" s="351"/>
      <c r="N4380" s="267">
        <f t="shared" ref="N4380" si="1518">SUM(L4380:M4380)</f>
        <v>0</v>
      </c>
      <c r="O4380" s="268">
        <f t="shared" ref="O4380" si="1519">SUM(P4380:Z4380)</f>
        <v>0</v>
      </c>
      <c r="P4380" s="239"/>
      <c r="Q4380" s="239"/>
      <c r="R4380" s="239"/>
      <c r="S4380" s="239"/>
      <c r="T4380" s="239"/>
      <c r="U4380" s="240"/>
      <c r="V4380" s="240"/>
      <c r="W4380" s="240"/>
      <c r="X4380" s="278"/>
      <c r="Y4380" s="237"/>
      <c r="Z4380" s="237"/>
      <c r="AA4380" s="279"/>
      <c r="AB4380" s="238"/>
      <c r="AC4380" s="196">
        <f t="shared" si="1507"/>
        <v>0</v>
      </c>
      <c r="AD4380" s="196">
        <f t="shared" si="1508"/>
        <v>0</v>
      </c>
      <c r="AE4380" s="196">
        <f t="shared" si="1509"/>
        <v>0</v>
      </c>
      <c r="AF4380" s="2">
        <f t="shared" si="1510"/>
        <v>0</v>
      </c>
      <c r="AG4380" s="2">
        <f t="shared" si="1511"/>
        <v>0</v>
      </c>
    </row>
    <row r="4381" spans="1:33">
      <c r="A4381" s="20" t="s">
        <v>26730</v>
      </c>
      <c r="B4381" s="156"/>
      <c r="C4381" s="21" t="s">
        <v>26621</v>
      </c>
      <c r="D4381" s="109" t="s">
        <v>5979</v>
      </c>
      <c r="E4381" s="109"/>
      <c r="F4381" s="391" t="s">
        <v>26736</v>
      </c>
      <c r="G4381" s="23" t="s">
        <v>26622</v>
      </c>
      <c r="H4381" s="23"/>
      <c r="I4381" s="23"/>
      <c r="J4381" s="23"/>
      <c r="K4381" s="23"/>
      <c r="L4381" s="375" t="s">
        <v>27895</v>
      </c>
      <c r="M4381" s="351" t="s">
        <v>27620</v>
      </c>
      <c r="N4381" s="267">
        <f t="shared" ref="N4381" si="1520">SUM(L4381:M4381)</f>
        <v>0</v>
      </c>
      <c r="O4381" s="268">
        <f t="shared" ref="O4381" si="1521">SUM(P4381:Z4381)</f>
        <v>1800</v>
      </c>
      <c r="P4381" s="239"/>
      <c r="Q4381" s="239"/>
      <c r="R4381" s="239"/>
      <c r="S4381" s="239"/>
      <c r="T4381" s="239"/>
      <c r="U4381" s="240"/>
      <c r="V4381" s="240">
        <f>2400-1000-1000+900-1000+2200-1000-200+1000-700-200-1000-200+800-300+100+2000-1000</f>
        <v>1800</v>
      </c>
      <c r="W4381" s="240"/>
      <c r="X4381" s="278"/>
      <c r="Y4381" s="237"/>
      <c r="Z4381" s="237"/>
      <c r="AA4381" s="279"/>
      <c r="AB4381" s="238" t="s">
        <v>27891</v>
      </c>
      <c r="AC4381" s="196">
        <f t="shared" si="1507"/>
        <v>1800</v>
      </c>
      <c r="AD4381" s="196">
        <f t="shared" si="1508"/>
        <v>1800</v>
      </c>
      <c r="AE4381" s="196">
        <f t="shared" si="1509"/>
        <v>0</v>
      </c>
      <c r="AF4381" s="2">
        <f t="shared" si="1510"/>
        <v>1800</v>
      </c>
      <c r="AG4381" s="2">
        <f t="shared" si="1511"/>
        <v>0</v>
      </c>
    </row>
    <row r="4382" spans="1:33">
      <c r="A4382" s="20" t="s">
        <v>26760</v>
      </c>
      <c r="B4382" s="156"/>
      <c r="C4382" s="21" t="s">
        <v>27913</v>
      </c>
      <c r="D4382" s="109" t="s">
        <v>5979</v>
      </c>
      <c r="E4382" s="109"/>
      <c r="F4382" s="391" t="s">
        <v>26788</v>
      </c>
      <c r="G4382" s="23" t="s">
        <v>15443</v>
      </c>
      <c r="H4382" s="23"/>
      <c r="I4382" s="23"/>
      <c r="J4382" s="23"/>
      <c r="K4382" s="23"/>
      <c r="L4382" s="375" t="s">
        <v>27931</v>
      </c>
      <c r="M4382" s="351" t="s">
        <v>27523</v>
      </c>
      <c r="N4382" s="267">
        <f t="shared" ref="N4382" si="1522">SUM(L4382:M4382)</f>
        <v>0</v>
      </c>
      <c r="O4382" s="268">
        <f t="shared" ref="O4382" si="1523">SUM(P4382:Z4382)</f>
        <v>0</v>
      </c>
      <c r="P4382" s="239"/>
      <c r="Q4382" s="239"/>
      <c r="R4382" s="239"/>
      <c r="S4382" s="239"/>
      <c r="T4382" s="239"/>
      <c r="U4382" s="240"/>
      <c r="V4382" s="240"/>
      <c r="W4382" s="240"/>
      <c r="X4382" s="278"/>
      <c r="Y4382" s="237"/>
      <c r="Z4382" s="237"/>
      <c r="AA4382" s="279"/>
      <c r="AB4382" s="238"/>
      <c r="AC4382" s="196">
        <f t="shared" si="1507"/>
        <v>0</v>
      </c>
      <c r="AD4382" s="196">
        <f t="shared" si="1508"/>
        <v>0</v>
      </c>
      <c r="AE4382" s="196">
        <f t="shared" si="1509"/>
        <v>0</v>
      </c>
      <c r="AF4382" s="2">
        <f t="shared" si="1510"/>
        <v>0</v>
      </c>
      <c r="AG4382" s="2">
        <f t="shared" si="1511"/>
        <v>0</v>
      </c>
    </row>
    <row r="4383" spans="1:33">
      <c r="A4383" s="20"/>
      <c r="B4383" s="156"/>
      <c r="C4383" s="21" t="s">
        <v>28016</v>
      </c>
      <c r="D4383" s="109" t="s">
        <v>5979</v>
      </c>
      <c r="E4383" s="109"/>
      <c r="F4383" s="391"/>
      <c r="G4383" s="23" t="s">
        <v>15443</v>
      </c>
      <c r="H4383" s="23"/>
      <c r="I4383" s="23"/>
      <c r="J4383" s="23"/>
      <c r="K4383" s="23"/>
      <c r="L4383" s="375"/>
      <c r="M4383" s="351"/>
      <c r="N4383" s="267">
        <f t="shared" ref="N4383:N4384" si="1524">SUM(L4383:M4383)</f>
        <v>0</v>
      </c>
      <c r="O4383" s="268">
        <f t="shared" ref="O4383:O4384" si="1525">SUM(P4383:Z4383)</f>
        <v>6400</v>
      </c>
      <c r="P4383" s="239"/>
      <c r="Q4383" s="239"/>
      <c r="R4383" s="239"/>
      <c r="S4383" s="239"/>
      <c r="T4383" s="239"/>
      <c r="U4383" s="240"/>
      <c r="V4383" s="240">
        <f>2200+2400+3600-2800-2000+3000</f>
        <v>6400</v>
      </c>
      <c r="W4383" s="240"/>
      <c r="X4383" s="278"/>
      <c r="Y4383" s="237"/>
      <c r="Z4383" s="237"/>
      <c r="AA4383" s="279"/>
      <c r="AB4383" s="238" t="s">
        <v>28048</v>
      </c>
      <c r="AC4383" s="196"/>
      <c r="AD4383" s="196">
        <f t="shared" si="1508"/>
        <v>6400</v>
      </c>
      <c r="AE4383" s="196"/>
    </row>
    <row r="4384" spans="1:33">
      <c r="A4384" s="20" t="s">
        <v>26731</v>
      </c>
      <c r="B4384" s="156"/>
      <c r="C4384" s="21" t="s">
        <v>26606</v>
      </c>
      <c r="D4384" s="109" t="s">
        <v>3137</v>
      </c>
      <c r="E4384" s="109" t="s">
        <v>26607</v>
      </c>
      <c r="F4384" s="391" t="s">
        <v>26608</v>
      </c>
      <c r="G4384" s="23" t="s">
        <v>26609</v>
      </c>
      <c r="H4384" s="23"/>
      <c r="I4384" s="23"/>
      <c r="J4384" s="23"/>
      <c r="K4384" s="23"/>
      <c r="L4384" s="375"/>
      <c r="M4384" s="351"/>
      <c r="N4384" s="267">
        <f t="shared" si="1524"/>
        <v>0</v>
      </c>
      <c r="O4384" s="268">
        <f t="shared" si="1525"/>
        <v>2300</v>
      </c>
      <c r="P4384" s="239"/>
      <c r="Q4384" s="239"/>
      <c r="R4384" s="239">
        <f>1000-500-100-100</f>
        <v>300</v>
      </c>
      <c r="S4384" s="239"/>
      <c r="T4384" s="239">
        <v>2000</v>
      </c>
      <c r="U4384" s="240"/>
      <c r="V4384" s="240"/>
      <c r="W4384" s="240"/>
      <c r="X4384" s="278"/>
      <c r="Y4384" s="237"/>
      <c r="Z4384" s="237"/>
      <c r="AA4384" s="279"/>
      <c r="AB4384" s="238" t="s">
        <v>27042</v>
      </c>
      <c r="AC4384" s="196">
        <f t="shared" si="1507"/>
        <v>2300</v>
      </c>
      <c r="AD4384" s="196">
        <f t="shared" si="1508"/>
        <v>2300</v>
      </c>
      <c r="AE4384" s="196">
        <f t="shared" si="1509"/>
        <v>0</v>
      </c>
      <c r="AF4384" s="2">
        <f t="shared" si="1510"/>
        <v>2300</v>
      </c>
      <c r="AG4384" s="2">
        <f t="shared" si="1511"/>
        <v>0</v>
      </c>
    </row>
    <row r="4385" spans="1:33">
      <c r="A4385" s="20" t="s">
        <v>26376</v>
      </c>
      <c r="B4385" s="156"/>
      <c r="C4385" s="21" t="s">
        <v>26451</v>
      </c>
      <c r="D4385" s="109" t="s">
        <v>5979</v>
      </c>
      <c r="E4385" s="109"/>
      <c r="F4385" s="391" t="s">
        <v>26452</v>
      </c>
      <c r="G4385" s="23" t="s">
        <v>15443</v>
      </c>
      <c r="H4385" s="23" t="s">
        <v>27249</v>
      </c>
      <c r="I4385" s="23"/>
      <c r="J4385" s="23"/>
      <c r="K4385" s="23"/>
      <c r="L4385" s="375">
        <v>12480</v>
      </c>
      <c r="M4385" s="351"/>
      <c r="N4385" s="267">
        <f t="shared" ref="N4385:N4387" si="1526">SUM(L4385:M4385)</f>
        <v>12480</v>
      </c>
      <c r="O4385" s="268">
        <f t="shared" ref="O4385:O4387" si="1527">SUM(P4385:Z4385)</f>
        <v>2000</v>
      </c>
      <c r="P4385" s="239"/>
      <c r="Q4385" s="239"/>
      <c r="R4385" s="239"/>
      <c r="S4385" s="239"/>
      <c r="T4385" s="239"/>
      <c r="U4385" s="240"/>
      <c r="V4385" s="240">
        <f>4100-3600+2200-900-200+2800-3600+2400+1300-3600+3800-700-2000</f>
        <v>2000</v>
      </c>
      <c r="W4385" s="240"/>
      <c r="X4385" s="278"/>
      <c r="Y4385" s="237"/>
      <c r="Z4385" s="237"/>
      <c r="AA4385" s="279"/>
      <c r="AB4385" s="238" t="s">
        <v>27995</v>
      </c>
      <c r="AC4385" s="196">
        <f t="shared" si="1507"/>
        <v>2000</v>
      </c>
      <c r="AD4385" s="196">
        <f t="shared" si="1508"/>
        <v>2000</v>
      </c>
      <c r="AE4385" s="196">
        <f t="shared" si="1509"/>
        <v>0</v>
      </c>
      <c r="AF4385" s="2">
        <f t="shared" si="1510"/>
        <v>2000</v>
      </c>
      <c r="AG4385" s="2">
        <f t="shared" si="1511"/>
        <v>0</v>
      </c>
    </row>
    <row r="4386" spans="1:33">
      <c r="A4386" s="20" t="s">
        <v>26758</v>
      </c>
      <c r="B4386" s="156"/>
      <c r="C4386" s="21" t="s">
        <v>26746</v>
      </c>
      <c r="D4386" s="109" t="s">
        <v>5979</v>
      </c>
      <c r="E4386" s="109"/>
      <c r="F4386" s="391" t="s">
        <v>26776</v>
      </c>
      <c r="G4386" s="23" t="s">
        <v>26747</v>
      </c>
      <c r="H4386" s="23"/>
      <c r="I4386" s="23"/>
      <c r="J4386" s="23"/>
      <c r="K4386" s="23"/>
      <c r="L4386" s="375"/>
      <c r="M4386" s="351"/>
      <c r="N4386" s="267">
        <f t="shared" ref="N4386" si="1528">SUM(L4386:M4386)</f>
        <v>0</v>
      </c>
      <c r="O4386" s="268">
        <f t="shared" ref="O4386" si="1529">SUM(P4386:Z4386)</f>
        <v>100</v>
      </c>
      <c r="P4386" s="239"/>
      <c r="Q4386" s="239"/>
      <c r="R4386" s="239"/>
      <c r="S4386" s="239"/>
      <c r="T4386" s="239"/>
      <c r="U4386" s="240"/>
      <c r="V4386" s="240">
        <f>300-200</f>
        <v>100</v>
      </c>
      <c r="W4386" s="240"/>
      <c r="X4386" s="278"/>
      <c r="Y4386" s="237"/>
      <c r="Z4386" s="237"/>
      <c r="AA4386" s="279"/>
      <c r="AB4386" s="238" t="s">
        <v>26781</v>
      </c>
      <c r="AC4386" s="196">
        <f t="shared" si="1507"/>
        <v>100</v>
      </c>
      <c r="AD4386" s="196">
        <f t="shared" si="1508"/>
        <v>100</v>
      </c>
      <c r="AE4386" s="196">
        <f t="shared" si="1509"/>
        <v>0</v>
      </c>
      <c r="AF4386" s="2">
        <f t="shared" si="1510"/>
        <v>100</v>
      </c>
      <c r="AG4386" s="2">
        <f t="shared" si="1511"/>
        <v>0</v>
      </c>
    </row>
    <row r="4387" spans="1:33">
      <c r="A4387" s="20" t="s">
        <v>26388</v>
      </c>
      <c r="B4387" s="156"/>
      <c r="C4387" s="21" t="s">
        <v>26433</v>
      </c>
      <c r="D4387" s="109" t="s">
        <v>5979</v>
      </c>
      <c r="E4387" s="109"/>
      <c r="F4387" s="391" t="s">
        <v>26542</v>
      </c>
      <c r="G4387" s="23" t="s">
        <v>15443</v>
      </c>
      <c r="H4387" s="23"/>
      <c r="I4387" s="23"/>
      <c r="J4387" s="23"/>
      <c r="K4387" s="23"/>
      <c r="L4387" s="375" t="s">
        <v>45</v>
      </c>
      <c r="M4387" s="351"/>
      <c r="N4387" s="267">
        <f t="shared" si="1526"/>
        <v>0</v>
      </c>
      <c r="O4387" s="268">
        <f t="shared" si="1527"/>
        <v>200</v>
      </c>
      <c r="P4387" s="239"/>
      <c r="Q4387" s="239"/>
      <c r="R4387" s="239"/>
      <c r="S4387" s="239"/>
      <c r="T4387" s="239"/>
      <c r="U4387" s="240"/>
      <c r="V4387" s="240">
        <f>400-300+300-200</f>
        <v>200</v>
      </c>
      <c r="W4387" s="240"/>
      <c r="X4387" s="278"/>
      <c r="Y4387" s="237"/>
      <c r="Z4387" s="237"/>
      <c r="AA4387" s="279"/>
      <c r="AB4387" s="238" t="s">
        <v>26471</v>
      </c>
      <c r="AC4387" s="196">
        <f t="shared" si="1507"/>
        <v>200</v>
      </c>
      <c r="AD4387" s="196">
        <f t="shared" si="1508"/>
        <v>200</v>
      </c>
      <c r="AE4387" s="196">
        <f t="shared" si="1509"/>
        <v>0</v>
      </c>
      <c r="AF4387" s="2">
        <f t="shared" si="1510"/>
        <v>200</v>
      </c>
      <c r="AG4387" s="2">
        <f t="shared" si="1511"/>
        <v>0</v>
      </c>
    </row>
    <row r="4388" spans="1:33">
      <c r="A4388" s="20" t="s">
        <v>26270</v>
      </c>
      <c r="B4388" s="156"/>
      <c r="C4388" s="21" t="s">
        <v>26351</v>
      </c>
      <c r="D4388" s="109" t="s">
        <v>4070</v>
      </c>
      <c r="E4388" s="109"/>
      <c r="F4388" s="391" t="s">
        <v>26352</v>
      </c>
      <c r="G4388" s="23" t="s">
        <v>13301</v>
      </c>
      <c r="H4388" s="23"/>
      <c r="I4388" s="23"/>
      <c r="J4388" s="23"/>
      <c r="K4388" s="23"/>
      <c r="L4388" s="375" t="s">
        <v>45</v>
      </c>
      <c r="M4388" s="351" t="s">
        <v>45</v>
      </c>
      <c r="N4388" s="267">
        <f t="shared" ref="N4388" si="1530">SUM(L4388:M4388)</f>
        <v>0</v>
      </c>
      <c r="O4388" s="268">
        <f t="shared" ref="O4388" si="1531">SUM(P4388:Z4388)</f>
        <v>2750</v>
      </c>
      <c r="P4388" s="239"/>
      <c r="Q4388" s="239"/>
      <c r="R4388" s="239"/>
      <c r="S4388" s="239"/>
      <c r="T4388" s="239"/>
      <c r="U4388" s="240">
        <f>8650-7000+1100</f>
        <v>2750</v>
      </c>
      <c r="V4388" s="240"/>
      <c r="W4388" s="240"/>
      <c r="X4388" s="278"/>
      <c r="Y4388" s="237"/>
      <c r="Z4388" s="237"/>
      <c r="AA4388" s="279"/>
      <c r="AB4388" s="238" t="s">
        <v>26552</v>
      </c>
      <c r="AC4388" s="196">
        <f t="shared" si="1507"/>
        <v>2750</v>
      </c>
      <c r="AD4388" s="196">
        <f t="shared" si="1508"/>
        <v>2750</v>
      </c>
      <c r="AE4388" s="196">
        <f t="shared" si="1509"/>
        <v>0</v>
      </c>
      <c r="AF4388" s="2">
        <f t="shared" si="1510"/>
        <v>2750</v>
      </c>
      <c r="AG4388" s="2">
        <f t="shared" si="1511"/>
        <v>0</v>
      </c>
    </row>
    <row r="4389" spans="1:33">
      <c r="A4389" s="20" t="s">
        <v>26275</v>
      </c>
      <c r="B4389" s="156"/>
      <c r="C4389" s="21" t="s">
        <v>26358</v>
      </c>
      <c r="D4389" s="109" t="s">
        <v>4070</v>
      </c>
      <c r="E4389" s="109"/>
      <c r="F4389" s="391" t="s">
        <v>26361</v>
      </c>
      <c r="G4389" s="23" t="s">
        <v>14144</v>
      </c>
      <c r="H4389" s="23"/>
      <c r="I4389" s="23"/>
      <c r="J4389" s="23"/>
      <c r="K4389" s="23"/>
      <c r="L4389" s="375" t="s">
        <v>45</v>
      </c>
      <c r="M4389" s="351"/>
      <c r="N4389" s="267">
        <f t="shared" ref="N4389" si="1532">SUM(L4389:M4389)</f>
        <v>0</v>
      </c>
      <c r="O4389" s="268">
        <f t="shared" ref="O4389" si="1533">SUM(P4389:Z4389)</f>
        <v>600</v>
      </c>
      <c r="P4389" s="239"/>
      <c r="Q4389" s="239">
        <f>1100-500</f>
        <v>600</v>
      </c>
      <c r="R4389" s="239"/>
      <c r="S4389" s="239"/>
      <c r="T4389" s="239"/>
      <c r="U4389" s="240"/>
      <c r="V4389" s="240"/>
      <c r="W4389" s="240"/>
      <c r="X4389" s="278"/>
      <c r="Y4389" s="237"/>
      <c r="Z4389" s="237"/>
      <c r="AA4389" s="279"/>
      <c r="AB4389" s="238" t="s">
        <v>26360</v>
      </c>
      <c r="AC4389" s="196">
        <f t="shared" si="1507"/>
        <v>600</v>
      </c>
      <c r="AD4389" s="196">
        <f t="shared" si="1508"/>
        <v>600</v>
      </c>
      <c r="AE4389" s="196">
        <f t="shared" si="1509"/>
        <v>0</v>
      </c>
      <c r="AF4389" s="2">
        <f t="shared" si="1510"/>
        <v>600</v>
      </c>
      <c r="AG4389" s="2">
        <f t="shared" si="1511"/>
        <v>0</v>
      </c>
    </row>
    <row r="4390" spans="1:33">
      <c r="A4390" s="20" t="s">
        <v>26370</v>
      </c>
      <c r="B4390" s="156"/>
      <c r="C4390" s="21" t="s">
        <v>26407</v>
      </c>
      <c r="D4390" s="109" t="s">
        <v>4070</v>
      </c>
      <c r="E4390" s="109"/>
      <c r="F4390" s="391" t="s">
        <v>26408</v>
      </c>
      <c r="G4390" s="23" t="s">
        <v>26409</v>
      </c>
      <c r="H4390" s="23"/>
      <c r="I4390" s="23"/>
      <c r="J4390" s="23"/>
      <c r="K4390" s="23"/>
      <c r="L4390" s="375" t="s">
        <v>45</v>
      </c>
      <c r="M4390" s="351"/>
      <c r="N4390" s="267">
        <f t="shared" ref="N4390" si="1534">SUM(L4390:M4390)</f>
        <v>0</v>
      </c>
      <c r="O4390" s="268">
        <f t="shared" ref="O4390" si="1535">SUM(P4390:Z4390)</f>
        <v>200</v>
      </c>
      <c r="P4390" s="239"/>
      <c r="Q4390" s="239">
        <f>1100-500+600-1000</f>
        <v>200</v>
      </c>
      <c r="R4390" s="239"/>
      <c r="S4390" s="239"/>
      <c r="T4390" s="239"/>
      <c r="U4390" s="240"/>
      <c r="V4390" s="240"/>
      <c r="W4390" s="240"/>
      <c r="X4390" s="278"/>
      <c r="Y4390" s="237"/>
      <c r="Z4390" s="237"/>
      <c r="AA4390" s="279"/>
      <c r="AB4390" s="238" t="s">
        <v>26473</v>
      </c>
      <c r="AC4390" s="196">
        <f t="shared" si="1507"/>
        <v>200</v>
      </c>
      <c r="AD4390" s="196">
        <f t="shared" si="1508"/>
        <v>200</v>
      </c>
      <c r="AE4390" s="196">
        <f t="shared" si="1509"/>
        <v>0</v>
      </c>
      <c r="AF4390" s="2">
        <f t="shared" si="1510"/>
        <v>200</v>
      </c>
      <c r="AG4390" s="2">
        <f t="shared" si="1511"/>
        <v>0</v>
      </c>
    </row>
    <row r="4391" spans="1:33">
      <c r="A4391" s="20"/>
      <c r="B4391" s="156"/>
      <c r="C4391" s="21" t="s">
        <v>27604</v>
      </c>
      <c r="D4391" s="109" t="s">
        <v>4070</v>
      </c>
      <c r="E4391" s="109"/>
      <c r="F4391" s="391"/>
      <c r="G4391" s="23" t="s">
        <v>27605</v>
      </c>
      <c r="H4391" s="23"/>
      <c r="I4391" s="23"/>
      <c r="J4391" s="23"/>
      <c r="K4391" s="23"/>
      <c r="L4391" s="375" t="s">
        <v>27613</v>
      </c>
      <c r="M4391" s="351"/>
      <c r="N4391" s="267">
        <f t="shared" ref="N4391" si="1536">SUM(L4391:M4391)</f>
        <v>0</v>
      </c>
      <c r="O4391" s="268">
        <f t="shared" ref="O4391" si="1537">SUM(P4391:Z4391)</f>
        <v>100</v>
      </c>
      <c r="P4391" s="239"/>
      <c r="Q4391" s="239"/>
      <c r="R4391" s="239"/>
      <c r="S4391" s="239"/>
      <c r="T4391" s="239"/>
      <c r="U4391" s="240">
        <f>300-200</f>
        <v>100</v>
      </c>
      <c r="V4391" s="240"/>
      <c r="W4391" s="240"/>
      <c r="X4391" s="278"/>
      <c r="Y4391" s="237"/>
      <c r="Z4391" s="237"/>
      <c r="AA4391" s="279"/>
      <c r="AB4391" s="238" t="s">
        <v>27612</v>
      </c>
      <c r="AC4391" s="196"/>
      <c r="AD4391" s="196"/>
      <c r="AE4391" s="196"/>
    </row>
    <row r="4392" spans="1:33">
      <c r="A4392" s="20" t="s">
        <v>26728</v>
      </c>
      <c r="B4392" s="156"/>
      <c r="C4392" s="21" t="s">
        <v>26615</v>
      </c>
      <c r="D4392" s="109" t="s">
        <v>4070</v>
      </c>
      <c r="E4392" s="109"/>
      <c r="F4392" s="391" t="s">
        <v>26625</v>
      </c>
      <c r="G4392" s="23" t="s">
        <v>14197</v>
      </c>
      <c r="H4392" s="23"/>
      <c r="I4392" s="23"/>
      <c r="J4392" s="23"/>
      <c r="K4392" s="23"/>
      <c r="L4392" s="375"/>
      <c r="M4392" s="351"/>
      <c r="N4392" s="267">
        <f t="shared" ref="N4392" si="1538">SUM(L4392:M4392)</f>
        <v>0</v>
      </c>
      <c r="O4392" s="268">
        <f t="shared" ref="O4392" si="1539">SUM(P4392:Z4392)</f>
        <v>600</v>
      </c>
      <c r="P4392" s="239"/>
      <c r="Q4392" s="239"/>
      <c r="R4392" s="239"/>
      <c r="S4392" s="239"/>
      <c r="T4392" s="239"/>
      <c r="U4392" s="240">
        <f>700-500+400</f>
        <v>600</v>
      </c>
      <c r="V4392" s="240"/>
      <c r="W4392" s="240"/>
      <c r="X4392" s="278"/>
      <c r="Y4392" s="237"/>
      <c r="Z4392" s="237"/>
      <c r="AA4392" s="279"/>
      <c r="AB4392" s="238" t="s">
        <v>26701</v>
      </c>
      <c r="AC4392" s="196">
        <f t="shared" si="1507"/>
        <v>600</v>
      </c>
      <c r="AD4392" s="196">
        <f t="shared" si="1508"/>
        <v>600</v>
      </c>
      <c r="AE4392" s="196">
        <f t="shared" si="1509"/>
        <v>0</v>
      </c>
      <c r="AF4392" s="2">
        <f t="shared" si="1510"/>
        <v>600</v>
      </c>
      <c r="AG4392" s="2">
        <f t="shared" si="1511"/>
        <v>0</v>
      </c>
    </row>
    <row r="4393" spans="1:33">
      <c r="A4393" s="20" t="s">
        <v>26765</v>
      </c>
      <c r="B4393" s="156"/>
      <c r="C4393" s="21" t="s">
        <v>26817</v>
      </c>
      <c r="D4393" s="109" t="s">
        <v>4070</v>
      </c>
      <c r="E4393" s="109"/>
      <c r="F4393" s="391" t="s">
        <v>26825</v>
      </c>
      <c r="G4393" s="23" t="s">
        <v>26826</v>
      </c>
      <c r="H4393" s="23" t="s">
        <v>27248</v>
      </c>
      <c r="I4393" s="23"/>
      <c r="J4393" s="23"/>
      <c r="K4393" s="23"/>
      <c r="L4393" s="375" t="s">
        <v>27470</v>
      </c>
      <c r="M4393" s="351"/>
      <c r="N4393" s="267">
        <f t="shared" ref="N4393" si="1540">SUM(L4393:M4393)</f>
        <v>0</v>
      </c>
      <c r="O4393" s="268">
        <f t="shared" ref="O4393" si="1541">SUM(P4393:Z4393)</f>
        <v>450</v>
      </c>
      <c r="P4393" s="239"/>
      <c r="Q4393" s="239"/>
      <c r="R4393" s="239"/>
      <c r="S4393" s="239"/>
      <c r="T4393" s="239"/>
      <c r="U4393" s="240">
        <f>1550+2100-3100-500+3450-3000+850+200-1000+1900-550-1450</f>
        <v>450</v>
      </c>
      <c r="V4393" s="240"/>
      <c r="W4393" s="240"/>
      <c r="X4393" s="278"/>
      <c r="Y4393" s="237"/>
      <c r="Z4393" s="237"/>
      <c r="AA4393" s="279"/>
      <c r="AB4393" s="238" t="s">
        <v>27436</v>
      </c>
      <c r="AC4393" s="196">
        <f t="shared" si="1507"/>
        <v>450</v>
      </c>
      <c r="AD4393" s="196">
        <f t="shared" si="1508"/>
        <v>450</v>
      </c>
      <c r="AE4393" s="196">
        <f t="shared" si="1509"/>
        <v>0</v>
      </c>
      <c r="AF4393" s="2">
        <f t="shared" si="1510"/>
        <v>450</v>
      </c>
      <c r="AG4393" s="2">
        <f t="shared" si="1511"/>
        <v>0</v>
      </c>
    </row>
    <row r="4394" spans="1:33">
      <c r="A4394" s="20" t="s">
        <v>26729</v>
      </c>
      <c r="B4394" s="156"/>
      <c r="C4394" s="21" t="s">
        <v>26610</v>
      </c>
      <c r="D4394" s="109" t="s">
        <v>4070</v>
      </c>
      <c r="E4394" s="109" t="s">
        <v>26802</v>
      </c>
      <c r="F4394" s="391" t="s">
        <v>26611</v>
      </c>
      <c r="G4394" s="23" t="s">
        <v>26609</v>
      </c>
      <c r="H4394" s="23"/>
      <c r="I4394" s="23"/>
      <c r="J4394" s="23"/>
      <c r="K4394" s="23"/>
      <c r="L4394" s="375" t="s">
        <v>7787</v>
      </c>
      <c r="M4394" s="351"/>
      <c r="N4394" s="267">
        <f t="shared" ref="N4394" si="1542">SUM(L4394:M4394)</f>
        <v>0</v>
      </c>
      <c r="O4394" s="268">
        <f t="shared" ref="O4394" si="1543">SUM(P4394:Z4394)</f>
        <v>0</v>
      </c>
      <c r="P4394" s="239"/>
      <c r="Q4394" s="239"/>
      <c r="R4394" s="239"/>
      <c r="S4394" s="239"/>
      <c r="T4394" s="239"/>
      <c r="U4394" s="240"/>
      <c r="V4394" s="240"/>
      <c r="W4394" s="240"/>
      <c r="X4394" s="278"/>
      <c r="Y4394" s="237"/>
      <c r="Z4394" s="237"/>
      <c r="AA4394" s="279"/>
      <c r="AB4394" s="238"/>
      <c r="AC4394" s="196">
        <f t="shared" si="1507"/>
        <v>0</v>
      </c>
      <c r="AD4394" s="196">
        <f t="shared" si="1508"/>
        <v>0</v>
      </c>
      <c r="AE4394" s="196">
        <f t="shared" si="1509"/>
        <v>0</v>
      </c>
      <c r="AF4394" s="2">
        <f t="shared" si="1510"/>
        <v>0</v>
      </c>
      <c r="AG4394" s="2">
        <f t="shared" si="1511"/>
        <v>0</v>
      </c>
    </row>
    <row r="4395" spans="1:33">
      <c r="A4395" s="20" t="s">
        <v>26389</v>
      </c>
      <c r="B4395" s="156"/>
      <c r="C4395" s="21" t="s">
        <v>26468</v>
      </c>
      <c r="D4395" s="109" t="s">
        <v>5979</v>
      </c>
      <c r="E4395" s="109" t="s">
        <v>26469</v>
      </c>
      <c r="F4395" s="391" t="s">
        <v>26543</v>
      </c>
      <c r="G4395" s="23" t="s">
        <v>26470</v>
      </c>
      <c r="H4395" s="23"/>
      <c r="I4395" s="23"/>
      <c r="J4395" s="23"/>
      <c r="K4395" s="23"/>
      <c r="L4395" s="375" t="s">
        <v>27685</v>
      </c>
      <c r="M4395" s="351"/>
      <c r="N4395" s="267">
        <f t="shared" ref="N4395" si="1544">SUM(L4395:M4395)</f>
        <v>0</v>
      </c>
      <c r="O4395" s="268">
        <f t="shared" ref="O4395" si="1545">SUM(P4395:Z4395)</f>
        <v>200</v>
      </c>
      <c r="P4395" s="239"/>
      <c r="Q4395" s="239"/>
      <c r="R4395" s="239"/>
      <c r="S4395" s="239"/>
      <c r="T4395" s="239"/>
      <c r="U4395" s="240"/>
      <c r="V4395" s="240">
        <f>400-300+600-500</f>
        <v>200</v>
      </c>
      <c r="W4395" s="240"/>
      <c r="X4395" s="278"/>
      <c r="Y4395" s="237"/>
      <c r="Z4395" s="237"/>
      <c r="AA4395" s="279"/>
      <c r="AB4395" s="238" t="s">
        <v>27690</v>
      </c>
      <c r="AC4395" s="196">
        <f t="shared" si="1507"/>
        <v>200</v>
      </c>
      <c r="AD4395" s="196">
        <f t="shared" si="1508"/>
        <v>200</v>
      </c>
      <c r="AE4395" s="196">
        <f t="shared" si="1509"/>
        <v>0</v>
      </c>
      <c r="AF4395" s="2">
        <f t="shared" si="1510"/>
        <v>200</v>
      </c>
      <c r="AG4395" s="2">
        <f t="shared" si="1511"/>
        <v>0</v>
      </c>
    </row>
    <row r="4396" spans="1:33">
      <c r="A4396" s="20" t="s">
        <v>26383</v>
      </c>
      <c r="B4396" s="156"/>
      <c r="C4396" s="21" t="s">
        <v>26519</v>
      </c>
      <c r="D4396" s="109" t="s">
        <v>4070</v>
      </c>
      <c r="E4396" s="109" t="s">
        <v>26520</v>
      </c>
      <c r="F4396" s="391" t="s">
        <v>26408</v>
      </c>
      <c r="G4396" s="23" t="s">
        <v>26529</v>
      </c>
      <c r="H4396" s="23"/>
      <c r="I4396" s="23"/>
      <c r="J4396" s="23"/>
      <c r="K4396" s="23"/>
      <c r="L4396" s="375" t="s">
        <v>27991</v>
      </c>
      <c r="M4396" s="351"/>
      <c r="N4396" s="267">
        <f t="shared" ref="N4396:N4492" si="1546">SUM(L4396:M4396)</f>
        <v>0</v>
      </c>
      <c r="O4396" s="268">
        <f t="shared" ref="O4396:O4448" si="1547">SUM(P4396:Z4396)</f>
        <v>550</v>
      </c>
      <c r="P4396" s="239"/>
      <c r="Q4396" s="239">
        <v>550</v>
      </c>
      <c r="R4396" s="239"/>
      <c r="S4396" s="239"/>
      <c r="T4396" s="239"/>
      <c r="U4396" s="240"/>
      <c r="V4396" s="240"/>
      <c r="W4396" s="240"/>
      <c r="X4396" s="278"/>
      <c r="Y4396" s="237"/>
      <c r="Z4396" s="237"/>
      <c r="AA4396" s="279"/>
      <c r="AB4396" s="238" t="s">
        <v>28025</v>
      </c>
      <c r="AC4396" s="196">
        <f t="shared" si="1507"/>
        <v>550</v>
      </c>
      <c r="AD4396" s="196">
        <f t="shared" si="1508"/>
        <v>550</v>
      </c>
      <c r="AE4396" s="196">
        <f t="shared" si="1509"/>
        <v>0</v>
      </c>
      <c r="AF4396" s="2">
        <f t="shared" si="1510"/>
        <v>550</v>
      </c>
      <c r="AG4396" s="2">
        <f t="shared" si="1511"/>
        <v>0</v>
      </c>
    </row>
    <row r="4397" spans="1:33">
      <c r="A4397" s="20" t="s">
        <v>26725</v>
      </c>
      <c r="B4397" s="156"/>
      <c r="C4397" s="21" t="s">
        <v>26565</v>
      </c>
      <c r="D4397" s="109" t="s">
        <v>5979</v>
      </c>
      <c r="E4397" s="109" t="s">
        <v>22282</v>
      </c>
      <c r="F4397" s="391" t="s">
        <v>26713</v>
      </c>
      <c r="G4397" s="23" t="s">
        <v>26566</v>
      </c>
      <c r="H4397" s="23"/>
      <c r="I4397" s="23"/>
      <c r="J4397" s="23"/>
      <c r="K4397" s="23"/>
      <c r="L4397" s="375" t="s">
        <v>27951</v>
      </c>
      <c r="M4397" s="351"/>
      <c r="N4397" s="267">
        <f t="shared" ref="N4397" si="1548">SUM(L4397:M4397)</f>
        <v>0</v>
      </c>
      <c r="O4397" s="268">
        <f t="shared" ref="O4397" si="1549">SUM(P4397:Z4397)</f>
        <v>1900</v>
      </c>
      <c r="P4397" s="239"/>
      <c r="Q4397" s="239"/>
      <c r="R4397" s="239"/>
      <c r="S4397" s="239"/>
      <c r="T4397" s="239"/>
      <c r="U4397" s="240"/>
      <c r="V4397" s="240">
        <f>1500-1200+1500-1400+300-500+1600-1400+800-600+800-1000+1300-1500+200+1900-1500-100-600+2000+1600-1400-1200+3300-1000-1000+3500-2000-100+2700+2000-2000-1000-3600</f>
        <v>1900</v>
      </c>
      <c r="W4397" s="240"/>
      <c r="X4397" s="278"/>
      <c r="Y4397" s="237"/>
      <c r="Z4397" s="237"/>
      <c r="AA4397" s="279"/>
      <c r="AB4397" s="238" t="s">
        <v>27949</v>
      </c>
      <c r="AC4397" s="196">
        <f t="shared" si="1507"/>
        <v>1900</v>
      </c>
      <c r="AD4397" s="196">
        <f t="shared" si="1508"/>
        <v>1900</v>
      </c>
      <c r="AE4397" s="196">
        <f t="shared" si="1509"/>
        <v>0</v>
      </c>
      <c r="AF4397" s="2">
        <f t="shared" si="1510"/>
        <v>1900</v>
      </c>
      <c r="AG4397" s="2">
        <f t="shared" si="1511"/>
        <v>0</v>
      </c>
    </row>
    <row r="4398" spans="1:33">
      <c r="A4398" s="20" t="s">
        <v>27109</v>
      </c>
      <c r="B4398" s="156"/>
      <c r="C4398" s="21" t="s">
        <v>26565</v>
      </c>
      <c r="D4398" s="109" t="s">
        <v>5979</v>
      </c>
      <c r="E4398" s="109" t="s">
        <v>26189</v>
      </c>
      <c r="F4398" s="391" t="s">
        <v>26713</v>
      </c>
      <c r="G4398" s="23" t="s">
        <v>15443</v>
      </c>
      <c r="H4398" s="23"/>
      <c r="I4398" s="23"/>
      <c r="J4398" s="23"/>
      <c r="K4398" s="23"/>
      <c r="L4398" s="375" t="s">
        <v>45</v>
      </c>
      <c r="M4398" s="351"/>
      <c r="N4398" s="267">
        <f t="shared" ref="N4398" si="1550">SUM(L4398:M4398)</f>
        <v>0</v>
      </c>
      <c r="O4398" s="268">
        <f t="shared" ref="O4398" si="1551">SUM(P4398:Z4398)</f>
        <v>0</v>
      </c>
      <c r="P4398" s="239"/>
      <c r="Q4398" s="239"/>
      <c r="R4398" s="239"/>
      <c r="S4398" s="239"/>
      <c r="T4398" s="239"/>
      <c r="U4398" s="240"/>
      <c r="V4398" s="240"/>
      <c r="W4398" s="240"/>
      <c r="X4398" s="278"/>
      <c r="Y4398" s="237"/>
      <c r="Z4398" s="237"/>
      <c r="AA4398" s="279"/>
      <c r="AB4398" s="238"/>
      <c r="AC4398" s="196"/>
      <c r="AD4398" s="196"/>
      <c r="AE4398" s="196"/>
    </row>
    <row r="4399" spans="1:33">
      <c r="A4399" s="20" t="s">
        <v>26726</v>
      </c>
      <c r="B4399" s="156"/>
      <c r="C4399" s="21" t="s">
        <v>26555</v>
      </c>
      <c r="D4399" s="109" t="s">
        <v>4070</v>
      </c>
      <c r="E4399" s="109" t="s">
        <v>22282</v>
      </c>
      <c r="F4399" s="391" t="s">
        <v>26714</v>
      </c>
      <c r="G4399" s="23" t="s">
        <v>22952</v>
      </c>
      <c r="H4399" s="23" t="s">
        <v>27443</v>
      </c>
      <c r="I4399" s="23"/>
      <c r="J4399" s="23"/>
      <c r="K4399" s="23"/>
      <c r="L4399" s="375" t="s">
        <v>27439</v>
      </c>
      <c r="M4399" s="351"/>
      <c r="N4399" s="267">
        <f t="shared" ref="N4399" si="1552">SUM(L4399:M4399)</f>
        <v>0</v>
      </c>
      <c r="O4399" s="268">
        <f t="shared" ref="O4399" si="1553">SUM(P4399:Z4399)</f>
        <v>800</v>
      </c>
      <c r="P4399" s="239"/>
      <c r="Q4399" s="239">
        <f>2600-2000-500+5700-1000-4000</f>
        <v>800</v>
      </c>
      <c r="R4399" s="239"/>
      <c r="S4399" s="239"/>
      <c r="T4399" s="239"/>
      <c r="U4399" s="240"/>
      <c r="V4399" s="240"/>
      <c r="W4399" s="240"/>
      <c r="X4399" s="278"/>
      <c r="Y4399" s="237"/>
      <c r="Z4399" s="237"/>
      <c r="AA4399" s="279"/>
      <c r="AB4399" s="238" t="s">
        <v>27435</v>
      </c>
      <c r="AC4399" s="196">
        <f t="shared" si="1507"/>
        <v>800</v>
      </c>
      <c r="AD4399" s="196">
        <f t="shared" si="1508"/>
        <v>800</v>
      </c>
      <c r="AE4399" s="196">
        <f t="shared" si="1509"/>
        <v>0</v>
      </c>
      <c r="AF4399" s="2">
        <f t="shared" si="1510"/>
        <v>800</v>
      </c>
      <c r="AG4399" s="2">
        <f t="shared" si="1511"/>
        <v>0</v>
      </c>
    </row>
    <row r="4400" spans="1:33">
      <c r="A4400" s="20" t="s">
        <v>26727</v>
      </c>
      <c r="B4400" s="156"/>
      <c r="C4400" s="21" t="s">
        <v>26707</v>
      </c>
      <c r="D4400" s="109" t="s">
        <v>4070</v>
      </c>
      <c r="E4400" s="109"/>
      <c r="F4400" s="391" t="s">
        <v>26715</v>
      </c>
      <c r="G4400" s="23" t="s">
        <v>26708</v>
      </c>
      <c r="H4400" s="23"/>
      <c r="I4400" s="23"/>
      <c r="J4400" s="23"/>
      <c r="K4400" s="23"/>
      <c r="L4400" s="375" t="s">
        <v>45</v>
      </c>
      <c r="M4400" s="351"/>
      <c r="N4400" s="267">
        <f t="shared" ref="N4400" si="1554">SUM(L4400:M4400)</f>
        <v>0</v>
      </c>
      <c r="O4400" s="268">
        <f t="shared" ref="O4400" si="1555">SUM(P4400:Z4400)</f>
        <v>100</v>
      </c>
      <c r="P4400" s="239"/>
      <c r="Q4400" s="239"/>
      <c r="R4400" s="239">
        <f>900+200-1000</f>
        <v>100</v>
      </c>
      <c r="S4400" s="239"/>
      <c r="T4400" s="239"/>
      <c r="U4400" s="240"/>
      <c r="V4400" s="240"/>
      <c r="W4400" s="240"/>
      <c r="X4400" s="278"/>
      <c r="Y4400" s="237"/>
      <c r="Z4400" s="237"/>
      <c r="AA4400" s="279"/>
      <c r="AB4400" s="238" t="s">
        <v>26716</v>
      </c>
      <c r="AC4400" s="196">
        <f t="shared" si="1507"/>
        <v>100</v>
      </c>
      <c r="AD4400" s="196">
        <f t="shared" si="1508"/>
        <v>100</v>
      </c>
      <c r="AE4400" s="196">
        <f t="shared" si="1509"/>
        <v>0</v>
      </c>
      <c r="AF4400" s="2">
        <f t="shared" si="1510"/>
        <v>100</v>
      </c>
      <c r="AG4400" s="2">
        <f t="shared" si="1511"/>
        <v>0</v>
      </c>
    </row>
    <row r="4401" spans="1:33">
      <c r="A4401" s="20" t="s">
        <v>26390</v>
      </c>
      <c r="B4401" s="156"/>
      <c r="C4401" s="21" t="s">
        <v>26531</v>
      </c>
      <c r="D4401" s="109" t="s">
        <v>5979</v>
      </c>
      <c r="E4401" s="109" t="s">
        <v>22282</v>
      </c>
      <c r="F4401" s="391" t="s">
        <v>26545</v>
      </c>
      <c r="G4401" s="23" t="s">
        <v>13565</v>
      </c>
      <c r="H4401" s="23"/>
      <c r="I4401" s="23"/>
      <c r="J4401" s="23"/>
      <c r="K4401" s="23"/>
      <c r="L4401" s="375" t="s">
        <v>27622</v>
      </c>
      <c r="M4401" s="351" t="s">
        <v>45</v>
      </c>
      <c r="N4401" s="267">
        <f t="shared" ref="N4401" si="1556">SUM(L4401:M4401)</f>
        <v>0</v>
      </c>
      <c r="O4401" s="268">
        <f t="shared" ref="O4401" si="1557">SUM(P4401:Z4401)</f>
        <v>0</v>
      </c>
      <c r="P4401" s="239"/>
      <c r="Q4401" s="239"/>
      <c r="R4401" s="239"/>
      <c r="S4401" s="239"/>
      <c r="T4401" s="239"/>
      <c r="U4401" s="240"/>
      <c r="V4401" s="240"/>
      <c r="W4401" s="240"/>
      <c r="X4401" s="278"/>
      <c r="Y4401" s="237"/>
      <c r="Z4401" s="237"/>
      <c r="AA4401" s="279"/>
      <c r="AB4401" s="238"/>
      <c r="AC4401" s="196">
        <f t="shared" si="1507"/>
        <v>0</v>
      </c>
      <c r="AD4401" s="196">
        <f t="shared" si="1508"/>
        <v>0</v>
      </c>
      <c r="AE4401" s="196">
        <f t="shared" si="1509"/>
        <v>0</v>
      </c>
      <c r="AF4401" s="2">
        <f t="shared" si="1510"/>
        <v>0</v>
      </c>
      <c r="AG4401" s="2">
        <f t="shared" si="1511"/>
        <v>0</v>
      </c>
    </row>
    <row r="4402" spans="1:33">
      <c r="A4402" s="20" t="s">
        <v>26724</v>
      </c>
      <c r="B4402" s="156"/>
      <c r="C4402" s="21" t="s">
        <v>26562</v>
      </c>
      <c r="D4402" s="109" t="s">
        <v>20994</v>
      </c>
      <c r="E4402" s="109" t="s">
        <v>25321</v>
      </c>
      <c r="F4402" s="391" t="s">
        <v>26564</v>
      </c>
      <c r="G4402" s="23" t="s">
        <v>26563</v>
      </c>
      <c r="H4402" s="23"/>
      <c r="I4402" s="23"/>
      <c r="J4402" s="23"/>
      <c r="K4402" s="23"/>
      <c r="L4402" s="375" t="s">
        <v>27847</v>
      </c>
      <c r="M4402" s="351"/>
      <c r="N4402" s="267">
        <f t="shared" ref="N4402" si="1558">SUM(L4402:M4402)</f>
        <v>0</v>
      </c>
      <c r="O4402" s="268">
        <f t="shared" ref="O4402" si="1559">SUM(P4402:Z4402)</f>
        <v>9900</v>
      </c>
      <c r="P4402" s="239"/>
      <c r="Q4402" s="239"/>
      <c r="R4402" s="239"/>
      <c r="S4402" s="239"/>
      <c r="T4402" s="239"/>
      <c r="U4402" s="240"/>
      <c r="V4402" s="240">
        <f>1200+3000-2100-2000+3250+3000+3000+1300+2250-3000</f>
        <v>9900</v>
      </c>
      <c r="W4402" s="240"/>
      <c r="X4402" s="278"/>
      <c r="Y4402" s="237"/>
      <c r="Z4402" s="237"/>
      <c r="AA4402" s="279"/>
      <c r="AB4402" s="238" t="s">
        <v>27923</v>
      </c>
      <c r="AC4402" s="196">
        <f t="shared" si="1507"/>
        <v>9900</v>
      </c>
      <c r="AD4402" s="196">
        <f t="shared" si="1508"/>
        <v>9900</v>
      </c>
      <c r="AE4402" s="196">
        <f t="shared" si="1509"/>
        <v>0</v>
      </c>
      <c r="AF4402" s="2">
        <f t="shared" si="1510"/>
        <v>9900</v>
      </c>
      <c r="AG4402" s="2">
        <f t="shared" si="1511"/>
        <v>0</v>
      </c>
    </row>
    <row r="4403" spans="1:33">
      <c r="A4403" s="20" t="s">
        <v>26855</v>
      </c>
      <c r="B4403" s="156"/>
      <c r="C4403" s="21" t="s">
        <v>26562</v>
      </c>
      <c r="D4403" s="109" t="s">
        <v>20994</v>
      </c>
      <c r="E4403" s="109" t="s">
        <v>26189</v>
      </c>
      <c r="F4403" s="391" t="s">
        <v>26887</v>
      </c>
      <c r="G4403" s="23" t="s">
        <v>13565</v>
      </c>
      <c r="H4403" s="23"/>
      <c r="I4403" s="23"/>
      <c r="J4403" s="23"/>
      <c r="K4403" s="23"/>
      <c r="L4403" s="375" t="s">
        <v>45</v>
      </c>
      <c r="M4403" s="351"/>
      <c r="N4403" s="267">
        <f t="shared" ref="N4403" si="1560">SUM(L4403:M4403)</f>
        <v>0</v>
      </c>
      <c r="O4403" s="268">
        <f t="shared" ref="O4403" si="1561">SUM(P4403:Z4403)</f>
        <v>0</v>
      </c>
      <c r="P4403" s="239"/>
      <c r="Q4403" s="239"/>
      <c r="R4403" s="239"/>
      <c r="S4403" s="239"/>
      <c r="T4403" s="239"/>
      <c r="U4403" s="240"/>
      <c r="V4403" s="240"/>
      <c r="W4403" s="240"/>
      <c r="X4403" s="278"/>
      <c r="Y4403" s="237"/>
      <c r="Z4403" s="237"/>
      <c r="AA4403" s="279"/>
      <c r="AB4403" s="238"/>
      <c r="AC4403" s="196">
        <f t="shared" si="1507"/>
        <v>0</v>
      </c>
      <c r="AD4403" s="196">
        <f t="shared" si="1508"/>
        <v>0</v>
      </c>
      <c r="AE4403" s="196">
        <f t="shared" si="1509"/>
        <v>0</v>
      </c>
      <c r="AF4403" s="2">
        <f t="shared" si="1510"/>
        <v>0</v>
      </c>
      <c r="AG4403" s="2">
        <f t="shared" si="1511"/>
        <v>0</v>
      </c>
    </row>
    <row r="4404" spans="1:33">
      <c r="A4404" s="20" t="s">
        <v>26384</v>
      </c>
      <c r="B4404" s="156"/>
      <c r="C4404" s="21" t="s">
        <v>26522</v>
      </c>
      <c r="D4404" s="109" t="s">
        <v>13599</v>
      </c>
      <c r="E4404" s="109" t="s">
        <v>26523</v>
      </c>
      <c r="F4404" s="391" t="s">
        <v>26525</v>
      </c>
      <c r="G4404" s="23" t="s">
        <v>25916</v>
      </c>
      <c r="H4404" s="23"/>
      <c r="I4404" s="23"/>
      <c r="J4404" s="23"/>
      <c r="K4404" s="23"/>
      <c r="L4404" s="375"/>
      <c r="M4404" s="351"/>
      <c r="N4404" s="267">
        <f t="shared" si="1546"/>
        <v>0</v>
      </c>
      <c r="O4404" s="268">
        <f t="shared" si="1547"/>
        <v>0</v>
      </c>
      <c r="P4404" s="239"/>
      <c r="Q4404" s="239"/>
      <c r="R4404" s="239"/>
      <c r="S4404" s="239"/>
      <c r="T4404" s="239"/>
      <c r="U4404" s="240"/>
      <c r="V4404" s="240"/>
      <c r="W4404" s="240"/>
      <c r="X4404" s="278"/>
      <c r="Y4404" s="237"/>
      <c r="Z4404" s="237"/>
      <c r="AA4404" s="279"/>
      <c r="AB4404" s="238"/>
      <c r="AC4404" s="196">
        <f t="shared" si="1507"/>
        <v>0</v>
      </c>
      <c r="AD4404" s="196">
        <f t="shared" si="1508"/>
        <v>0</v>
      </c>
      <c r="AE4404" s="196">
        <f t="shared" si="1509"/>
        <v>0</v>
      </c>
      <c r="AF4404" s="2">
        <f t="shared" si="1510"/>
        <v>0</v>
      </c>
      <c r="AG4404" s="2">
        <f t="shared" si="1511"/>
        <v>0</v>
      </c>
    </row>
    <row r="4405" spans="1:33">
      <c r="A4405" s="20" t="s">
        <v>26385</v>
      </c>
      <c r="B4405" s="156"/>
      <c r="C4405" s="21" t="s">
        <v>26524</v>
      </c>
      <c r="D4405" s="109" t="s">
        <v>13599</v>
      </c>
      <c r="E4405" s="109" t="s">
        <v>26063</v>
      </c>
      <c r="F4405" s="391" t="s">
        <v>26525</v>
      </c>
      <c r="G4405" s="23" t="s">
        <v>25916</v>
      </c>
      <c r="H4405" s="23"/>
      <c r="I4405" s="23"/>
      <c r="J4405" s="23"/>
      <c r="K4405" s="23"/>
      <c r="L4405" s="375"/>
      <c r="M4405" s="351"/>
      <c r="N4405" s="267">
        <f t="shared" si="1546"/>
        <v>0</v>
      </c>
      <c r="O4405" s="268">
        <f t="shared" si="1547"/>
        <v>0</v>
      </c>
      <c r="P4405" s="239"/>
      <c r="Q4405" s="239"/>
      <c r="R4405" s="239"/>
      <c r="S4405" s="239"/>
      <c r="T4405" s="239"/>
      <c r="U4405" s="240"/>
      <c r="V4405" s="240"/>
      <c r="W4405" s="240"/>
      <c r="X4405" s="278"/>
      <c r="Y4405" s="237"/>
      <c r="Z4405" s="237"/>
      <c r="AA4405" s="279"/>
      <c r="AB4405" s="238"/>
      <c r="AC4405" s="196">
        <f t="shared" si="1507"/>
        <v>0</v>
      </c>
      <c r="AD4405" s="196">
        <f t="shared" si="1508"/>
        <v>0</v>
      </c>
      <c r="AE4405" s="196">
        <f t="shared" si="1509"/>
        <v>0</v>
      </c>
      <c r="AF4405" s="2">
        <f t="shared" si="1510"/>
        <v>0</v>
      </c>
      <c r="AG4405" s="2">
        <f t="shared" si="1511"/>
        <v>0</v>
      </c>
    </row>
    <row r="4406" spans="1:33">
      <c r="A4406" s="20" t="s">
        <v>26386</v>
      </c>
      <c r="B4406" s="156"/>
      <c r="C4406" s="21" t="s">
        <v>26526</v>
      </c>
      <c r="D4406" s="109" t="s">
        <v>4070</v>
      </c>
      <c r="E4406" s="109" t="s">
        <v>22282</v>
      </c>
      <c r="F4406" s="391" t="s">
        <v>26525</v>
      </c>
      <c r="G4406" s="23" t="s">
        <v>25916</v>
      </c>
      <c r="H4406" s="23"/>
      <c r="I4406" s="23"/>
      <c r="J4406" s="23"/>
      <c r="K4406" s="23"/>
      <c r="L4406" s="375" t="s">
        <v>27603</v>
      </c>
      <c r="M4406" s="351" t="s">
        <v>45</v>
      </c>
      <c r="N4406" s="267">
        <f t="shared" ref="N4406" si="1562">SUM(L4406:M4406)</f>
        <v>0</v>
      </c>
      <c r="O4406" s="268">
        <f t="shared" ref="O4406" si="1563">SUM(P4406:Z4406)</f>
        <v>950</v>
      </c>
      <c r="P4406" s="239"/>
      <c r="Q4406" s="239"/>
      <c r="R4406" s="239"/>
      <c r="S4406" s="239"/>
      <c r="T4406" s="239"/>
      <c r="U4406" s="240">
        <f>4150-3200</f>
        <v>950</v>
      </c>
      <c r="V4406" s="240"/>
      <c r="W4406" s="240"/>
      <c r="X4406" s="278"/>
      <c r="Y4406" s="237"/>
      <c r="Z4406" s="237"/>
      <c r="AA4406" s="279"/>
      <c r="AB4406" s="238" t="s">
        <v>27597</v>
      </c>
      <c r="AC4406" s="196">
        <f t="shared" si="1507"/>
        <v>950</v>
      </c>
      <c r="AD4406" s="196">
        <f t="shared" si="1508"/>
        <v>950</v>
      </c>
      <c r="AE4406" s="196">
        <f t="shared" si="1509"/>
        <v>0</v>
      </c>
      <c r="AF4406" s="2">
        <f t="shared" si="1510"/>
        <v>950</v>
      </c>
      <c r="AG4406" s="2">
        <f t="shared" si="1511"/>
        <v>0</v>
      </c>
    </row>
    <row r="4407" spans="1:33">
      <c r="A4407" s="20" t="s">
        <v>26722</v>
      </c>
      <c r="B4407" s="156"/>
      <c r="C4407" s="21" t="s">
        <v>26695</v>
      </c>
      <c r="D4407" s="109" t="s">
        <v>20994</v>
      </c>
      <c r="E4407" s="109" t="s">
        <v>25321</v>
      </c>
      <c r="F4407" s="391" t="s">
        <v>26703</v>
      </c>
      <c r="G4407" s="23" t="s">
        <v>26696</v>
      </c>
      <c r="H4407" s="23" t="s">
        <v>27006</v>
      </c>
      <c r="I4407" s="23"/>
      <c r="J4407" s="23"/>
      <c r="K4407" s="23"/>
      <c r="L4407" s="375" t="s">
        <v>27912</v>
      </c>
      <c r="M4407" s="351" t="s">
        <v>27480</v>
      </c>
      <c r="N4407" s="267">
        <f t="shared" ref="N4407" si="1564">SUM(L4407:M4407)</f>
        <v>0</v>
      </c>
      <c r="O4407" s="268">
        <f t="shared" ref="O4407" si="1565">SUM(P4407:Z4407)</f>
        <v>7900</v>
      </c>
      <c r="P4407" s="239"/>
      <c r="Q4407" s="239"/>
      <c r="R4407" s="239"/>
      <c r="S4407" s="239"/>
      <c r="T4407" s="239"/>
      <c r="U4407" s="240"/>
      <c r="V4407" s="240">
        <f>600+3300-100-3500+2900+2600-3600+3700-3600+1200-600-100+3000-400-3600+2300+4000+200-3600-3600+4200+3000-3600-3600-700+2100+2000+2300+1700-600</f>
        <v>7900</v>
      </c>
      <c r="W4407" s="240"/>
      <c r="X4407" s="278"/>
      <c r="Y4407" s="237"/>
      <c r="Z4407" s="237"/>
      <c r="AA4407" s="279"/>
      <c r="AB4407" s="238" t="s">
        <v>27910</v>
      </c>
      <c r="AC4407" s="196">
        <f t="shared" si="1507"/>
        <v>7900</v>
      </c>
      <c r="AD4407" s="196">
        <f t="shared" si="1508"/>
        <v>7900</v>
      </c>
      <c r="AE4407" s="196">
        <f t="shared" si="1509"/>
        <v>0</v>
      </c>
      <c r="AF4407" s="2">
        <f t="shared" si="1510"/>
        <v>7900</v>
      </c>
      <c r="AG4407" s="2">
        <f t="shared" si="1511"/>
        <v>0</v>
      </c>
    </row>
    <row r="4408" spans="1:33">
      <c r="A4408" s="20" t="s">
        <v>26723</v>
      </c>
      <c r="B4408" s="156"/>
      <c r="C4408" s="21" t="s">
        <v>26628</v>
      </c>
      <c r="D4408" s="109" t="s">
        <v>11207</v>
      </c>
      <c r="E4408" s="109" t="s">
        <v>26629</v>
      </c>
      <c r="F4408" s="391" t="s">
        <v>26644</v>
      </c>
      <c r="G4408" s="23" t="s">
        <v>26630</v>
      </c>
      <c r="H4408" s="23"/>
      <c r="I4408" s="23"/>
      <c r="J4408" s="23"/>
      <c r="K4408" s="23"/>
      <c r="L4408" s="375" t="s">
        <v>45</v>
      </c>
      <c r="M4408" s="351"/>
      <c r="N4408" s="267">
        <f t="shared" ref="N4408" si="1566">SUM(L4408:M4408)</f>
        <v>0</v>
      </c>
      <c r="O4408" s="268">
        <f t="shared" ref="O4408" si="1567">SUM(P4408:Z4408)</f>
        <v>1100</v>
      </c>
      <c r="P4408" s="239"/>
      <c r="Q4408" s="239"/>
      <c r="R4408" s="239"/>
      <c r="S4408" s="239"/>
      <c r="T4408" s="239"/>
      <c r="U4408" s="240"/>
      <c r="V4408" s="240">
        <f>3900+3600+1000-3600+2700-3600+1300+5200-3600+500+4500-3600-3600-3600</f>
        <v>1100</v>
      </c>
      <c r="W4408" s="240"/>
      <c r="X4408" s="278"/>
      <c r="Y4408" s="237"/>
      <c r="Z4408" s="237"/>
      <c r="AA4408" s="279"/>
      <c r="AB4408" s="238" t="s">
        <v>26951</v>
      </c>
      <c r="AC4408" s="196">
        <f t="shared" si="1507"/>
        <v>1100</v>
      </c>
      <c r="AD4408" s="196">
        <f t="shared" si="1508"/>
        <v>1100</v>
      </c>
      <c r="AE4408" s="196">
        <f t="shared" si="1509"/>
        <v>0</v>
      </c>
      <c r="AF4408" s="2">
        <f t="shared" si="1510"/>
        <v>1100</v>
      </c>
      <c r="AG4408" s="2">
        <f t="shared" si="1511"/>
        <v>0</v>
      </c>
    </row>
    <row r="4409" spans="1:33">
      <c r="A4409" s="20" t="s">
        <v>26392</v>
      </c>
      <c r="B4409" s="156"/>
      <c r="C4409" s="21" t="s">
        <v>26553</v>
      </c>
      <c r="D4409" s="109" t="s">
        <v>4070</v>
      </c>
      <c r="E4409" s="109"/>
      <c r="F4409" s="391" t="s">
        <v>26592</v>
      </c>
      <c r="G4409" s="23" t="s">
        <v>14144</v>
      </c>
      <c r="H4409" s="23" t="s">
        <v>26924</v>
      </c>
      <c r="I4409" s="23" t="s">
        <v>16162</v>
      </c>
      <c r="J4409" s="23"/>
      <c r="K4409" s="23"/>
      <c r="L4409" s="375" t="s">
        <v>27713</v>
      </c>
      <c r="M4409" s="351"/>
      <c r="N4409" s="267">
        <f t="shared" ref="N4409" si="1568">SUM(L4409:M4409)</f>
        <v>0</v>
      </c>
      <c r="O4409" s="268">
        <f t="shared" ref="O4409" si="1569">SUM(P4409:Z4409)</f>
        <v>250</v>
      </c>
      <c r="P4409" s="239"/>
      <c r="Q4409" s="239">
        <f>1200-500-200-450+600-600+950-650+2000-500-600-1000</f>
        <v>250</v>
      </c>
      <c r="R4409" s="239"/>
      <c r="S4409" s="239"/>
      <c r="T4409" s="239"/>
      <c r="U4409" s="240"/>
      <c r="V4409" s="240"/>
      <c r="W4409" s="240"/>
      <c r="X4409" s="278"/>
      <c r="Y4409" s="237"/>
      <c r="Z4409" s="237"/>
      <c r="AA4409" s="279"/>
      <c r="AB4409" s="238" t="s">
        <v>27707</v>
      </c>
      <c r="AC4409" s="196">
        <f t="shared" si="1507"/>
        <v>250</v>
      </c>
      <c r="AD4409" s="196">
        <f t="shared" si="1508"/>
        <v>250</v>
      </c>
      <c r="AE4409" s="196">
        <f t="shared" si="1509"/>
        <v>0</v>
      </c>
      <c r="AF4409" s="2">
        <f t="shared" si="1510"/>
        <v>250</v>
      </c>
      <c r="AG4409" s="2">
        <f t="shared" si="1511"/>
        <v>0</v>
      </c>
    </row>
    <row r="4410" spans="1:33">
      <c r="A4410" s="20" t="s">
        <v>26393</v>
      </c>
      <c r="B4410" s="156"/>
      <c r="C4410" s="21" t="s">
        <v>26575</v>
      </c>
      <c r="D4410" s="109" t="s">
        <v>20994</v>
      </c>
      <c r="E4410" s="109" t="s">
        <v>25321</v>
      </c>
      <c r="F4410" s="391" t="s">
        <v>26593</v>
      </c>
      <c r="G4410" s="23" t="s">
        <v>13565</v>
      </c>
      <c r="H4410" s="23" t="s">
        <v>13888</v>
      </c>
      <c r="I4410" s="23"/>
      <c r="J4410" s="23"/>
      <c r="K4410" s="23"/>
      <c r="L4410" s="375">
        <f>310+920</f>
        <v>1230</v>
      </c>
      <c r="M4410" s="351"/>
      <c r="N4410" s="267">
        <f t="shared" ref="N4410" si="1570">SUM(L4410:M4410)</f>
        <v>1230</v>
      </c>
      <c r="O4410" s="268">
        <f t="shared" ref="O4410" si="1571">SUM(P4410:Z4410)</f>
        <v>700</v>
      </c>
      <c r="P4410" s="239"/>
      <c r="Q4410" s="239"/>
      <c r="R4410" s="239"/>
      <c r="S4410" s="239"/>
      <c r="T4410" s="239"/>
      <c r="U4410" s="240">
        <f>1200-500</f>
        <v>700</v>
      </c>
      <c r="V4410" s="240"/>
      <c r="W4410" s="240"/>
      <c r="X4410" s="278"/>
      <c r="Y4410" s="237"/>
      <c r="Z4410" s="237"/>
      <c r="AA4410" s="279"/>
      <c r="AB4410" s="238" t="s">
        <v>27972</v>
      </c>
      <c r="AC4410" s="196">
        <f t="shared" si="1507"/>
        <v>700</v>
      </c>
      <c r="AD4410" s="196">
        <f t="shared" si="1508"/>
        <v>700</v>
      </c>
      <c r="AE4410" s="196">
        <f t="shared" si="1509"/>
        <v>0</v>
      </c>
      <c r="AF4410" s="2">
        <f t="shared" si="1510"/>
        <v>700</v>
      </c>
      <c r="AG4410" s="2">
        <f t="shared" si="1511"/>
        <v>0</v>
      </c>
    </row>
    <row r="4411" spans="1:33">
      <c r="A4411" s="20"/>
      <c r="B4411" s="156"/>
      <c r="C4411" s="21" t="s">
        <v>27748</v>
      </c>
      <c r="D4411" s="109" t="s">
        <v>4070</v>
      </c>
      <c r="E4411" s="109"/>
      <c r="F4411" s="391" t="s">
        <v>27759</v>
      </c>
      <c r="G4411" s="23" t="s">
        <v>13888</v>
      </c>
      <c r="H4411" s="23"/>
      <c r="I4411" s="23"/>
      <c r="J4411" s="23"/>
      <c r="K4411" s="23"/>
      <c r="L4411" s="375" t="s">
        <v>27764</v>
      </c>
      <c r="M4411" s="351"/>
      <c r="N4411" s="267">
        <f t="shared" ref="N4411" si="1572">SUM(L4411:M4411)</f>
        <v>0</v>
      </c>
      <c r="O4411" s="268">
        <f t="shared" ref="O4411" si="1573">SUM(P4411:Z4411)</f>
        <v>150</v>
      </c>
      <c r="P4411" s="239"/>
      <c r="Q4411" s="239"/>
      <c r="R4411" s="239"/>
      <c r="S4411" s="239"/>
      <c r="T4411" s="239"/>
      <c r="U4411" s="240">
        <f>250-100</f>
        <v>150</v>
      </c>
      <c r="V4411" s="240"/>
      <c r="W4411" s="240"/>
      <c r="X4411" s="278"/>
      <c r="Y4411" s="237"/>
      <c r="Z4411" s="237"/>
      <c r="AA4411" s="279"/>
      <c r="AB4411" s="238" t="s">
        <v>27760</v>
      </c>
      <c r="AC4411" s="196"/>
      <c r="AD4411" s="196"/>
      <c r="AE4411" s="196"/>
    </row>
    <row r="4412" spans="1:33">
      <c r="A4412" s="20" t="s">
        <v>26721</v>
      </c>
      <c r="B4412" s="156"/>
      <c r="C4412" s="21" t="s">
        <v>26676</v>
      </c>
      <c r="D4412" s="109" t="s">
        <v>20994</v>
      </c>
      <c r="E4412" s="109" t="s">
        <v>25321</v>
      </c>
      <c r="F4412" s="391" t="s">
        <v>26735</v>
      </c>
      <c r="G4412" s="23" t="s">
        <v>13565</v>
      </c>
      <c r="H4412" s="23"/>
      <c r="I4412" s="23"/>
      <c r="J4412" s="23"/>
      <c r="K4412" s="23"/>
      <c r="L4412" s="375" t="s">
        <v>27951</v>
      </c>
      <c r="M4412" s="351"/>
      <c r="N4412" s="267">
        <f t="shared" ref="N4412" si="1574">SUM(L4412:M4412)</f>
        <v>0</v>
      </c>
      <c r="O4412" s="268">
        <f t="shared" ref="O4412" si="1575">SUM(P4412:Z4412)</f>
        <v>700</v>
      </c>
      <c r="P4412" s="239"/>
      <c r="Q4412" s="239"/>
      <c r="R4412" s="239"/>
      <c r="S4412" s="239"/>
      <c r="T4412" s="239"/>
      <c r="U4412" s="240"/>
      <c r="V4412" s="240">
        <f>700-500+200+300</f>
        <v>700</v>
      </c>
      <c r="W4412" s="240"/>
      <c r="X4412" s="278"/>
      <c r="Y4412" s="237"/>
      <c r="Z4412" s="237"/>
      <c r="AA4412" s="279"/>
      <c r="AB4412" s="238" t="s">
        <v>27948</v>
      </c>
      <c r="AC4412" s="196">
        <f t="shared" si="1507"/>
        <v>700</v>
      </c>
      <c r="AD4412" s="196">
        <f t="shared" si="1508"/>
        <v>700</v>
      </c>
      <c r="AE4412" s="196">
        <f t="shared" si="1509"/>
        <v>0</v>
      </c>
      <c r="AF4412" s="2">
        <f t="shared" si="1510"/>
        <v>700</v>
      </c>
      <c r="AG4412" s="2">
        <f t="shared" si="1511"/>
        <v>0</v>
      </c>
    </row>
    <row r="4413" spans="1:33">
      <c r="A4413" s="20" t="s">
        <v>26772</v>
      </c>
      <c r="B4413" s="156"/>
      <c r="C4413" s="21" t="s">
        <v>26676</v>
      </c>
      <c r="D4413" s="109" t="s">
        <v>20994</v>
      </c>
      <c r="E4413" s="109" t="s">
        <v>26189</v>
      </c>
      <c r="F4413" s="391" t="s">
        <v>26735</v>
      </c>
      <c r="G4413" s="23" t="s">
        <v>13565</v>
      </c>
      <c r="H4413" s="23"/>
      <c r="I4413" s="23"/>
      <c r="J4413" s="23"/>
      <c r="K4413" s="23"/>
      <c r="L4413" s="375" t="s">
        <v>45</v>
      </c>
      <c r="M4413" s="351"/>
      <c r="N4413" s="267">
        <f t="shared" ref="N4413" si="1576">SUM(L4413:M4413)</f>
        <v>0</v>
      </c>
      <c r="O4413" s="268">
        <f t="shared" ref="O4413" si="1577">SUM(P4413:Z4413)</f>
        <v>0</v>
      </c>
      <c r="P4413" s="239"/>
      <c r="Q4413" s="239"/>
      <c r="R4413" s="239"/>
      <c r="S4413" s="239"/>
      <c r="T4413" s="239"/>
      <c r="U4413" s="240"/>
      <c r="V4413" s="240"/>
      <c r="W4413" s="240"/>
      <c r="X4413" s="278"/>
      <c r="Y4413" s="237"/>
      <c r="Z4413" s="237"/>
      <c r="AA4413" s="279"/>
      <c r="AB4413" s="238"/>
      <c r="AC4413" s="196">
        <f t="shared" si="1507"/>
        <v>0</v>
      </c>
      <c r="AD4413" s="196">
        <f t="shared" si="1508"/>
        <v>0</v>
      </c>
      <c r="AE4413" s="196">
        <f t="shared" si="1509"/>
        <v>0</v>
      </c>
      <c r="AF4413" s="2">
        <f t="shared" si="1510"/>
        <v>0</v>
      </c>
      <c r="AG4413" s="2">
        <f t="shared" si="1511"/>
        <v>0</v>
      </c>
    </row>
    <row r="4414" spans="1:33">
      <c r="A4414" s="20"/>
      <c r="B4414" s="156"/>
      <c r="C4414" s="21" t="s">
        <v>27471</v>
      </c>
      <c r="D4414" s="109" t="s">
        <v>20994</v>
      </c>
      <c r="E4414" s="109"/>
      <c r="F4414" s="391" t="s">
        <v>27667</v>
      </c>
      <c r="G4414" s="23" t="s">
        <v>13565</v>
      </c>
      <c r="H4414" s="23"/>
      <c r="I4414" s="23"/>
      <c r="J4414" s="23"/>
      <c r="K4414" s="23"/>
      <c r="L4414" s="375">
        <v>11070</v>
      </c>
      <c r="M4414" s="351"/>
      <c r="N4414" s="267">
        <f t="shared" ref="N4414" si="1578">SUM(L4414:M4414)</f>
        <v>11070</v>
      </c>
      <c r="O4414" s="268">
        <f t="shared" ref="O4414" si="1579">SUM(P4414:Z4414)</f>
        <v>10100</v>
      </c>
      <c r="P4414" s="239"/>
      <c r="Q4414" s="239"/>
      <c r="R4414" s="239"/>
      <c r="S4414" s="239"/>
      <c r="T4414" s="239"/>
      <c r="U4414" s="240"/>
      <c r="V4414" s="240">
        <f>800-100+3900-3600+2700-3600+5100-3600+8400-3600+1100-3600+2900-3600+4900-3600+4800+800</f>
        <v>10100</v>
      </c>
      <c r="W4414" s="240"/>
      <c r="X4414" s="278"/>
      <c r="Y4414" s="237"/>
      <c r="Z4414" s="237"/>
      <c r="AA4414" s="279"/>
      <c r="AB4414" s="238" t="s">
        <v>27987</v>
      </c>
      <c r="AC4414" s="196"/>
      <c r="AD4414" s="196"/>
      <c r="AE4414" s="196"/>
    </row>
    <row r="4415" spans="1:33">
      <c r="A4415" s="20" t="s">
        <v>27125</v>
      </c>
      <c r="B4415" s="156"/>
      <c r="C4415" s="21" t="s">
        <v>27241</v>
      </c>
      <c r="D4415" s="109" t="s">
        <v>20994</v>
      </c>
      <c r="E4415" s="109"/>
      <c r="F4415" s="391" t="s">
        <v>27255</v>
      </c>
      <c r="G4415" s="23" t="s">
        <v>27256</v>
      </c>
      <c r="H4415" s="23"/>
      <c r="I4415" s="23"/>
      <c r="J4415" s="23"/>
      <c r="K4415" s="23"/>
      <c r="L4415" s="375" t="s">
        <v>27527</v>
      </c>
      <c r="M4415" s="351"/>
      <c r="N4415" s="267">
        <f t="shared" ref="N4415" si="1580">SUM(L4415:M4415)</f>
        <v>0</v>
      </c>
      <c r="O4415" s="268">
        <f t="shared" ref="O4415" si="1581">SUM(P4415:Z4415)</f>
        <v>1700</v>
      </c>
      <c r="P4415" s="239"/>
      <c r="Q4415" s="239"/>
      <c r="R4415" s="239"/>
      <c r="S4415" s="239"/>
      <c r="T4415" s="239"/>
      <c r="U4415" s="240">
        <f>500-200+200-100-100+3200+300-3600+1500</f>
        <v>1700</v>
      </c>
      <c r="V4415" s="240"/>
      <c r="W4415" s="240"/>
      <c r="X4415" s="278"/>
      <c r="Y4415" s="237"/>
      <c r="Z4415" s="237"/>
      <c r="AA4415" s="279"/>
      <c r="AB4415" s="238" t="s">
        <v>27505</v>
      </c>
      <c r="AC4415" s="196"/>
      <c r="AD4415" s="196"/>
      <c r="AE4415" s="196"/>
    </row>
    <row r="4416" spans="1:33">
      <c r="A4416" s="20"/>
      <c r="B4416" s="156"/>
      <c r="C4416" s="21" t="s">
        <v>27400</v>
      </c>
      <c r="D4416" s="109" t="s">
        <v>20994</v>
      </c>
      <c r="E4416" s="109"/>
      <c r="F4416" s="391" t="s">
        <v>27668</v>
      </c>
      <c r="G4416" s="23" t="s">
        <v>15443</v>
      </c>
      <c r="H4416" s="23"/>
      <c r="I4416" s="23"/>
      <c r="J4416" s="23"/>
      <c r="K4416" s="23"/>
      <c r="L4416" s="375" t="s">
        <v>27764</v>
      </c>
      <c r="M4416" s="351"/>
      <c r="N4416" s="267">
        <f t="shared" ref="N4416:N4417" si="1582">SUM(L4416:M4416)</f>
        <v>0</v>
      </c>
      <c r="O4416" s="268">
        <f t="shared" ref="O4416:O4417" si="1583">SUM(P4416:Z4416)</f>
        <v>800</v>
      </c>
      <c r="P4416" s="239"/>
      <c r="Q4416" s="239"/>
      <c r="R4416" s="239"/>
      <c r="S4416" s="239"/>
      <c r="T4416" s="239"/>
      <c r="U4416" s="240"/>
      <c r="V4416" s="240">
        <f>300-100+200+2900+200-3400+900-200</f>
        <v>800</v>
      </c>
      <c r="W4416" s="240"/>
      <c r="X4416" s="278"/>
      <c r="Y4416" s="237"/>
      <c r="Z4416" s="237"/>
      <c r="AA4416" s="279"/>
      <c r="AB4416" s="238" t="s">
        <v>27761</v>
      </c>
      <c r="AC4416" s="196"/>
      <c r="AD4416" s="196"/>
      <c r="AE4416" s="196"/>
    </row>
    <row r="4417" spans="1:33">
      <c r="A4417" s="20"/>
      <c r="B4417" s="156"/>
      <c r="C4417" s="21" t="s">
        <v>27401</v>
      </c>
      <c r="D4417" s="109" t="s">
        <v>20994</v>
      </c>
      <c r="E4417" s="109"/>
      <c r="F4417" s="391" t="s">
        <v>27669</v>
      </c>
      <c r="G4417" s="23" t="s">
        <v>15443</v>
      </c>
      <c r="H4417" s="23"/>
      <c r="I4417" s="23"/>
      <c r="J4417" s="23"/>
      <c r="K4417" s="23"/>
      <c r="L4417" s="375">
        <f>3020</f>
        <v>3020</v>
      </c>
      <c r="M4417" s="351" t="s">
        <v>27622</v>
      </c>
      <c r="N4417" s="267">
        <f t="shared" si="1582"/>
        <v>3020</v>
      </c>
      <c r="O4417" s="268">
        <f t="shared" si="1583"/>
        <v>0</v>
      </c>
      <c r="P4417" s="239"/>
      <c r="Q4417" s="239"/>
      <c r="R4417" s="239"/>
      <c r="S4417" s="239"/>
      <c r="T4417" s="239"/>
      <c r="U4417" s="240"/>
      <c r="V4417" s="240"/>
      <c r="W4417" s="240"/>
      <c r="X4417" s="278"/>
      <c r="Y4417" s="237"/>
      <c r="Z4417" s="237"/>
      <c r="AA4417" s="279"/>
      <c r="AB4417" s="238"/>
      <c r="AC4417" s="196"/>
      <c r="AD4417" s="196"/>
      <c r="AE4417" s="196"/>
    </row>
    <row r="4418" spans="1:33">
      <c r="A4418" s="20"/>
      <c r="B4418" s="156"/>
      <c r="C4418" s="21" t="s">
        <v>27512</v>
      </c>
      <c r="D4418" s="109" t="s">
        <v>20994</v>
      </c>
      <c r="E4418" s="109"/>
      <c r="F4418" s="391" t="s">
        <v>27670</v>
      </c>
      <c r="G4418" s="23" t="s">
        <v>15443</v>
      </c>
      <c r="H4418" s="23"/>
      <c r="I4418" s="23"/>
      <c r="J4418" s="23"/>
      <c r="K4418" s="23"/>
      <c r="L4418" s="375" t="s">
        <v>27581</v>
      </c>
      <c r="M4418" s="351"/>
      <c r="N4418" s="267">
        <f t="shared" ref="N4418" si="1584">SUM(L4418:M4418)</f>
        <v>0</v>
      </c>
      <c r="O4418" s="268">
        <f t="shared" ref="O4418" si="1585">SUM(P4418:Z4418)</f>
        <v>100</v>
      </c>
      <c r="P4418" s="239"/>
      <c r="Q4418" s="239"/>
      <c r="R4418" s="239"/>
      <c r="S4418" s="239"/>
      <c r="T4418" s="239"/>
      <c r="U4418" s="240"/>
      <c r="V4418" s="240">
        <v>100</v>
      </c>
      <c r="W4418" s="240"/>
      <c r="X4418" s="278"/>
      <c r="Y4418" s="237"/>
      <c r="Z4418" s="237"/>
      <c r="AA4418" s="279"/>
      <c r="AB4418" s="238" t="s">
        <v>27582</v>
      </c>
      <c r="AC4418" s="196"/>
      <c r="AD4418" s="196"/>
      <c r="AE4418" s="196"/>
    </row>
    <row r="4419" spans="1:33">
      <c r="A4419" s="20"/>
      <c r="B4419" s="156"/>
      <c r="C4419" s="21" t="s">
        <v>27516</v>
      </c>
      <c r="D4419" s="109" t="s">
        <v>20994</v>
      </c>
      <c r="E4419" s="109"/>
      <c r="F4419" s="391" t="s">
        <v>27671</v>
      </c>
      <c r="G4419" s="23" t="s">
        <v>15443</v>
      </c>
      <c r="H4419" s="23"/>
      <c r="I4419" s="23"/>
      <c r="J4419" s="23"/>
      <c r="K4419" s="23"/>
      <c r="L4419" s="375" t="s">
        <v>27686</v>
      </c>
      <c r="M4419" s="351"/>
      <c r="N4419" s="267">
        <f t="shared" ref="N4419" si="1586">SUM(L4419:M4419)</f>
        <v>0</v>
      </c>
      <c r="O4419" s="268">
        <f t="shared" ref="O4419" si="1587">SUM(P4419:Z4419)</f>
        <v>5600</v>
      </c>
      <c r="P4419" s="239"/>
      <c r="Q4419" s="239"/>
      <c r="R4419" s="239"/>
      <c r="S4419" s="239"/>
      <c r="T4419" s="239"/>
      <c r="U4419" s="240"/>
      <c r="V4419" s="240">
        <f>100+3400+2100</f>
        <v>5600</v>
      </c>
      <c r="W4419" s="240"/>
      <c r="X4419" s="278"/>
      <c r="Y4419" s="237"/>
      <c r="Z4419" s="237"/>
      <c r="AA4419" s="279"/>
      <c r="AB4419" s="238" t="s">
        <v>27699</v>
      </c>
      <c r="AC4419" s="196"/>
      <c r="AD4419" s="196"/>
      <c r="AE4419" s="196"/>
    </row>
    <row r="4420" spans="1:33">
      <c r="A4420" s="20" t="s">
        <v>26858</v>
      </c>
      <c r="B4420" s="156"/>
      <c r="C4420" s="21" t="s">
        <v>26892</v>
      </c>
      <c r="D4420" s="109" t="s">
        <v>4070</v>
      </c>
      <c r="E4420" s="109"/>
      <c r="F4420" s="391" t="s">
        <v>26893</v>
      </c>
      <c r="G4420" s="23" t="s">
        <v>13888</v>
      </c>
      <c r="H4420" s="23"/>
      <c r="I4420" s="23"/>
      <c r="J4420" s="23"/>
      <c r="K4420" s="23"/>
      <c r="L4420" s="375" t="s">
        <v>45</v>
      </c>
      <c r="M4420" s="351"/>
      <c r="N4420" s="267">
        <f t="shared" ref="N4420" si="1588">SUM(L4420:M4420)</f>
        <v>0</v>
      </c>
      <c r="O4420" s="268">
        <f t="shared" ref="O4420" si="1589">SUM(P4420:Z4420)</f>
        <v>0</v>
      </c>
      <c r="P4420" s="239"/>
      <c r="Q4420" s="239"/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/>
      <c r="AC4420" s="196">
        <f t="shared" si="1507"/>
        <v>0</v>
      </c>
      <c r="AD4420" s="196">
        <f t="shared" si="1508"/>
        <v>0</v>
      </c>
      <c r="AE4420" s="196">
        <f t="shared" si="1509"/>
        <v>0</v>
      </c>
      <c r="AF4420" s="2">
        <f t="shared" si="1510"/>
        <v>0</v>
      </c>
      <c r="AG4420" s="2">
        <f t="shared" si="1511"/>
        <v>0</v>
      </c>
    </row>
    <row r="4421" spans="1:33">
      <c r="A4421" s="20" t="s">
        <v>27136</v>
      </c>
      <c r="B4421" s="156"/>
      <c r="C4421" s="21" t="s">
        <v>27262</v>
      </c>
      <c r="D4421" s="109" t="s">
        <v>3927</v>
      </c>
      <c r="E4421" s="109"/>
      <c r="F4421" s="391" t="s">
        <v>27263</v>
      </c>
      <c r="G4421" s="23" t="s">
        <v>27266</v>
      </c>
      <c r="H4421" s="23"/>
      <c r="I4421" s="23"/>
      <c r="J4421" s="23"/>
      <c r="K4421" s="23"/>
      <c r="L4421" s="375"/>
      <c r="M4421" s="351"/>
      <c r="N4421" s="267">
        <f t="shared" ref="N4421" si="1590">SUM(L4421:M4421)</f>
        <v>0</v>
      </c>
      <c r="O4421" s="268">
        <f t="shared" ref="O4421" si="1591">SUM(P4421:Z4421)</f>
        <v>11000</v>
      </c>
      <c r="P4421" s="239"/>
      <c r="Q4421" s="239"/>
      <c r="R4421" s="239"/>
      <c r="S4421" s="239"/>
      <c r="T4421" s="239"/>
      <c r="U4421" s="240">
        <f>2400+3000+3000+2600</f>
        <v>11000</v>
      </c>
      <c r="V4421" s="240"/>
      <c r="W4421" s="240"/>
      <c r="X4421" s="278"/>
      <c r="Y4421" s="237"/>
      <c r="Z4421" s="237"/>
      <c r="AA4421" s="279"/>
      <c r="AB4421" s="238" t="s">
        <v>27275</v>
      </c>
      <c r="AC4421" s="196">
        <f t="shared" ref="AC4421" si="1592">SUM(P4421:AA4421)</f>
        <v>11000</v>
      </c>
      <c r="AD4421" s="196">
        <f t="shared" ref="AD4421" si="1593">SUM(P4421:AB4421)</f>
        <v>11000</v>
      </c>
      <c r="AE4421" s="196">
        <f t="shared" ref="AE4421" si="1594">SUM(AC4421-AD4421)</f>
        <v>0</v>
      </c>
      <c r="AF4421" s="2">
        <f t="shared" ref="AF4421" si="1595">+AC4421</f>
        <v>11000</v>
      </c>
      <c r="AG4421" s="2">
        <f t="shared" ref="AG4421" si="1596">+AC4421-AF4421</f>
        <v>0</v>
      </c>
    </row>
    <row r="4422" spans="1:33">
      <c r="A4422" s="20" t="s">
        <v>26857</v>
      </c>
      <c r="B4422" s="156"/>
      <c r="C4422" s="21" t="s">
        <v>26888</v>
      </c>
      <c r="D4422" s="109" t="s">
        <v>20994</v>
      </c>
      <c r="E4422" s="109"/>
      <c r="F4422" s="391" t="s">
        <v>26891</v>
      </c>
      <c r="G4422" s="23" t="s">
        <v>13565</v>
      </c>
      <c r="H4422" s="23"/>
      <c r="I4422" s="23"/>
      <c r="J4422" s="23"/>
      <c r="K4422" s="23"/>
      <c r="L4422" s="375" t="s">
        <v>45</v>
      </c>
      <c r="M4422" s="351"/>
      <c r="N4422" s="267">
        <f t="shared" ref="N4422" si="1597">SUM(L4422:M4422)</f>
        <v>0</v>
      </c>
      <c r="O4422" s="268">
        <f t="shared" ref="O4422" si="1598">SUM(P4422:Z4422)</f>
        <v>0</v>
      </c>
      <c r="P4422" s="239"/>
      <c r="Q4422" s="239"/>
      <c r="R4422" s="239"/>
      <c r="S4422" s="239"/>
      <c r="T4422" s="239"/>
      <c r="U4422" s="240"/>
      <c r="V4422" s="240"/>
      <c r="W4422" s="240"/>
      <c r="X4422" s="278"/>
      <c r="Y4422" s="237"/>
      <c r="Z4422" s="237"/>
      <c r="AA4422" s="279"/>
      <c r="AB4422" s="238"/>
      <c r="AC4422" s="196">
        <f t="shared" si="1507"/>
        <v>0</v>
      </c>
      <c r="AD4422" s="196">
        <f t="shared" si="1508"/>
        <v>0</v>
      </c>
      <c r="AE4422" s="196">
        <f t="shared" si="1509"/>
        <v>0</v>
      </c>
      <c r="AF4422" s="2">
        <f t="shared" si="1510"/>
        <v>0</v>
      </c>
      <c r="AG4422" s="2">
        <f t="shared" si="1511"/>
        <v>0</v>
      </c>
    </row>
    <row r="4423" spans="1:33">
      <c r="A4423" s="20" t="s">
        <v>26764</v>
      </c>
      <c r="B4423" s="156"/>
      <c r="C4423" s="21" t="s">
        <v>26821</v>
      </c>
      <c r="D4423" s="109" t="s">
        <v>3137</v>
      </c>
      <c r="E4423" s="109"/>
      <c r="F4423" s="391" t="s">
        <v>26822</v>
      </c>
      <c r="G4423" s="23" t="s">
        <v>26823</v>
      </c>
      <c r="H4423" s="23" t="s">
        <v>26828</v>
      </c>
      <c r="I4423" s="23"/>
      <c r="J4423" s="23"/>
      <c r="K4423" s="23"/>
      <c r="L4423" s="375" t="s">
        <v>45</v>
      </c>
      <c r="M4423" s="351"/>
      <c r="N4423" s="267">
        <f t="shared" ref="N4423:N4427" si="1599">SUM(L4423:M4423)</f>
        <v>0</v>
      </c>
      <c r="O4423" s="268">
        <f t="shared" ref="O4423:O4427" si="1600">SUM(P4423:Z4423)</f>
        <v>450</v>
      </c>
      <c r="P4423" s="239"/>
      <c r="Q4423" s="239">
        <f>800-500+2150-1000-1000</f>
        <v>450</v>
      </c>
      <c r="R4423" s="239"/>
      <c r="S4423" s="239"/>
      <c r="T4423" s="239"/>
      <c r="U4423" s="240"/>
      <c r="V4423" s="240"/>
      <c r="W4423" s="240"/>
      <c r="X4423" s="278"/>
      <c r="Y4423" s="237"/>
      <c r="Z4423" s="237"/>
      <c r="AA4423" s="279"/>
      <c r="AB4423" s="238" t="s">
        <v>26829</v>
      </c>
      <c r="AC4423" s="196">
        <f t="shared" si="1507"/>
        <v>450</v>
      </c>
      <c r="AD4423" s="196">
        <f t="shared" si="1508"/>
        <v>450</v>
      </c>
      <c r="AE4423" s="196">
        <f t="shared" si="1509"/>
        <v>0</v>
      </c>
      <c r="AF4423" s="2">
        <f t="shared" si="1510"/>
        <v>450</v>
      </c>
      <c r="AG4423" s="2">
        <f t="shared" si="1511"/>
        <v>0</v>
      </c>
    </row>
    <row r="4424" spans="1:33">
      <c r="A4424" s="20" t="s">
        <v>26860</v>
      </c>
      <c r="B4424" s="156"/>
      <c r="C4424" s="21" t="s">
        <v>26896</v>
      </c>
      <c r="D4424" s="109" t="s">
        <v>3137</v>
      </c>
      <c r="E4424" s="109"/>
      <c r="F4424" s="391" t="s">
        <v>26918</v>
      </c>
      <c r="G4424" s="23" t="s">
        <v>14637</v>
      </c>
      <c r="H4424" s="23"/>
      <c r="I4424" s="23"/>
      <c r="J4424" s="23"/>
      <c r="K4424" s="23"/>
      <c r="L4424" s="375" t="s">
        <v>27991</v>
      </c>
      <c r="M4424" s="351"/>
      <c r="N4424" s="267">
        <f t="shared" ref="N4424" si="1601">SUM(L4424:M4424)</f>
        <v>0</v>
      </c>
      <c r="O4424" s="268">
        <f t="shared" ref="O4424" si="1602">SUM(P4424:Z4424)</f>
        <v>3600</v>
      </c>
      <c r="P4424" s="239"/>
      <c r="Q4424" s="239">
        <f>1150-500-50+3000</f>
        <v>3600</v>
      </c>
      <c r="R4424" s="239"/>
      <c r="S4424" s="239"/>
      <c r="T4424" s="239"/>
      <c r="U4424" s="240"/>
      <c r="V4424" s="240"/>
      <c r="W4424" s="240"/>
      <c r="X4424" s="278"/>
      <c r="Y4424" s="237"/>
      <c r="Z4424" s="237"/>
      <c r="AA4424" s="279"/>
      <c r="AB4424" s="238" t="s">
        <v>28014</v>
      </c>
      <c r="AC4424" s="196"/>
      <c r="AD4424" s="196">
        <f t="shared" si="1508"/>
        <v>3600</v>
      </c>
      <c r="AE4424" s="196"/>
    </row>
    <row r="4425" spans="1:33">
      <c r="A4425" s="20" t="s">
        <v>26859</v>
      </c>
      <c r="B4425" s="156"/>
      <c r="C4425" s="21" t="s">
        <v>26890</v>
      </c>
      <c r="D4425" s="109" t="s">
        <v>3137</v>
      </c>
      <c r="E4425" s="109"/>
      <c r="F4425" s="391" t="s">
        <v>26894</v>
      </c>
      <c r="G4425" s="23" t="s">
        <v>6133</v>
      </c>
      <c r="H4425" s="23" t="s">
        <v>13486</v>
      </c>
      <c r="I4425" s="23"/>
      <c r="J4425" s="23"/>
      <c r="K4425" s="23"/>
      <c r="L4425" s="375" t="s">
        <v>27685</v>
      </c>
      <c r="M4425" s="351"/>
      <c r="N4425" s="267">
        <f t="shared" ref="N4425" si="1603">SUM(L4425:M4425)</f>
        <v>0</v>
      </c>
      <c r="O4425" s="268">
        <f t="shared" ref="O4425" si="1604">SUM(P4425:Z4425)</f>
        <v>100</v>
      </c>
      <c r="P4425" s="239"/>
      <c r="Q4425" s="239">
        <f>750-500+2150-1500-500+950-950+1750-2050+1150-1000+400-300-50-200</f>
        <v>100</v>
      </c>
      <c r="R4425" s="239"/>
      <c r="S4425" s="239"/>
      <c r="T4425" s="239"/>
      <c r="U4425" s="240"/>
      <c r="V4425" s="240"/>
      <c r="W4425" s="240"/>
      <c r="X4425" s="278"/>
      <c r="Y4425" s="237"/>
      <c r="Z4425" s="237"/>
      <c r="AA4425" s="279"/>
      <c r="AB4425" s="238" t="s">
        <v>27696</v>
      </c>
      <c r="AC4425" s="196">
        <f t="shared" si="1507"/>
        <v>100</v>
      </c>
      <c r="AD4425" s="196">
        <f t="shared" si="1508"/>
        <v>100</v>
      </c>
      <c r="AE4425" s="196">
        <f t="shared" si="1509"/>
        <v>0</v>
      </c>
      <c r="AF4425" s="2">
        <f t="shared" si="1510"/>
        <v>100</v>
      </c>
      <c r="AG4425" s="2">
        <f t="shared" si="1511"/>
        <v>0</v>
      </c>
    </row>
    <row r="4426" spans="1:33">
      <c r="A4426" s="20" t="s">
        <v>26769</v>
      </c>
      <c r="B4426" s="156"/>
      <c r="C4426" s="21" t="s">
        <v>26850</v>
      </c>
      <c r="D4426" s="109" t="s">
        <v>26851</v>
      </c>
      <c r="E4426" s="109" t="s">
        <v>26055</v>
      </c>
      <c r="F4426" s="391" t="s">
        <v>26949</v>
      </c>
      <c r="G4426" s="23" t="s">
        <v>25916</v>
      </c>
      <c r="H4426" s="23"/>
      <c r="I4426" s="23"/>
      <c r="J4426" s="23"/>
      <c r="K4426" s="23"/>
      <c r="L4426" s="375" t="s">
        <v>7787</v>
      </c>
      <c r="M4426" s="351"/>
      <c r="N4426" s="267">
        <f t="shared" si="1599"/>
        <v>0</v>
      </c>
      <c r="O4426" s="268">
        <f t="shared" si="1600"/>
        <v>0</v>
      </c>
      <c r="P4426" s="239"/>
      <c r="Q4426" s="239"/>
      <c r="R4426" s="239"/>
      <c r="S4426" s="239"/>
      <c r="T4426" s="239"/>
      <c r="U4426" s="240"/>
      <c r="V4426" s="240"/>
      <c r="W4426" s="240"/>
      <c r="X4426" s="278"/>
      <c r="Y4426" s="237"/>
      <c r="Z4426" s="237"/>
      <c r="AA4426" s="279"/>
      <c r="AB4426" s="238"/>
      <c r="AC4426" s="196">
        <f t="shared" si="1507"/>
        <v>0</v>
      </c>
      <c r="AD4426" s="196">
        <f t="shared" si="1508"/>
        <v>0</v>
      </c>
      <c r="AE4426" s="196">
        <f t="shared" si="1509"/>
        <v>0</v>
      </c>
      <c r="AF4426" s="2">
        <f t="shared" si="1510"/>
        <v>0</v>
      </c>
      <c r="AG4426" s="2">
        <f t="shared" si="1511"/>
        <v>0</v>
      </c>
    </row>
    <row r="4427" spans="1:33">
      <c r="A4427" s="20" t="s">
        <v>26770</v>
      </c>
      <c r="B4427" s="156"/>
      <c r="C4427" s="21" t="s">
        <v>26852</v>
      </c>
      <c r="D4427" s="109" t="s">
        <v>26851</v>
      </c>
      <c r="E4427" s="109" t="s">
        <v>26063</v>
      </c>
      <c r="F4427" s="391" t="s">
        <v>26950</v>
      </c>
      <c r="G4427" s="23" t="s">
        <v>25916</v>
      </c>
      <c r="H4427" s="23"/>
      <c r="I4427" s="23"/>
      <c r="J4427" s="23"/>
      <c r="K4427" s="23"/>
      <c r="L4427" s="375" t="s">
        <v>7787</v>
      </c>
      <c r="M4427" s="351"/>
      <c r="N4427" s="267">
        <f t="shared" si="1599"/>
        <v>0</v>
      </c>
      <c r="O4427" s="268">
        <f t="shared" si="1600"/>
        <v>0</v>
      </c>
      <c r="P4427" s="239"/>
      <c r="Q4427" s="239"/>
      <c r="R4427" s="239"/>
      <c r="S4427" s="239"/>
      <c r="T4427" s="239"/>
      <c r="U4427" s="240"/>
      <c r="V4427" s="240"/>
      <c r="W4427" s="240"/>
      <c r="X4427" s="278"/>
      <c r="Y4427" s="237"/>
      <c r="Z4427" s="237"/>
      <c r="AA4427" s="279"/>
      <c r="AB4427" s="238"/>
      <c r="AC4427" s="196">
        <f t="shared" si="1507"/>
        <v>0</v>
      </c>
      <c r="AD4427" s="196">
        <f t="shared" si="1508"/>
        <v>0</v>
      </c>
      <c r="AE4427" s="196">
        <f t="shared" si="1509"/>
        <v>0</v>
      </c>
      <c r="AF4427" s="2">
        <f t="shared" si="1510"/>
        <v>0</v>
      </c>
      <c r="AG4427" s="2">
        <f t="shared" si="1511"/>
        <v>0</v>
      </c>
    </row>
    <row r="4428" spans="1:33">
      <c r="A4428" s="20" t="s">
        <v>26771</v>
      </c>
      <c r="B4428" s="156"/>
      <c r="C4428" s="21" t="s">
        <v>26841</v>
      </c>
      <c r="D4428" s="109" t="s">
        <v>3137</v>
      </c>
      <c r="E4428" s="109" t="s">
        <v>25321</v>
      </c>
      <c r="F4428" s="391" t="s">
        <v>26847</v>
      </c>
      <c r="G4428" s="23" t="s">
        <v>25916</v>
      </c>
      <c r="H4428" s="23"/>
      <c r="I4428" s="23"/>
      <c r="J4428" s="23"/>
      <c r="K4428" s="23"/>
      <c r="L4428" s="375" t="s">
        <v>45</v>
      </c>
      <c r="M4428" s="351"/>
      <c r="N4428" s="267">
        <f t="shared" ref="N4428:N4430" si="1605">SUM(L4428:M4428)</f>
        <v>0</v>
      </c>
      <c r="O4428" s="268">
        <f t="shared" ref="O4428:O4430" si="1606">SUM(P4428:Z4428)</f>
        <v>300</v>
      </c>
      <c r="P4428" s="239"/>
      <c r="Q4428" s="239"/>
      <c r="R4428" s="239"/>
      <c r="S4428" s="239"/>
      <c r="T4428" s="239"/>
      <c r="U4428" s="240">
        <f>700-500+600-500</f>
        <v>300</v>
      </c>
      <c r="V4428" s="240"/>
      <c r="W4428" s="240"/>
      <c r="X4428" s="278"/>
      <c r="Y4428" s="237"/>
      <c r="Z4428" s="237"/>
      <c r="AA4428" s="279"/>
      <c r="AB4428" s="238" t="s">
        <v>27196</v>
      </c>
      <c r="AC4428" s="196">
        <f t="shared" si="1507"/>
        <v>300</v>
      </c>
      <c r="AD4428" s="196">
        <f t="shared" si="1508"/>
        <v>300</v>
      </c>
      <c r="AE4428" s="196">
        <f t="shared" si="1509"/>
        <v>0</v>
      </c>
      <c r="AF4428" s="2">
        <f t="shared" si="1510"/>
        <v>300</v>
      </c>
      <c r="AG4428" s="2">
        <f t="shared" si="1511"/>
        <v>0</v>
      </c>
    </row>
    <row r="4429" spans="1:33">
      <c r="A4429" s="20"/>
      <c r="B4429" s="156"/>
      <c r="C4429" s="21" t="s">
        <v>27488</v>
      </c>
      <c r="D4429" s="109" t="s">
        <v>3137</v>
      </c>
      <c r="E4429" s="109" t="s">
        <v>27489</v>
      </c>
      <c r="F4429" s="391" t="s">
        <v>27672</v>
      </c>
      <c r="G4429" s="23" t="s">
        <v>27490</v>
      </c>
      <c r="H4429" s="23"/>
      <c r="I4429" s="23"/>
      <c r="J4429" s="23"/>
      <c r="K4429" s="23"/>
      <c r="L4429" s="375" t="s">
        <v>27679</v>
      </c>
      <c r="M4429" s="351"/>
      <c r="N4429" s="267">
        <f t="shared" ref="N4429" si="1607">SUM(L4429:M4429)</f>
        <v>0</v>
      </c>
      <c r="O4429" s="268">
        <f t="shared" ref="O4429" si="1608">SUM(P4429:Z4429)</f>
        <v>200</v>
      </c>
      <c r="P4429" s="239"/>
      <c r="Q4429" s="239"/>
      <c r="R4429" s="239">
        <f>400-50-150</f>
        <v>200</v>
      </c>
      <c r="S4429" s="239"/>
      <c r="T4429" s="239"/>
      <c r="U4429" s="240"/>
      <c r="V4429" s="240"/>
      <c r="W4429" s="240"/>
      <c r="X4429" s="278"/>
      <c r="Y4429" s="237"/>
      <c r="Z4429" s="237"/>
      <c r="AA4429" s="279"/>
      <c r="AB4429" s="238" t="s">
        <v>27677</v>
      </c>
      <c r="AC4429" s="196"/>
      <c r="AD4429" s="196"/>
      <c r="AE4429" s="196"/>
    </row>
    <row r="4430" spans="1:33">
      <c r="A4430" s="20" t="s">
        <v>26861</v>
      </c>
      <c r="B4430" s="156"/>
      <c r="C4430" s="21" t="s">
        <v>26907</v>
      </c>
      <c r="D4430" s="109" t="s">
        <v>26908</v>
      </c>
      <c r="E4430" s="109" t="s">
        <v>26909</v>
      </c>
      <c r="F4430" s="391" t="s">
        <v>26947</v>
      </c>
      <c r="G4430" s="23" t="s">
        <v>25916</v>
      </c>
      <c r="H4430" s="23"/>
      <c r="I4430" s="23"/>
      <c r="J4430" s="23"/>
      <c r="K4430" s="23"/>
      <c r="L4430" s="375" t="s">
        <v>7787</v>
      </c>
      <c r="M4430" s="473"/>
      <c r="N4430" s="472">
        <f t="shared" si="1605"/>
        <v>0</v>
      </c>
      <c r="O4430" s="268">
        <f t="shared" si="1606"/>
        <v>0</v>
      </c>
      <c r="P4430" s="239"/>
      <c r="Q4430" s="239"/>
      <c r="R4430" s="239"/>
      <c r="S4430" s="239"/>
      <c r="T4430" s="239"/>
      <c r="U4430" s="240"/>
      <c r="V4430" s="240"/>
      <c r="W4430" s="240"/>
      <c r="X4430" s="278"/>
      <c r="Y4430" s="237"/>
      <c r="Z4430" s="237"/>
      <c r="AA4430" s="279"/>
      <c r="AB4430" s="238"/>
      <c r="AC4430" s="196">
        <f t="shared" ref="AC4430" si="1609">SUM(P4430:AA4430)</f>
        <v>0</v>
      </c>
      <c r="AD4430" s="196">
        <f t="shared" ref="AD4430:AD4431" si="1610">SUM(P4430:AB4430)</f>
        <v>0</v>
      </c>
      <c r="AE4430" s="196">
        <f t="shared" ref="AE4430" si="1611">SUM(AC4430-AD4430)</f>
        <v>0</v>
      </c>
      <c r="AF4430" s="2">
        <f t="shared" ref="AF4430" si="1612">+AC4430</f>
        <v>0</v>
      </c>
      <c r="AG4430" s="2">
        <f t="shared" ref="AG4430" si="1613">+AC4430-AF4430</f>
        <v>0</v>
      </c>
    </row>
    <row r="4431" spans="1:33">
      <c r="A4431" s="20" t="s">
        <v>26862</v>
      </c>
      <c r="B4431" s="156"/>
      <c r="C4431" s="21" t="s">
        <v>26912</v>
      </c>
      <c r="D4431" s="109" t="s">
        <v>26908</v>
      </c>
      <c r="E4431" s="109" t="s">
        <v>26911</v>
      </c>
      <c r="F4431" s="391" t="s">
        <v>26948</v>
      </c>
      <c r="G4431" s="23" t="s">
        <v>25916</v>
      </c>
      <c r="H4431" s="23"/>
      <c r="I4431" s="23"/>
      <c r="J4431" s="23"/>
      <c r="K4431" s="23"/>
      <c r="L4431" s="375"/>
      <c r="M4431" s="473"/>
      <c r="N4431" s="472">
        <f t="shared" ref="N4431:N4447" si="1614">SUM(L4431:M4431)</f>
        <v>0</v>
      </c>
      <c r="O4431" s="268">
        <f t="shared" ref="O4431:O4447" si="1615">SUM(P4431:Z4431)</f>
        <v>0</v>
      </c>
      <c r="P4431" s="239"/>
      <c r="Q4431" s="239"/>
      <c r="R4431" s="239"/>
      <c r="S4431" s="239"/>
      <c r="T4431" s="239"/>
      <c r="U4431" s="240"/>
      <c r="V4431" s="240"/>
      <c r="W4431" s="240"/>
      <c r="X4431" s="278"/>
      <c r="Y4431" s="237"/>
      <c r="Z4431" s="237"/>
      <c r="AA4431" s="279"/>
      <c r="AB4431" s="238"/>
      <c r="AC4431" s="196"/>
      <c r="AD4431" s="196">
        <f t="shared" si="1610"/>
        <v>0</v>
      </c>
      <c r="AE4431" s="196"/>
    </row>
    <row r="4432" spans="1:33">
      <c r="A4432" s="20" t="s">
        <v>26863</v>
      </c>
      <c r="B4432" s="156"/>
      <c r="C4432" s="21" t="s">
        <v>26920</v>
      </c>
      <c r="D4432" s="109" t="s">
        <v>3137</v>
      </c>
      <c r="E4432" s="109" t="s">
        <v>25321</v>
      </c>
      <c r="F4432" s="391" t="s">
        <v>26927</v>
      </c>
      <c r="G4432" s="23" t="s">
        <v>25916</v>
      </c>
      <c r="H4432" s="23"/>
      <c r="I4432" s="23"/>
      <c r="J4432" s="23"/>
      <c r="K4432" s="23"/>
      <c r="L4432" s="375" t="s">
        <v>45</v>
      </c>
      <c r="M4432" s="473" t="s">
        <v>45</v>
      </c>
      <c r="N4432" s="472">
        <f t="shared" ref="N4432:N4433" si="1616">SUM(L4432:M4432)</f>
        <v>0</v>
      </c>
      <c r="O4432" s="268">
        <f t="shared" ref="O4432:O4433" si="1617">SUM(P4432:Z4432)</f>
        <v>200</v>
      </c>
      <c r="P4432" s="239"/>
      <c r="Q4432" s="239"/>
      <c r="R4432" s="239"/>
      <c r="S4432" s="239"/>
      <c r="T4432" s="239"/>
      <c r="U4432" s="240">
        <f>700-500</f>
        <v>200</v>
      </c>
      <c r="V4432" s="240"/>
      <c r="W4432" s="240"/>
      <c r="X4432" s="278"/>
      <c r="Y4432" s="237"/>
      <c r="Z4432" s="237"/>
      <c r="AA4432" s="279"/>
      <c r="AB4432" s="238" t="s">
        <v>27179</v>
      </c>
      <c r="AC4432" s="196"/>
      <c r="AD4432" s="196"/>
      <c r="AE4432" s="196"/>
    </row>
    <row r="4433" spans="1:33">
      <c r="A4433" s="20" t="s">
        <v>26864</v>
      </c>
      <c r="B4433" s="156"/>
      <c r="C4433" s="21" t="s">
        <v>26921</v>
      </c>
      <c r="D4433" s="109" t="s">
        <v>3137</v>
      </c>
      <c r="E4433" s="109" t="s">
        <v>25321</v>
      </c>
      <c r="F4433" s="391" t="s">
        <v>26928</v>
      </c>
      <c r="G4433" s="23" t="s">
        <v>25916</v>
      </c>
      <c r="H4433" s="23"/>
      <c r="I4433" s="23"/>
      <c r="J4433" s="23"/>
      <c r="K4433" s="23"/>
      <c r="L4433" s="375" t="s">
        <v>45</v>
      </c>
      <c r="M4433" s="473"/>
      <c r="N4433" s="472">
        <f t="shared" si="1616"/>
        <v>0</v>
      </c>
      <c r="O4433" s="268">
        <f t="shared" si="1617"/>
        <v>200</v>
      </c>
      <c r="P4433" s="239"/>
      <c r="Q4433" s="239"/>
      <c r="R4433" s="239"/>
      <c r="S4433" s="239"/>
      <c r="T4433" s="239"/>
      <c r="U4433" s="240">
        <f>700-500</f>
        <v>200</v>
      </c>
      <c r="V4433" s="240"/>
      <c r="W4433" s="240"/>
      <c r="X4433" s="278"/>
      <c r="Y4433" s="237"/>
      <c r="Z4433" s="237"/>
      <c r="AA4433" s="279"/>
      <c r="AB4433" s="238" t="s">
        <v>27183</v>
      </c>
      <c r="AC4433" s="196"/>
      <c r="AD4433" s="196"/>
      <c r="AE4433" s="196"/>
    </row>
    <row r="4434" spans="1:33">
      <c r="A4434" s="20" t="s">
        <v>27110</v>
      </c>
      <c r="B4434" s="156"/>
      <c r="C4434" s="21" t="s">
        <v>27025</v>
      </c>
      <c r="D4434" s="109" t="s">
        <v>3137</v>
      </c>
      <c r="E4434" s="109"/>
      <c r="F4434" s="391" t="s">
        <v>27035</v>
      </c>
      <c r="G4434" s="23" t="s">
        <v>27036</v>
      </c>
      <c r="H4434" s="23" t="s">
        <v>27037</v>
      </c>
      <c r="I4434" s="23" t="s">
        <v>27182</v>
      </c>
      <c r="J4434" s="23"/>
      <c r="K4434" s="23"/>
      <c r="L4434" s="375" t="s">
        <v>27687</v>
      </c>
      <c r="M4434" s="473" t="s">
        <v>45</v>
      </c>
      <c r="N4434" s="472">
        <f t="shared" ref="N4434" si="1618">SUM(L4434:M4434)</f>
        <v>0</v>
      </c>
      <c r="O4434" s="268">
        <f t="shared" ref="O4434" si="1619">SUM(P4434:Z4434)</f>
        <v>1300</v>
      </c>
      <c r="P4434" s="239"/>
      <c r="Q4434" s="239">
        <f>1300-1000+2150-500+300-100-500-500-500+700-500-500+1200-150-100</f>
        <v>1300</v>
      </c>
      <c r="R4434" s="239"/>
      <c r="S4434" s="239"/>
      <c r="T4434" s="239"/>
      <c r="U4434" s="240"/>
      <c r="V4434" s="240"/>
      <c r="W4434" s="240"/>
      <c r="X4434" s="278"/>
      <c r="Y4434" s="237"/>
      <c r="Z4434" s="237"/>
      <c r="AA4434" s="279"/>
      <c r="AB4434" s="238" t="s">
        <v>27700</v>
      </c>
      <c r="AC4434" s="196"/>
      <c r="AD4434" s="196"/>
      <c r="AE4434" s="196"/>
    </row>
    <row r="4435" spans="1:33">
      <c r="A4435" s="20" t="s">
        <v>27283</v>
      </c>
      <c r="B4435" s="156"/>
      <c r="C4435" s="21" t="s">
        <v>27334</v>
      </c>
      <c r="D4435" s="109" t="s">
        <v>4072</v>
      </c>
      <c r="E4435" s="109" t="s">
        <v>27333</v>
      </c>
      <c r="F4435" s="391" t="s">
        <v>27335</v>
      </c>
      <c r="G4435" s="23" t="s">
        <v>25916</v>
      </c>
      <c r="H4435" s="23"/>
      <c r="I4435" s="23"/>
      <c r="J4435" s="23"/>
      <c r="K4435" s="23"/>
      <c r="L4435" s="375"/>
      <c r="M4435" s="473"/>
      <c r="N4435" s="472">
        <f t="shared" ref="N4435:N4436" si="1620">SUM(L4435:M4435)</f>
        <v>0</v>
      </c>
      <c r="O4435" s="268">
        <f t="shared" ref="O4435:O4436" si="1621">SUM(P4435:Z4435)</f>
        <v>0</v>
      </c>
      <c r="P4435" s="239"/>
      <c r="Q4435" s="239"/>
      <c r="R4435" s="239"/>
      <c r="S4435" s="239"/>
      <c r="T4435" s="239"/>
      <c r="U4435" s="240"/>
      <c r="V4435" s="240"/>
      <c r="W4435" s="240"/>
      <c r="X4435" s="278"/>
      <c r="Y4435" s="237"/>
      <c r="Z4435" s="237"/>
      <c r="AA4435" s="279"/>
      <c r="AB4435" s="238"/>
      <c r="AC4435" s="196"/>
      <c r="AD4435" s="196"/>
      <c r="AE4435" s="196"/>
    </row>
    <row r="4436" spans="1:33">
      <c r="A4436" s="20" t="s">
        <v>27284</v>
      </c>
      <c r="B4436" s="156"/>
      <c r="C4436" s="21" t="s">
        <v>27337</v>
      </c>
      <c r="D4436" s="109" t="s">
        <v>4072</v>
      </c>
      <c r="E4436" s="109" t="s">
        <v>27336</v>
      </c>
      <c r="F4436" s="391" t="s">
        <v>27338</v>
      </c>
      <c r="G4436" s="23" t="s">
        <v>25916</v>
      </c>
      <c r="H4436" s="23"/>
      <c r="I4436" s="23"/>
      <c r="J4436" s="23"/>
      <c r="K4436" s="23"/>
      <c r="L4436" s="375"/>
      <c r="M4436" s="473"/>
      <c r="N4436" s="472">
        <f t="shared" si="1620"/>
        <v>0</v>
      </c>
      <c r="O4436" s="268">
        <f t="shared" si="1621"/>
        <v>0</v>
      </c>
      <c r="P4436" s="239"/>
      <c r="Q4436" s="239"/>
      <c r="R4436" s="239"/>
      <c r="S4436" s="239"/>
      <c r="T4436" s="239"/>
      <c r="U4436" s="240"/>
      <c r="V4436" s="240"/>
      <c r="W4436" s="240"/>
      <c r="X4436" s="278"/>
      <c r="Y4436" s="237"/>
      <c r="Z4436" s="237"/>
      <c r="AA4436" s="279"/>
      <c r="AB4436" s="238"/>
      <c r="AC4436" s="196"/>
      <c r="AD4436" s="196"/>
      <c r="AE4436" s="196"/>
    </row>
    <row r="4437" spans="1:33">
      <c r="A4437" s="20" t="s">
        <v>27281</v>
      </c>
      <c r="B4437" s="156"/>
      <c r="C4437" s="21" t="s">
        <v>27303</v>
      </c>
      <c r="D4437" s="109" t="s">
        <v>3137</v>
      </c>
      <c r="E4437" s="109" t="s">
        <v>27304</v>
      </c>
      <c r="F4437" s="391" t="s">
        <v>27325</v>
      </c>
      <c r="G4437" s="23" t="s">
        <v>27305</v>
      </c>
      <c r="H4437" s="23"/>
      <c r="I4437" s="23"/>
      <c r="J4437" s="23"/>
      <c r="K4437" s="23"/>
      <c r="L4437" s="375"/>
      <c r="M4437" s="473"/>
      <c r="N4437" s="472">
        <f t="shared" ref="N4437" si="1622">SUM(L4437:M4437)</f>
        <v>0</v>
      </c>
      <c r="O4437" s="268">
        <f t="shared" ref="O4437" si="1623">SUM(P4437:Z4437)</f>
        <v>50</v>
      </c>
      <c r="P4437" s="239"/>
      <c r="Q4437" s="239"/>
      <c r="R4437" s="239"/>
      <c r="S4437" s="239"/>
      <c r="T4437" s="239"/>
      <c r="U4437" s="240">
        <f>450+100-500</f>
        <v>50</v>
      </c>
      <c r="V4437" s="240"/>
      <c r="W4437" s="240"/>
      <c r="X4437" s="278"/>
      <c r="Y4437" s="237"/>
      <c r="Z4437" s="237"/>
      <c r="AA4437" s="279"/>
      <c r="AB4437" s="238" t="s">
        <v>27331</v>
      </c>
      <c r="AC4437" s="196"/>
      <c r="AD4437" s="196"/>
      <c r="AE4437" s="196"/>
    </row>
    <row r="4438" spans="1:33">
      <c r="A4438" s="20"/>
      <c r="B4438" s="156"/>
      <c r="C4438" s="21" t="s">
        <v>27811</v>
      </c>
      <c r="D4438" s="109" t="s">
        <v>4072</v>
      </c>
      <c r="E4438" s="109" t="s">
        <v>27333</v>
      </c>
      <c r="F4438" s="391"/>
      <c r="G4438" s="23" t="s">
        <v>27305</v>
      </c>
      <c r="H4438" s="23"/>
      <c r="I4438" s="23"/>
      <c r="J4438" s="23"/>
      <c r="K4438" s="23"/>
      <c r="L4438" s="375"/>
      <c r="M4438" s="473"/>
      <c r="N4438" s="472">
        <f t="shared" ref="N4438:N4439" si="1624">SUM(L4438:M4438)</f>
        <v>0</v>
      </c>
      <c r="O4438" s="268">
        <f t="shared" ref="O4438:O4439" si="1625">SUM(P4438:Z4438)</f>
        <v>0</v>
      </c>
      <c r="P4438" s="239"/>
      <c r="Q4438" s="239"/>
      <c r="R4438" s="239"/>
      <c r="S4438" s="239"/>
      <c r="T4438" s="239"/>
      <c r="U4438" s="240"/>
      <c r="V4438" s="240"/>
      <c r="W4438" s="240"/>
      <c r="X4438" s="278"/>
      <c r="Y4438" s="237"/>
      <c r="Z4438" s="237"/>
      <c r="AA4438" s="279"/>
      <c r="AB4438" s="238"/>
      <c r="AC4438" s="196"/>
      <c r="AD4438" s="196"/>
      <c r="AE4438" s="196"/>
    </row>
    <row r="4439" spans="1:33">
      <c r="A4439" s="20"/>
      <c r="B4439" s="156"/>
      <c r="C4439" s="21" t="s">
        <v>27812</v>
      </c>
      <c r="D4439" s="109" t="s">
        <v>4072</v>
      </c>
      <c r="E4439" s="109" t="s">
        <v>27336</v>
      </c>
      <c r="F4439" s="391"/>
      <c r="G4439" s="23" t="s">
        <v>27305</v>
      </c>
      <c r="H4439" s="23"/>
      <c r="I4439" s="23"/>
      <c r="J4439" s="23"/>
      <c r="K4439" s="23"/>
      <c r="L4439" s="375"/>
      <c r="M4439" s="473"/>
      <c r="N4439" s="472">
        <f t="shared" si="1624"/>
        <v>0</v>
      </c>
      <c r="O4439" s="268">
        <f t="shared" si="1625"/>
        <v>0</v>
      </c>
      <c r="P4439" s="239"/>
      <c r="Q4439" s="239"/>
      <c r="R4439" s="239"/>
      <c r="S4439" s="239"/>
      <c r="T4439" s="239"/>
      <c r="U4439" s="240"/>
      <c r="V4439" s="240"/>
      <c r="W4439" s="240"/>
      <c r="X4439" s="278"/>
      <c r="Y4439" s="237"/>
      <c r="Z4439" s="237"/>
      <c r="AA4439" s="279"/>
      <c r="AB4439" s="238"/>
      <c r="AC4439" s="196"/>
      <c r="AD4439" s="196"/>
      <c r="AE4439" s="196"/>
    </row>
    <row r="4440" spans="1:33">
      <c r="A4440" s="20"/>
      <c r="B4440" s="156"/>
      <c r="C4440" s="21" t="s">
        <v>27765</v>
      </c>
      <c r="D4440" s="109" t="s">
        <v>3137</v>
      </c>
      <c r="E4440" s="109" t="s">
        <v>22282</v>
      </c>
      <c r="F4440" s="391"/>
      <c r="G4440" s="23" t="s">
        <v>14332</v>
      </c>
      <c r="H4440" s="23"/>
      <c r="I4440" s="23"/>
      <c r="J4440" s="23"/>
      <c r="K4440" s="23"/>
      <c r="L4440" s="375" t="s">
        <v>27777</v>
      </c>
      <c r="M4440" s="473"/>
      <c r="N4440" s="472">
        <f t="shared" ref="N4440:N4441" si="1626">SUM(L4440:M4440)</f>
        <v>0</v>
      </c>
      <c r="O4440" s="268">
        <f t="shared" ref="O4440:O4441" si="1627">SUM(P4440:Z4440)</f>
        <v>50</v>
      </c>
      <c r="P4440" s="239"/>
      <c r="Q4440" s="239"/>
      <c r="R4440" s="239"/>
      <c r="S4440" s="239"/>
      <c r="T4440" s="239"/>
      <c r="U4440" s="240">
        <f>550-500</f>
        <v>50</v>
      </c>
      <c r="V4440" s="240"/>
      <c r="W4440" s="240"/>
      <c r="X4440" s="278"/>
      <c r="Y4440" s="237"/>
      <c r="Z4440" s="237"/>
      <c r="AA4440" s="279"/>
      <c r="AB4440" s="238" t="s">
        <v>27776</v>
      </c>
      <c r="AC4440" s="196"/>
      <c r="AD4440" s="196"/>
      <c r="AE4440" s="196"/>
    </row>
    <row r="4441" spans="1:33">
      <c r="A4441" s="20"/>
      <c r="B4441" s="156"/>
      <c r="C4441" s="21" t="s">
        <v>27766</v>
      </c>
      <c r="D4441" s="109" t="s">
        <v>3137</v>
      </c>
      <c r="E4441" s="109" t="s">
        <v>22282</v>
      </c>
      <c r="F4441" s="391"/>
      <c r="G4441" s="23" t="s">
        <v>14332</v>
      </c>
      <c r="H4441" s="23"/>
      <c r="I4441" s="23"/>
      <c r="J4441" s="23"/>
      <c r="K4441" s="23"/>
      <c r="L4441" s="375" t="s">
        <v>27777</v>
      </c>
      <c r="M4441" s="473"/>
      <c r="N4441" s="472">
        <f t="shared" si="1626"/>
        <v>0</v>
      </c>
      <c r="O4441" s="268">
        <f t="shared" si="1627"/>
        <v>50</v>
      </c>
      <c r="P4441" s="239"/>
      <c r="Q4441" s="239"/>
      <c r="R4441" s="239"/>
      <c r="S4441" s="239"/>
      <c r="T4441" s="239"/>
      <c r="U4441" s="240">
        <f>350-300</f>
        <v>50</v>
      </c>
      <c r="V4441" s="240"/>
      <c r="W4441" s="240"/>
      <c r="X4441" s="278"/>
      <c r="Y4441" s="237"/>
      <c r="Z4441" s="237"/>
      <c r="AA4441" s="279"/>
      <c r="AB4441" s="238" t="s">
        <v>27776</v>
      </c>
      <c r="AC4441" s="196"/>
      <c r="AD4441" s="196"/>
      <c r="AE4441" s="196"/>
    </row>
    <row r="4442" spans="1:33">
      <c r="A4442" s="20"/>
      <c r="B4442" s="156"/>
      <c r="C4442" s="21" t="s">
        <v>27778</v>
      </c>
      <c r="D4442" s="109" t="s">
        <v>3137</v>
      </c>
      <c r="E4442" s="109"/>
      <c r="F4442" s="391"/>
      <c r="G4442" s="23" t="s">
        <v>14332</v>
      </c>
      <c r="H4442" s="23"/>
      <c r="I4442" s="23"/>
      <c r="J4442" s="23"/>
      <c r="K4442" s="23"/>
      <c r="L4442" s="375" t="s">
        <v>27799</v>
      </c>
      <c r="M4442" s="473"/>
      <c r="N4442" s="472">
        <f t="shared" ref="N4442" si="1628">SUM(L4442:M4442)</f>
        <v>0</v>
      </c>
      <c r="O4442" s="268">
        <f t="shared" ref="O4442" si="1629">SUM(P4442:Z4442)</f>
        <v>0</v>
      </c>
      <c r="P4442" s="239"/>
      <c r="Q4442" s="239"/>
      <c r="R4442" s="239"/>
      <c r="S4442" s="239"/>
      <c r="T4442" s="239"/>
      <c r="U4442" s="240"/>
      <c r="V4442" s="240"/>
      <c r="W4442" s="240"/>
      <c r="X4442" s="278"/>
      <c r="Y4442" s="237"/>
      <c r="Z4442" s="237"/>
      <c r="AA4442" s="279"/>
      <c r="AB4442" s="238"/>
      <c r="AC4442" s="196"/>
      <c r="AD4442" s="196"/>
      <c r="AE4442" s="196"/>
    </row>
    <row r="4443" spans="1:33">
      <c r="A4443" s="20" t="s">
        <v>26868</v>
      </c>
      <c r="B4443" s="156"/>
      <c r="C4443" s="21" t="s">
        <v>26943</v>
      </c>
      <c r="D4443" s="109" t="s">
        <v>26908</v>
      </c>
      <c r="E4443" s="109" t="s">
        <v>26909</v>
      </c>
      <c r="F4443" s="391" t="s">
        <v>26945</v>
      </c>
      <c r="G4443" s="23" t="s">
        <v>25916</v>
      </c>
      <c r="H4443" s="23"/>
      <c r="I4443" s="23"/>
      <c r="J4443" s="23"/>
      <c r="K4443" s="23"/>
      <c r="L4443" s="375"/>
      <c r="M4443" s="473"/>
      <c r="N4443" s="472">
        <f t="shared" ref="N4443:N4446" si="1630">SUM(L4443:M4443)</f>
        <v>0</v>
      </c>
      <c r="O4443" s="268">
        <f t="shared" ref="O4443:O4446" si="1631">SUM(P4443:Z4443)</f>
        <v>0</v>
      </c>
      <c r="P4443" s="239"/>
      <c r="Q4443" s="239"/>
      <c r="R4443" s="239"/>
      <c r="S4443" s="239"/>
      <c r="T4443" s="239"/>
      <c r="U4443" s="240"/>
      <c r="V4443" s="240"/>
      <c r="W4443" s="240"/>
      <c r="X4443" s="278"/>
      <c r="Y4443" s="237"/>
      <c r="Z4443" s="237"/>
      <c r="AA4443" s="279"/>
      <c r="AB4443" s="238"/>
      <c r="AC4443" s="196"/>
      <c r="AD4443" s="196"/>
      <c r="AE4443" s="196"/>
    </row>
    <row r="4444" spans="1:33">
      <c r="A4444" s="20" t="s">
        <v>26869</v>
      </c>
      <c r="B4444" s="156"/>
      <c r="C4444" s="21" t="s">
        <v>26944</v>
      </c>
      <c r="D4444" s="109" t="s">
        <v>26908</v>
      </c>
      <c r="E4444" s="109" t="s">
        <v>26911</v>
      </c>
      <c r="F4444" s="391" t="s">
        <v>26946</v>
      </c>
      <c r="G4444" s="23" t="s">
        <v>25916</v>
      </c>
      <c r="H4444" s="23"/>
      <c r="I4444" s="23"/>
      <c r="J4444" s="23"/>
      <c r="K4444" s="23"/>
      <c r="L4444" s="375"/>
      <c r="M4444" s="473"/>
      <c r="N4444" s="472">
        <f t="shared" si="1630"/>
        <v>0</v>
      </c>
      <c r="O4444" s="268">
        <f t="shared" si="1631"/>
        <v>0</v>
      </c>
      <c r="P4444" s="239"/>
      <c r="Q4444" s="239"/>
      <c r="R4444" s="239"/>
      <c r="S4444" s="239"/>
      <c r="T4444" s="239"/>
      <c r="U4444" s="240"/>
      <c r="V4444" s="240"/>
      <c r="W4444" s="240"/>
      <c r="X4444" s="278"/>
      <c r="Y4444" s="237"/>
      <c r="Z4444" s="237"/>
      <c r="AA4444" s="279"/>
      <c r="AB4444" s="238"/>
      <c r="AC4444" s="196"/>
      <c r="AD4444" s="196"/>
      <c r="AE4444" s="196"/>
    </row>
    <row r="4445" spans="1:33">
      <c r="A4445" s="20" t="s">
        <v>26870</v>
      </c>
      <c r="B4445" s="156"/>
      <c r="C4445" s="21" t="s">
        <v>26940</v>
      </c>
      <c r="D4445" s="109" t="s">
        <v>3137</v>
      </c>
      <c r="E4445" s="109" t="s">
        <v>25321</v>
      </c>
      <c r="F4445" s="391" t="s">
        <v>26928</v>
      </c>
      <c r="G4445" s="23" t="s">
        <v>25916</v>
      </c>
      <c r="H4445" s="23"/>
      <c r="I4445" s="23"/>
      <c r="J4445" s="23"/>
      <c r="K4445" s="23"/>
      <c r="L4445" s="375" t="s">
        <v>27358</v>
      </c>
      <c r="M4445" s="473"/>
      <c r="N4445" s="472">
        <f t="shared" si="1630"/>
        <v>0</v>
      </c>
      <c r="O4445" s="268">
        <f t="shared" si="1631"/>
        <v>600</v>
      </c>
      <c r="P4445" s="239"/>
      <c r="Q4445" s="239"/>
      <c r="R4445" s="239"/>
      <c r="S4445" s="239"/>
      <c r="T4445" s="239"/>
      <c r="U4445" s="240">
        <f>700-500+1650+850-1500+1400-2000</f>
        <v>600</v>
      </c>
      <c r="V4445" s="240"/>
      <c r="W4445" s="240"/>
      <c r="X4445" s="278"/>
      <c r="Y4445" s="237"/>
      <c r="Z4445" s="237"/>
      <c r="AA4445" s="279"/>
      <c r="AB4445" s="238" t="s">
        <v>27450</v>
      </c>
      <c r="AC4445" s="196"/>
      <c r="AD4445" s="196"/>
      <c r="AE4445" s="196"/>
    </row>
    <row r="4446" spans="1:33">
      <c r="A4446" s="20" t="s">
        <v>26871</v>
      </c>
      <c r="B4446" s="156"/>
      <c r="C4446" s="21" t="s">
        <v>26941</v>
      </c>
      <c r="D4446" s="109" t="s">
        <v>3137</v>
      </c>
      <c r="E4446" s="109" t="s">
        <v>25321</v>
      </c>
      <c r="F4446" s="391" t="s">
        <v>26928</v>
      </c>
      <c r="G4446" s="23" t="s">
        <v>25916</v>
      </c>
      <c r="H4446" s="23"/>
      <c r="I4446" s="23"/>
      <c r="J4446" s="23"/>
      <c r="K4446" s="23"/>
      <c r="L4446" s="375" t="s">
        <v>27410</v>
      </c>
      <c r="M4446" s="473"/>
      <c r="N4446" s="472">
        <f t="shared" si="1630"/>
        <v>0</v>
      </c>
      <c r="O4446" s="268">
        <f t="shared" si="1631"/>
        <v>750</v>
      </c>
      <c r="P4446" s="239"/>
      <c r="Q4446" s="239"/>
      <c r="R4446" s="239"/>
      <c r="S4446" s="239"/>
      <c r="T4446" s="239"/>
      <c r="U4446" s="240">
        <f>650-500+2400-2100+4450+850-5000</f>
        <v>750</v>
      </c>
      <c r="V4446" s="240"/>
      <c r="W4446" s="240"/>
      <c r="X4446" s="278"/>
      <c r="Y4446" s="237"/>
      <c r="Z4446" s="237"/>
      <c r="AA4446" s="279"/>
      <c r="AB4446" s="238" t="s">
        <v>27449</v>
      </c>
      <c r="AC4446" s="196"/>
      <c r="AD4446" s="196"/>
      <c r="AE4446" s="196"/>
    </row>
    <row r="4447" spans="1:33">
      <c r="A4447" s="20" t="s">
        <v>2932</v>
      </c>
      <c r="B4447" s="150"/>
      <c r="C4447" s="21" t="s">
        <v>856</v>
      </c>
      <c r="D4447" s="109" t="s">
        <v>16231</v>
      </c>
      <c r="E4447" s="109"/>
      <c r="F4447" s="391" t="s">
        <v>16919</v>
      </c>
      <c r="G4447" s="23"/>
      <c r="H4447" s="23"/>
      <c r="I4447" s="23"/>
      <c r="J4447" s="23"/>
      <c r="K4447" s="23"/>
      <c r="L4447" s="350"/>
      <c r="M4447" s="473"/>
      <c r="N4447" s="472">
        <f t="shared" si="1614"/>
        <v>0</v>
      </c>
      <c r="O4447" s="268">
        <f t="shared" si="1615"/>
        <v>0</v>
      </c>
      <c r="P4447" s="239"/>
      <c r="Q4447" s="239"/>
      <c r="R4447" s="239"/>
      <c r="S4447" s="239"/>
      <c r="T4447" s="239"/>
      <c r="U4447" s="240"/>
      <c r="V4447" s="240"/>
      <c r="W4447" s="240"/>
      <c r="X4447" s="278"/>
      <c r="Y4447" s="237"/>
      <c r="Z4447" s="237"/>
      <c r="AA4447" s="279"/>
      <c r="AB4447" s="238"/>
      <c r="AC4447" s="196">
        <f t="shared" si="1507"/>
        <v>0</v>
      </c>
      <c r="AD4447" s="196">
        <f t="shared" si="1508"/>
        <v>0</v>
      </c>
      <c r="AE4447" s="196">
        <f t="shared" si="1509"/>
        <v>0</v>
      </c>
      <c r="AF4447" s="2">
        <f t="shared" si="1510"/>
        <v>0</v>
      </c>
      <c r="AG4447" s="2">
        <f t="shared" si="1511"/>
        <v>0</v>
      </c>
    </row>
    <row r="4448" spans="1:33">
      <c r="A4448" s="20" t="s">
        <v>2933</v>
      </c>
      <c r="B4448" s="150"/>
      <c r="C4448" s="21" t="s">
        <v>856</v>
      </c>
      <c r="D4448" s="109" t="s">
        <v>16231</v>
      </c>
      <c r="E4448" s="109"/>
      <c r="F4448" s="391" t="s">
        <v>16919</v>
      </c>
      <c r="G4448" s="23"/>
      <c r="H4448" s="23"/>
      <c r="I4448" s="23"/>
      <c r="J4448" s="23"/>
      <c r="K4448" s="23"/>
      <c r="L4448" s="350"/>
      <c r="M4448" s="473"/>
      <c r="N4448" s="472">
        <f t="shared" si="1546"/>
        <v>0</v>
      </c>
      <c r="O4448" s="268">
        <f t="shared" si="1547"/>
        <v>0</v>
      </c>
      <c r="P4448" s="239"/>
      <c r="Q4448" s="239"/>
      <c r="R4448" s="239"/>
      <c r="S4448" s="239"/>
      <c r="T4448" s="239"/>
      <c r="U4448" s="240"/>
      <c r="V4448" s="240"/>
      <c r="W4448" s="240"/>
      <c r="X4448" s="278"/>
      <c r="Y4448" s="239"/>
      <c r="Z4448" s="237"/>
      <c r="AA4448" s="279"/>
      <c r="AB4448" s="238"/>
      <c r="AC4448" s="196">
        <f t="shared" si="1507"/>
        <v>0</v>
      </c>
      <c r="AD4448" s="196">
        <f t="shared" si="1508"/>
        <v>0</v>
      </c>
      <c r="AE4448" s="196">
        <f t="shared" si="1509"/>
        <v>0</v>
      </c>
      <c r="AF4448" s="2">
        <f t="shared" si="1510"/>
        <v>0</v>
      </c>
      <c r="AG4448" s="2">
        <f t="shared" si="1511"/>
        <v>0</v>
      </c>
    </row>
    <row r="4449" spans="1:31">
      <c r="A4449" s="20" t="s">
        <v>27123</v>
      </c>
      <c r="B4449" s="150"/>
      <c r="C4449" s="21" t="s">
        <v>27220</v>
      </c>
      <c r="D4449" s="109" t="s">
        <v>3137</v>
      </c>
      <c r="E4449" s="109"/>
      <c r="F4449" s="391" t="s">
        <v>27232</v>
      </c>
      <c r="G4449" s="23" t="s">
        <v>13888</v>
      </c>
      <c r="H4449" s="23"/>
      <c r="I4449" s="23"/>
      <c r="J4449" s="23"/>
      <c r="K4449" s="23"/>
      <c r="L4449" s="350"/>
      <c r="M4449" s="473"/>
      <c r="N4449" s="472">
        <f t="shared" ref="N4449" si="1632">SUM(L4449:M4449)</f>
        <v>0</v>
      </c>
      <c r="O4449" s="268">
        <f t="shared" ref="O4449" si="1633">SUM(P4449:Z4449)</f>
        <v>200</v>
      </c>
      <c r="P4449" s="239"/>
      <c r="Q4449" s="239"/>
      <c r="R4449" s="239"/>
      <c r="S4449" s="239"/>
      <c r="T4449" s="239"/>
      <c r="U4449" s="240">
        <f>500-300</f>
        <v>200</v>
      </c>
      <c r="V4449" s="240"/>
      <c r="W4449" s="240"/>
      <c r="X4449" s="278"/>
      <c r="Y4449" s="239"/>
      <c r="Z4449" s="237"/>
      <c r="AA4449" s="279"/>
      <c r="AB4449" s="238" t="s">
        <v>27233</v>
      </c>
      <c r="AC4449" s="196"/>
      <c r="AD4449" s="196"/>
      <c r="AE4449" s="196"/>
    </row>
    <row r="4450" spans="1:31">
      <c r="A4450" s="20"/>
      <c r="B4450" s="150"/>
      <c r="C4450" s="21" t="s">
        <v>27411</v>
      </c>
      <c r="D4450" s="109" t="s">
        <v>5649</v>
      </c>
      <c r="E4450" s="109"/>
      <c r="F4450" s="391"/>
      <c r="G4450" s="23" t="s">
        <v>27412</v>
      </c>
      <c r="H4450" s="23"/>
      <c r="I4450" s="23"/>
      <c r="J4450" s="23"/>
      <c r="K4450" s="23"/>
      <c r="L4450" s="350" t="s">
        <v>27429</v>
      </c>
      <c r="M4450" s="473"/>
      <c r="N4450" s="472">
        <f t="shared" ref="N4450" si="1634">SUM(L4450:M4450)</f>
        <v>0</v>
      </c>
      <c r="O4450" s="268">
        <f t="shared" ref="O4450" si="1635">SUM(P4450:Z4450)</f>
        <v>1400</v>
      </c>
      <c r="P4450" s="239"/>
      <c r="Q4450" s="239"/>
      <c r="R4450" s="239"/>
      <c r="S4450" s="239"/>
      <c r="T4450" s="239"/>
      <c r="U4450" s="240"/>
      <c r="V4450" s="240">
        <f>1100-1000+1300</f>
        <v>1400</v>
      </c>
      <c r="W4450" s="240"/>
      <c r="X4450" s="278"/>
      <c r="Y4450" s="239"/>
      <c r="Z4450" s="237"/>
      <c r="AA4450" s="279"/>
      <c r="AB4450" s="238" t="s">
        <v>28024</v>
      </c>
      <c r="AC4450" s="196"/>
      <c r="AD4450" s="196"/>
      <c r="AE4450" s="196"/>
    </row>
    <row r="4451" spans="1:31">
      <c r="A4451" s="20" t="s">
        <v>27114</v>
      </c>
      <c r="B4451" s="150"/>
      <c r="C4451" s="21" t="s">
        <v>27026</v>
      </c>
      <c r="D4451" s="109" t="s">
        <v>3137</v>
      </c>
      <c r="E4451" s="109"/>
      <c r="F4451" s="391" t="s">
        <v>27144</v>
      </c>
      <c r="G4451" s="23" t="s">
        <v>27145</v>
      </c>
      <c r="H4451" s="23" t="s">
        <v>27146</v>
      </c>
      <c r="I4451" s="23"/>
      <c r="J4451" s="23"/>
      <c r="K4451" s="23"/>
      <c r="L4451" s="350" t="s">
        <v>45</v>
      </c>
      <c r="M4451" s="473"/>
      <c r="N4451" s="472">
        <f t="shared" ref="N4451" si="1636">SUM(L4451:M4451)</f>
        <v>0</v>
      </c>
      <c r="O4451" s="268">
        <f t="shared" ref="O4451" si="1637">SUM(P4451:Z4451)</f>
        <v>900</v>
      </c>
      <c r="P4451" s="239"/>
      <c r="Q4451" s="239">
        <f>1000-500+2400-1000+200-500-500-200</f>
        <v>900</v>
      </c>
      <c r="R4451" s="239"/>
      <c r="S4451" s="239"/>
      <c r="T4451" s="239"/>
      <c r="U4451" s="240"/>
      <c r="V4451" s="240"/>
      <c r="W4451" s="240"/>
      <c r="X4451" s="278"/>
      <c r="Y4451" s="239"/>
      <c r="Z4451" s="237"/>
      <c r="AA4451" s="279"/>
      <c r="AB4451" s="238" t="s">
        <v>27173</v>
      </c>
      <c r="AC4451" s="196"/>
      <c r="AD4451" s="196"/>
      <c r="AE4451" s="196"/>
    </row>
    <row r="4452" spans="1:31">
      <c r="A4452" s="20"/>
      <c r="B4452" s="150"/>
      <c r="C4452" s="21" t="s">
        <v>27680</v>
      </c>
      <c r="D4452" s="109" t="s">
        <v>3137</v>
      </c>
      <c r="E4452" s="109" t="s">
        <v>27682</v>
      </c>
      <c r="F4452" s="391"/>
      <c r="G4452" s="23" t="s">
        <v>27683</v>
      </c>
      <c r="H4452" s="23"/>
      <c r="I4452" s="23"/>
      <c r="J4452" s="23"/>
      <c r="K4452" s="23"/>
      <c r="L4452" s="350" t="s">
        <v>27686</v>
      </c>
      <c r="M4452" s="473"/>
      <c r="N4452" s="472">
        <f t="shared" ref="N4452:N4453" si="1638">SUM(L4452:M4452)</f>
        <v>0</v>
      </c>
      <c r="O4452" s="268">
        <f t="shared" ref="O4452:O4453" si="1639">SUM(P4452:Z4452)</f>
        <v>200</v>
      </c>
      <c r="P4452" s="239"/>
      <c r="Q4452" s="239"/>
      <c r="R4452" s="239"/>
      <c r="S4452" s="239"/>
      <c r="T4452" s="239"/>
      <c r="U4452" s="240">
        <f>700-500</f>
        <v>200</v>
      </c>
      <c r="V4452" s="240"/>
      <c r="W4452" s="240"/>
      <c r="X4452" s="278"/>
      <c r="Y4452" s="239"/>
      <c r="Z4452" s="237"/>
      <c r="AA4452" s="279"/>
      <c r="AB4452" s="238" t="s">
        <v>27697</v>
      </c>
      <c r="AC4452" s="196"/>
      <c r="AD4452" s="196"/>
      <c r="AE4452" s="196"/>
    </row>
    <row r="4453" spans="1:31">
      <c r="A4453" s="20"/>
      <c r="B4453" s="150"/>
      <c r="C4453" s="21" t="s">
        <v>27681</v>
      </c>
      <c r="D4453" s="109" t="s">
        <v>3137</v>
      </c>
      <c r="E4453" s="109" t="s">
        <v>27682</v>
      </c>
      <c r="F4453" s="391"/>
      <c r="G4453" s="23" t="s">
        <v>27683</v>
      </c>
      <c r="H4453" s="23"/>
      <c r="I4453" s="23"/>
      <c r="J4453" s="23"/>
      <c r="K4453" s="23"/>
      <c r="L4453" s="350" t="s">
        <v>27686</v>
      </c>
      <c r="M4453" s="473"/>
      <c r="N4453" s="472">
        <f t="shared" si="1638"/>
        <v>0</v>
      </c>
      <c r="O4453" s="268">
        <f t="shared" si="1639"/>
        <v>200</v>
      </c>
      <c r="P4453" s="239"/>
      <c r="Q4453" s="239"/>
      <c r="R4453" s="239"/>
      <c r="S4453" s="239"/>
      <c r="T4453" s="239"/>
      <c r="U4453" s="240">
        <f>700-500</f>
        <v>200</v>
      </c>
      <c r="V4453" s="240"/>
      <c r="W4453" s="240"/>
      <c r="X4453" s="278"/>
      <c r="Y4453" s="239"/>
      <c r="Z4453" s="237"/>
      <c r="AA4453" s="279"/>
      <c r="AB4453" s="238" t="s">
        <v>27697</v>
      </c>
      <c r="AC4453" s="196"/>
      <c r="AD4453" s="196"/>
      <c r="AE4453" s="196"/>
    </row>
    <row r="4454" spans="1:31">
      <c r="A4454" s="20" t="s">
        <v>27137</v>
      </c>
      <c r="B4454" s="150"/>
      <c r="C4454" s="21" t="s">
        <v>27242</v>
      </c>
      <c r="D4454" s="109" t="s">
        <v>3137</v>
      </c>
      <c r="E4454" s="109"/>
      <c r="F4454" s="391" t="s">
        <v>26735</v>
      </c>
      <c r="G4454" s="23" t="s">
        <v>27243</v>
      </c>
      <c r="H4454" s="23"/>
      <c r="I4454" s="23"/>
      <c r="J4454" s="23"/>
      <c r="K4454" s="23"/>
      <c r="L4454" s="350" t="s">
        <v>27713</v>
      </c>
      <c r="M4454" s="473"/>
      <c r="N4454" s="472">
        <f t="shared" ref="N4454" si="1640">SUM(L4454:M4454)</f>
        <v>0</v>
      </c>
      <c r="O4454" s="268">
        <f t="shared" ref="O4454" si="1641">SUM(P4454:Z4454)</f>
        <v>200</v>
      </c>
      <c r="P4454" s="239"/>
      <c r="Q4454" s="239">
        <f>700-500</f>
        <v>200</v>
      </c>
      <c r="R4454" s="239"/>
      <c r="S4454" s="239"/>
      <c r="T4454" s="239"/>
      <c r="U4454" s="240"/>
      <c r="V4454" s="240"/>
      <c r="W4454" s="240"/>
      <c r="X4454" s="278"/>
      <c r="Y4454" s="239"/>
      <c r="Z4454" s="237"/>
      <c r="AA4454" s="279"/>
      <c r="AB4454" s="238" t="s">
        <v>27708</v>
      </c>
      <c r="AC4454" s="196"/>
      <c r="AD4454" s="196"/>
      <c r="AE4454" s="196"/>
    </row>
    <row r="4455" spans="1:31">
      <c r="A4455" s="20" t="s">
        <v>27366</v>
      </c>
      <c r="B4455" s="150"/>
      <c r="C4455" s="21" t="s">
        <v>27276</v>
      </c>
      <c r="D4455" s="109" t="s">
        <v>5649</v>
      </c>
      <c r="E4455" s="109"/>
      <c r="F4455" s="391" t="s">
        <v>27378</v>
      </c>
      <c r="G4455" s="23" t="s">
        <v>15443</v>
      </c>
      <c r="H4455" s="23"/>
      <c r="I4455" s="23"/>
      <c r="J4455" s="23"/>
      <c r="K4455" s="23"/>
      <c r="L4455" s="350" t="s">
        <v>45</v>
      </c>
      <c r="M4455" s="473"/>
      <c r="N4455" s="472">
        <f t="shared" ref="N4455" si="1642">SUM(L4455:M4455)</f>
        <v>0</v>
      </c>
      <c r="O4455" s="268">
        <f t="shared" ref="O4455" si="1643">SUM(P4455:Z4455)</f>
        <v>100</v>
      </c>
      <c r="P4455" s="239"/>
      <c r="Q4455" s="239"/>
      <c r="R4455" s="239"/>
      <c r="S4455" s="239"/>
      <c r="T4455" s="239"/>
      <c r="U4455" s="240"/>
      <c r="V4455" s="240">
        <f>400-300</f>
        <v>100</v>
      </c>
      <c r="W4455" s="240"/>
      <c r="X4455" s="278"/>
      <c r="Y4455" s="239"/>
      <c r="Z4455" s="237"/>
      <c r="AA4455" s="279"/>
      <c r="AB4455" s="238" t="s">
        <v>27317</v>
      </c>
      <c r="AC4455" s="196"/>
      <c r="AD4455" s="196"/>
      <c r="AE4455" s="196"/>
    </row>
    <row r="4456" spans="1:31">
      <c r="A4456" s="20"/>
      <c r="B4456" s="150"/>
      <c r="C4456" s="21" t="s">
        <v>27403</v>
      </c>
      <c r="D4456" s="109" t="s">
        <v>5649</v>
      </c>
      <c r="E4456" s="109"/>
      <c r="F4456" s="391"/>
      <c r="G4456" s="23" t="s">
        <v>15443</v>
      </c>
      <c r="H4456" s="23"/>
      <c r="I4456" s="23"/>
      <c r="J4456" s="23"/>
      <c r="K4456" s="23"/>
      <c r="L4456" s="350">
        <f>210+400</f>
        <v>610</v>
      </c>
      <c r="M4456" s="473"/>
      <c r="N4456" s="472">
        <f t="shared" ref="N4456" si="1644">SUM(L4456:M4456)</f>
        <v>610</v>
      </c>
      <c r="O4456" s="268">
        <f t="shared" ref="O4456" si="1645">SUM(P4456:Z4456)</f>
        <v>0</v>
      </c>
      <c r="P4456" s="239"/>
      <c r="Q4456" s="239"/>
      <c r="R4456" s="239"/>
      <c r="S4456" s="239"/>
      <c r="T4456" s="239"/>
      <c r="U4456" s="240"/>
      <c r="V4456" s="240"/>
      <c r="W4456" s="240"/>
      <c r="X4456" s="278"/>
      <c r="Y4456" s="239"/>
      <c r="Z4456" s="237"/>
      <c r="AA4456" s="279"/>
      <c r="AB4456" s="238"/>
      <c r="AC4456" s="196"/>
      <c r="AD4456" s="196"/>
      <c r="AE4456" s="196"/>
    </row>
    <row r="4457" spans="1:31">
      <c r="A4457" s="20"/>
      <c r="B4457" s="150"/>
      <c r="C4457" s="21" t="s">
        <v>27397</v>
      </c>
      <c r="D4457" s="109" t="s">
        <v>5649</v>
      </c>
      <c r="E4457" s="109"/>
      <c r="F4457" s="391"/>
      <c r="G4457" s="23" t="s">
        <v>15443</v>
      </c>
      <c r="H4457" s="23"/>
      <c r="I4457" s="23"/>
      <c r="J4457" s="23"/>
      <c r="K4457" s="23"/>
      <c r="L4457" s="350" t="s">
        <v>27622</v>
      </c>
      <c r="M4457" s="473"/>
      <c r="N4457" s="472">
        <f t="shared" ref="N4457" si="1646">SUM(L4457:M4457)</f>
        <v>0</v>
      </c>
      <c r="O4457" s="268">
        <f t="shared" ref="O4457" si="1647">SUM(P4457:Z4457)</f>
        <v>100</v>
      </c>
      <c r="P4457" s="239"/>
      <c r="Q4457" s="239"/>
      <c r="R4457" s="239"/>
      <c r="S4457" s="239"/>
      <c r="T4457" s="239"/>
      <c r="U4457" s="240"/>
      <c r="V4457" s="240">
        <f>200-100+400-300-100</f>
        <v>100</v>
      </c>
      <c r="W4457" s="240"/>
      <c r="X4457" s="278"/>
      <c r="Y4457" s="239"/>
      <c r="Z4457" s="237"/>
      <c r="AA4457" s="279"/>
      <c r="AB4457" s="238" t="s">
        <v>27621</v>
      </c>
      <c r="AC4457" s="196"/>
      <c r="AD4457" s="196"/>
      <c r="AE4457" s="196"/>
    </row>
    <row r="4458" spans="1:31">
      <c r="A4458" s="20" t="s">
        <v>27278</v>
      </c>
      <c r="B4458" s="150"/>
      <c r="C4458" s="21" t="s">
        <v>27301</v>
      </c>
      <c r="D4458" s="109" t="s">
        <v>3137</v>
      </c>
      <c r="E4458" s="109"/>
      <c r="F4458" s="391" t="s">
        <v>27319</v>
      </c>
      <c r="G4458" s="23" t="s">
        <v>15071</v>
      </c>
      <c r="H4458" s="23" t="s">
        <v>27491</v>
      </c>
      <c r="I4458" s="23"/>
      <c r="J4458" s="23"/>
      <c r="K4458" s="23"/>
      <c r="L4458" s="350" t="s">
        <v>28053</v>
      </c>
      <c r="M4458" s="473" t="s">
        <v>27515</v>
      </c>
      <c r="N4458" s="472">
        <f t="shared" ref="N4458" si="1648">SUM(L4458:M4458)</f>
        <v>0</v>
      </c>
      <c r="O4458" s="268">
        <f t="shared" ref="O4458" si="1649">SUM(P4458:Z4458)</f>
        <v>5500</v>
      </c>
      <c r="P4458" s="239"/>
      <c r="Q4458" s="239"/>
      <c r="R4458" s="239"/>
      <c r="S4458" s="239"/>
      <c r="T4458" s="239"/>
      <c r="U4458" s="240"/>
      <c r="V4458" s="240">
        <f>1100-50-1000+2050+650+3050-5000+2350-1500+2700+2900-7000+1500+3750</f>
        <v>5500</v>
      </c>
      <c r="W4458" s="240"/>
      <c r="X4458" s="278"/>
      <c r="Y4458" s="239"/>
      <c r="Z4458" s="237"/>
      <c r="AA4458" s="279"/>
      <c r="AB4458" s="238" t="s">
        <v>28036</v>
      </c>
      <c r="AC4458" s="196"/>
      <c r="AD4458" s="196"/>
      <c r="AE4458" s="196"/>
    </row>
    <row r="4459" spans="1:31">
      <c r="A4459" s="20"/>
      <c r="B4459" s="150"/>
      <c r="C4459" s="21" t="s">
        <v>27453</v>
      </c>
      <c r="D4459" s="109" t="s">
        <v>27362</v>
      </c>
      <c r="E4459" s="109" t="s">
        <v>26909</v>
      </c>
      <c r="F4459" s="391" t="s">
        <v>27454</v>
      </c>
      <c r="G4459" s="23" t="s">
        <v>14332</v>
      </c>
      <c r="H4459" s="23"/>
      <c r="I4459" s="23"/>
      <c r="J4459" s="23"/>
      <c r="K4459" s="23"/>
      <c r="L4459" s="350"/>
      <c r="M4459" s="473"/>
      <c r="N4459" s="472">
        <f t="shared" ref="N4459:N4464" si="1650">SUM(L4459:M4459)</f>
        <v>0</v>
      </c>
      <c r="O4459" s="268">
        <f t="shared" ref="O4459:O4464" si="1651">SUM(P4459:Z4459)</f>
        <v>0</v>
      </c>
      <c r="P4459" s="239"/>
      <c r="Q4459" s="239"/>
      <c r="R4459" s="239"/>
      <c r="S4459" s="239"/>
      <c r="T4459" s="239"/>
      <c r="U4459" s="240"/>
      <c r="V4459" s="240"/>
      <c r="W4459" s="240"/>
      <c r="X4459" s="278"/>
      <c r="Y4459" s="239"/>
      <c r="Z4459" s="237"/>
      <c r="AA4459" s="279"/>
      <c r="AB4459" s="238"/>
      <c r="AC4459" s="196"/>
      <c r="AD4459" s="196"/>
      <c r="AE4459" s="196"/>
    </row>
    <row r="4460" spans="1:31">
      <c r="A4460" s="20"/>
      <c r="B4460" s="150"/>
      <c r="C4460" s="21" t="s">
        <v>27455</v>
      </c>
      <c r="D4460" s="109" t="s">
        <v>27362</v>
      </c>
      <c r="E4460" s="109" t="s">
        <v>26911</v>
      </c>
      <c r="F4460" s="391" t="s">
        <v>27456</v>
      </c>
      <c r="G4460" s="23" t="s">
        <v>14332</v>
      </c>
      <c r="H4460" s="23"/>
      <c r="I4460" s="23"/>
      <c r="J4460" s="23"/>
      <c r="K4460" s="23"/>
      <c r="L4460" s="350"/>
      <c r="M4460" s="473"/>
      <c r="N4460" s="472">
        <f t="shared" si="1650"/>
        <v>0</v>
      </c>
      <c r="O4460" s="268">
        <f t="shared" si="1651"/>
        <v>0</v>
      </c>
      <c r="P4460" s="239"/>
      <c r="Q4460" s="239"/>
      <c r="R4460" s="239"/>
      <c r="S4460" s="239"/>
      <c r="T4460" s="239"/>
      <c r="U4460" s="240"/>
      <c r="V4460" s="240"/>
      <c r="W4460" s="240"/>
      <c r="X4460" s="278"/>
      <c r="Y4460" s="239"/>
      <c r="Z4460" s="237"/>
      <c r="AA4460" s="279"/>
      <c r="AB4460" s="238"/>
      <c r="AC4460" s="196"/>
      <c r="AD4460" s="196"/>
      <c r="AE4460" s="196"/>
    </row>
    <row r="4461" spans="1:31">
      <c r="A4461" s="20"/>
      <c r="B4461" s="150"/>
      <c r="C4461" s="21" t="s">
        <v>27457</v>
      </c>
      <c r="D4461" s="109" t="s">
        <v>3137</v>
      </c>
      <c r="E4461" s="109"/>
      <c r="F4461" s="391" t="s">
        <v>27458</v>
      </c>
      <c r="G4461" s="23" t="s">
        <v>14332</v>
      </c>
      <c r="H4461" s="23"/>
      <c r="I4461" s="23"/>
      <c r="J4461" s="23"/>
      <c r="K4461" s="23"/>
      <c r="L4461" s="350"/>
      <c r="M4461" s="473"/>
      <c r="N4461" s="472">
        <f t="shared" si="1650"/>
        <v>0</v>
      </c>
      <c r="O4461" s="268">
        <f t="shared" si="1651"/>
        <v>0</v>
      </c>
      <c r="P4461" s="239"/>
      <c r="Q4461" s="239"/>
      <c r="R4461" s="239"/>
      <c r="S4461" s="239"/>
      <c r="T4461" s="239"/>
      <c r="U4461" s="240"/>
      <c r="V4461" s="240"/>
      <c r="W4461" s="240"/>
      <c r="X4461" s="278"/>
      <c r="Y4461" s="239"/>
      <c r="Z4461" s="237"/>
      <c r="AA4461" s="279"/>
      <c r="AB4461" s="238"/>
      <c r="AC4461" s="196"/>
      <c r="AD4461" s="196"/>
      <c r="AE4461" s="196"/>
    </row>
    <row r="4462" spans="1:31">
      <c r="A4462" s="20"/>
      <c r="B4462" s="150"/>
      <c r="C4462" s="21" t="s">
        <v>27460</v>
      </c>
      <c r="D4462" s="109" t="s">
        <v>3137</v>
      </c>
      <c r="E4462" s="109"/>
      <c r="F4462" s="391" t="s">
        <v>27459</v>
      </c>
      <c r="G4462" s="23" t="s">
        <v>14332</v>
      </c>
      <c r="H4462" s="23"/>
      <c r="I4462" s="23"/>
      <c r="J4462" s="23"/>
      <c r="K4462" s="23"/>
      <c r="L4462" s="350"/>
      <c r="M4462" s="473"/>
      <c r="N4462" s="472">
        <f t="shared" si="1650"/>
        <v>0</v>
      </c>
      <c r="O4462" s="268">
        <f t="shared" si="1651"/>
        <v>0</v>
      </c>
      <c r="P4462" s="239"/>
      <c r="Q4462" s="239"/>
      <c r="R4462" s="239"/>
      <c r="S4462" s="239"/>
      <c r="T4462" s="239"/>
      <c r="U4462" s="240"/>
      <c r="V4462" s="240"/>
      <c r="W4462" s="240"/>
      <c r="X4462" s="278"/>
      <c r="Y4462" s="239"/>
      <c r="Z4462" s="237"/>
      <c r="AA4462" s="279"/>
      <c r="AB4462" s="238"/>
      <c r="AC4462" s="196"/>
      <c r="AD4462" s="196"/>
      <c r="AE4462" s="196"/>
    </row>
    <row r="4463" spans="1:31">
      <c r="A4463" s="20"/>
      <c r="B4463" s="150"/>
      <c r="C4463" s="21" t="s">
        <v>27800</v>
      </c>
      <c r="D4463" s="109" t="s">
        <v>3137</v>
      </c>
      <c r="E4463" s="109"/>
      <c r="F4463" s="391"/>
      <c r="G4463" s="23" t="s">
        <v>13888</v>
      </c>
      <c r="H4463" s="23"/>
      <c r="I4463" s="23"/>
      <c r="J4463" s="23"/>
      <c r="K4463" s="23"/>
      <c r="L4463" s="350" t="s">
        <v>27809</v>
      </c>
      <c r="M4463" s="473"/>
      <c r="N4463" s="472">
        <f t="shared" ref="N4463" si="1652">SUM(L4463:M4463)</f>
        <v>0</v>
      </c>
      <c r="O4463" s="268">
        <f t="shared" ref="O4463" si="1653">SUM(P4463:Z4463)</f>
        <v>200</v>
      </c>
      <c r="P4463" s="239"/>
      <c r="Q4463" s="239"/>
      <c r="R4463" s="239"/>
      <c r="S4463" s="239"/>
      <c r="T4463" s="239"/>
      <c r="U4463" s="240">
        <f>300-100</f>
        <v>200</v>
      </c>
      <c r="V4463" s="240"/>
      <c r="W4463" s="240"/>
      <c r="X4463" s="278"/>
      <c r="Y4463" s="239"/>
      <c r="Z4463" s="237"/>
      <c r="AA4463" s="279"/>
      <c r="AB4463" s="238" t="s">
        <v>27804</v>
      </c>
      <c r="AC4463" s="196"/>
      <c r="AD4463" s="196"/>
      <c r="AE4463" s="196"/>
    </row>
    <row r="4464" spans="1:31">
      <c r="A4464" s="20" t="s">
        <v>27279</v>
      </c>
      <c r="B4464" s="150"/>
      <c r="C4464" s="21" t="s">
        <v>27272</v>
      </c>
      <c r="D4464" s="109" t="s">
        <v>3958</v>
      </c>
      <c r="E4464" s="109"/>
      <c r="F4464" s="391" t="s">
        <v>27318</v>
      </c>
      <c r="G4464" s="23" t="s">
        <v>27273</v>
      </c>
      <c r="H4464" s="23"/>
      <c r="I4464" s="23"/>
      <c r="J4464" s="23"/>
      <c r="K4464" s="23"/>
      <c r="L4464" s="350" t="s">
        <v>45</v>
      </c>
      <c r="M4464" s="473" t="s">
        <v>45</v>
      </c>
      <c r="N4464" s="472">
        <f t="shared" si="1650"/>
        <v>0</v>
      </c>
      <c r="O4464" s="268">
        <f t="shared" si="1651"/>
        <v>200</v>
      </c>
      <c r="P4464" s="239"/>
      <c r="Q4464" s="239"/>
      <c r="R4464" s="239"/>
      <c r="S4464" s="239"/>
      <c r="T4464" s="239"/>
      <c r="U4464" s="240">
        <f>700-500</f>
        <v>200</v>
      </c>
      <c r="V4464" s="240"/>
      <c r="W4464" s="240"/>
      <c r="X4464" s="278"/>
      <c r="Y4464" s="239"/>
      <c r="Z4464" s="237"/>
      <c r="AA4464" s="279"/>
      <c r="AB4464" s="238" t="s">
        <v>27320</v>
      </c>
      <c r="AC4464" s="196"/>
      <c r="AD4464" s="196"/>
      <c r="AE4464" s="196"/>
    </row>
    <row r="4465" spans="1:31">
      <c r="A4465" s="20"/>
      <c r="B4465" s="150"/>
      <c r="C4465" s="21" t="s">
        <v>27430</v>
      </c>
      <c r="D4465" s="109" t="s">
        <v>5649</v>
      </c>
      <c r="E4465" s="109"/>
      <c r="F4465" s="391"/>
      <c r="G4465" s="23" t="s">
        <v>27431</v>
      </c>
      <c r="H4465" s="23"/>
      <c r="I4465" s="23"/>
      <c r="J4465" s="23"/>
      <c r="K4465" s="23"/>
      <c r="L4465" s="350" t="s">
        <v>27470</v>
      </c>
      <c r="M4465" s="473"/>
      <c r="N4465" s="472">
        <f t="shared" ref="N4465" si="1654">SUM(L4465:M4465)</f>
        <v>0</v>
      </c>
      <c r="O4465" s="268">
        <f t="shared" ref="O4465" si="1655">SUM(P4465:Z4465)</f>
        <v>1400</v>
      </c>
      <c r="P4465" s="239"/>
      <c r="Q4465" s="239"/>
      <c r="R4465" s="239"/>
      <c r="S4465" s="239"/>
      <c r="T4465" s="239"/>
      <c r="U4465" s="240"/>
      <c r="V4465" s="240">
        <f>2500-1000-100+200+3100-1300-500-500-1000</f>
        <v>1400</v>
      </c>
      <c r="W4465" s="240"/>
      <c r="X4465" s="278"/>
      <c r="Y4465" s="239"/>
      <c r="Z4465" s="237"/>
      <c r="AA4465" s="279"/>
      <c r="AB4465" s="238" t="s">
        <v>27465</v>
      </c>
      <c r="AC4465" s="196"/>
      <c r="AD4465" s="196"/>
      <c r="AE4465" s="196"/>
    </row>
    <row r="4466" spans="1:31">
      <c r="A4466" s="20"/>
      <c r="B4466" s="150"/>
      <c r="C4466" s="21" t="s">
        <v>27448</v>
      </c>
      <c r="D4466" s="109" t="s">
        <v>3137</v>
      </c>
      <c r="E4466" s="109"/>
      <c r="F4466" s="391"/>
      <c r="G4466" s="23" t="s">
        <v>27508</v>
      </c>
      <c r="H4466" s="23"/>
      <c r="I4466" s="23"/>
      <c r="J4466" s="23"/>
      <c r="K4466" s="23"/>
      <c r="L4466" s="350" t="s">
        <v>27487</v>
      </c>
      <c r="M4466" s="473"/>
      <c r="N4466" s="472">
        <f t="shared" ref="N4466" si="1656">SUM(L4466:M4466)</f>
        <v>0</v>
      </c>
      <c r="O4466" s="268">
        <f t="shared" ref="O4466" si="1657">SUM(P4466:Z4466)</f>
        <v>150</v>
      </c>
      <c r="P4466" s="239"/>
      <c r="Q4466" s="239">
        <f>800-650</f>
        <v>150</v>
      </c>
      <c r="R4466" s="239"/>
      <c r="S4466" s="239"/>
      <c r="T4466" s="239"/>
      <c r="U4466" s="240"/>
      <c r="V4466" s="240"/>
      <c r="W4466" s="240"/>
      <c r="X4466" s="278"/>
      <c r="Y4466" s="239"/>
      <c r="Z4466" s="237"/>
      <c r="AA4466" s="279"/>
      <c r="AB4466" s="238" t="s">
        <v>27485</v>
      </c>
      <c r="AC4466" s="196"/>
      <c r="AD4466" s="196"/>
      <c r="AE4466" s="196"/>
    </row>
    <row r="4467" spans="1:31">
      <c r="A4467" s="20"/>
      <c r="B4467" s="150"/>
      <c r="C4467" s="21" t="s">
        <v>27474</v>
      </c>
      <c r="D4467" s="109" t="s">
        <v>3137</v>
      </c>
      <c r="E4467" s="109" t="s">
        <v>27475</v>
      </c>
      <c r="F4467" s="391" t="s">
        <v>27476</v>
      </c>
      <c r="G4467" s="23" t="s">
        <v>27477</v>
      </c>
      <c r="H4467" s="23"/>
      <c r="I4467" s="23"/>
      <c r="J4467" s="23"/>
      <c r="K4467" s="23"/>
      <c r="L4467" s="350"/>
      <c r="M4467" s="473"/>
      <c r="N4467" s="472"/>
      <c r="O4467" s="268"/>
      <c r="P4467" s="239"/>
      <c r="Q4467" s="239"/>
      <c r="R4467" s="239"/>
      <c r="S4467" s="239"/>
      <c r="T4467" s="239"/>
      <c r="U4467" s="240"/>
      <c r="V4467" s="240"/>
      <c r="W4467" s="240"/>
      <c r="X4467" s="278"/>
      <c r="Y4467" s="239"/>
      <c r="Z4467" s="237"/>
      <c r="AA4467" s="279"/>
      <c r="AB4467" s="238"/>
      <c r="AC4467" s="196"/>
      <c r="AD4467" s="196"/>
      <c r="AE4467" s="196"/>
    </row>
    <row r="4468" spans="1:31">
      <c r="A4468" s="20"/>
      <c r="B4468" s="150"/>
      <c r="C4468" s="21" t="s">
        <v>27402</v>
      </c>
      <c r="D4468" s="109" t="s">
        <v>3137</v>
      </c>
      <c r="E4468" s="109"/>
      <c r="F4468" s="391"/>
      <c r="G4468" s="23" t="s">
        <v>27495</v>
      </c>
      <c r="H4468" s="23" t="s">
        <v>13888</v>
      </c>
      <c r="I4468" s="23"/>
      <c r="J4468" s="23"/>
      <c r="K4468" s="23"/>
      <c r="L4468" s="350" t="s">
        <v>28053</v>
      </c>
      <c r="M4468" s="473"/>
      <c r="N4468" s="472">
        <f t="shared" ref="N4468" si="1658">SUM(L4468:M4468)</f>
        <v>0</v>
      </c>
      <c r="O4468" s="268">
        <f t="shared" ref="O4468" si="1659">SUM(P4468:Z4468)</f>
        <v>700</v>
      </c>
      <c r="P4468" s="239"/>
      <c r="Q4468" s="239"/>
      <c r="R4468" s="239"/>
      <c r="S4468" s="239"/>
      <c r="T4468" s="239"/>
      <c r="U4468" s="240">
        <v>700</v>
      </c>
      <c r="V4468" s="240"/>
      <c r="W4468" s="240"/>
      <c r="X4468" s="278"/>
      <c r="Y4468" s="239"/>
      <c r="Z4468" s="237"/>
      <c r="AA4468" s="279"/>
      <c r="AB4468" s="238" t="s">
        <v>28033</v>
      </c>
      <c r="AC4468" s="196"/>
      <c r="AD4468" s="196"/>
      <c r="AE4468" s="196"/>
    </row>
    <row r="4469" spans="1:31">
      <c r="A4469" s="20"/>
      <c r="B4469" s="150"/>
      <c r="C4469" s="21" t="s">
        <v>27801</v>
      </c>
      <c r="D4469" s="109" t="s">
        <v>3137</v>
      </c>
      <c r="E4469" s="109"/>
      <c r="F4469" s="391"/>
      <c r="G4469" s="23" t="s">
        <v>13888</v>
      </c>
      <c r="H4469" s="23"/>
      <c r="I4469" s="23"/>
      <c r="J4469" s="23"/>
      <c r="K4469" s="23"/>
      <c r="L4469" s="350" t="s">
        <v>27809</v>
      </c>
      <c r="M4469" s="473"/>
      <c r="N4469" s="472">
        <f t="shared" ref="N4469" si="1660">SUM(L4469:M4469)</f>
        <v>0</v>
      </c>
      <c r="O4469" s="268">
        <f t="shared" ref="O4469" si="1661">SUM(P4469:Z4469)</f>
        <v>200</v>
      </c>
      <c r="P4469" s="239"/>
      <c r="Q4469" s="239"/>
      <c r="R4469" s="239"/>
      <c r="S4469" s="239"/>
      <c r="T4469" s="239"/>
      <c r="U4469" s="240">
        <f>400-200</f>
        <v>200</v>
      </c>
      <c r="V4469" s="240"/>
      <c r="W4469" s="240"/>
      <c r="X4469" s="278"/>
      <c r="Y4469" s="239"/>
      <c r="Z4469" s="237"/>
      <c r="AA4469" s="279"/>
      <c r="AB4469" s="238" t="s">
        <v>27804</v>
      </c>
      <c r="AC4469" s="196"/>
      <c r="AD4469" s="196"/>
      <c r="AE4469" s="196"/>
    </row>
    <row r="4470" spans="1:31">
      <c r="A4470" s="20" t="s">
        <v>27288</v>
      </c>
      <c r="B4470" s="150"/>
      <c r="C4470" s="21" t="s">
        <v>27360</v>
      </c>
      <c r="D4470" s="109" t="s">
        <v>27362</v>
      </c>
      <c r="E4470" s="109" t="s">
        <v>26909</v>
      </c>
      <c r="F4470" s="391" t="s">
        <v>27363</v>
      </c>
      <c r="G4470" s="23" t="s">
        <v>14332</v>
      </c>
      <c r="H4470" s="23"/>
      <c r="I4470" s="23"/>
      <c r="J4470" s="23"/>
      <c r="K4470" s="23"/>
      <c r="L4470" s="350"/>
      <c r="M4470" s="473"/>
      <c r="N4470" s="472">
        <f t="shared" ref="N4470:N4471" si="1662">SUM(L4470:M4470)</f>
        <v>0</v>
      </c>
      <c r="O4470" s="268">
        <f t="shared" ref="O4470:O4471" si="1663">SUM(P4470:Z4470)</f>
        <v>75</v>
      </c>
      <c r="P4470" s="239"/>
      <c r="Q4470" s="239"/>
      <c r="R4470" s="239"/>
      <c r="S4470" s="239"/>
      <c r="T4470" s="239"/>
      <c r="U4470" s="240">
        <f>125-50</f>
        <v>75</v>
      </c>
      <c r="V4470" s="240"/>
      <c r="W4470" s="240"/>
      <c r="X4470" s="278"/>
      <c r="Y4470" s="239"/>
      <c r="Z4470" s="237"/>
      <c r="AA4470" s="279"/>
      <c r="AB4470" s="238" t="s">
        <v>27422</v>
      </c>
      <c r="AC4470" s="196"/>
      <c r="AD4470" s="196"/>
      <c r="AE4470" s="196"/>
    </row>
    <row r="4471" spans="1:31">
      <c r="A4471" s="20" t="s">
        <v>27289</v>
      </c>
      <c r="B4471" s="150"/>
      <c r="C4471" s="21" t="s">
        <v>27361</v>
      </c>
      <c r="D4471" s="109" t="s">
        <v>27362</v>
      </c>
      <c r="E4471" s="109" t="s">
        <v>26911</v>
      </c>
      <c r="F4471" s="391" t="s">
        <v>27364</v>
      </c>
      <c r="G4471" s="23" t="s">
        <v>14332</v>
      </c>
      <c r="H4471" s="23"/>
      <c r="I4471" s="23"/>
      <c r="J4471" s="23"/>
      <c r="K4471" s="23"/>
      <c r="L4471" s="350"/>
      <c r="M4471" s="473"/>
      <c r="N4471" s="472">
        <f t="shared" si="1662"/>
        <v>0</v>
      </c>
      <c r="O4471" s="268">
        <f t="shared" si="1663"/>
        <v>25</v>
      </c>
      <c r="P4471" s="239"/>
      <c r="Q4471" s="239"/>
      <c r="R4471" s="239"/>
      <c r="S4471" s="239"/>
      <c r="T4471" s="239"/>
      <c r="U4471" s="240">
        <f>100-75</f>
        <v>25</v>
      </c>
      <c r="V4471" s="240"/>
      <c r="W4471" s="240"/>
      <c r="X4471" s="278"/>
      <c r="Y4471" s="239"/>
      <c r="Z4471" s="237"/>
      <c r="AA4471" s="279"/>
      <c r="AB4471" s="238" t="s">
        <v>27422</v>
      </c>
      <c r="AC4471" s="196"/>
      <c r="AD4471" s="196"/>
      <c r="AE4471" s="196"/>
    </row>
    <row r="4472" spans="1:31">
      <c r="A4472" s="20" t="s">
        <v>27290</v>
      </c>
      <c r="B4472" s="150"/>
      <c r="C4472" s="21" t="s">
        <v>27347</v>
      </c>
      <c r="D4472" s="109" t="s">
        <v>3137</v>
      </c>
      <c r="E4472" s="109"/>
      <c r="F4472" s="391" t="s">
        <v>27365</v>
      </c>
      <c r="G4472" s="23" t="s">
        <v>27349</v>
      </c>
      <c r="H4472" s="23"/>
      <c r="I4472" s="23"/>
      <c r="J4472" s="23"/>
      <c r="K4472" s="23"/>
      <c r="L4472" s="350" t="s">
        <v>27385</v>
      </c>
      <c r="M4472" s="473"/>
      <c r="N4472" s="472">
        <f t="shared" ref="N4472:N4473" si="1664">SUM(L4472:M4472)</f>
        <v>0</v>
      </c>
      <c r="O4472" s="268">
        <f t="shared" ref="O4472:O4473" si="1665">SUM(P4472:Z4472)</f>
        <v>0</v>
      </c>
      <c r="P4472" s="239"/>
      <c r="Q4472" s="239"/>
      <c r="R4472" s="239"/>
      <c r="S4472" s="239"/>
      <c r="T4472" s="239"/>
      <c r="U4472" s="240"/>
      <c r="V4472" s="240"/>
      <c r="W4472" s="240"/>
      <c r="X4472" s="278"/>
      <c r="Y4472" s="239"/>
      <c r="Z4472" s="237"/>
      <c r="AA4472" s="279"/>
      <c r="AB4472" s="238"/>
      <c r="AC4472" s="196"/>
      <c r="AD4472" s="196"/>
      <c r="AE4472" s="196"/>
    </row>
    <row r="4473" spans="1:31">
      <c r="A4473" s="20" t="s">
        <v>27287</v>
      </c>
      <c r="B4473" s="150"/>
      <c r="C4473" s="21" t="s">
        <v>27348</v>
      </c>
      <c r="D4473" s="109" t="s">
        <v>3137</v>
      </c>
      <c r="E4473" s="109"/>
      <c r="F4473" s="391" t="s">
        <v>27357</v>
      </c>
      <c r="G4473" s="23" t="s">
        <v>27349</v>
      </c>
      <c r="H4473" s="23"/>
      <c r="I4473" s="23"/>
      <c r="J4473" s="23"/>
      <c r="K4473" s="23"/>
      <c r="L4473" s="350" t="s">
        <v>27358</v>
      </c>
      <c r="M4473" s="473"/>
      <c r="N4473" s="472">
        <f t="shared" si="1664"/>
        <v>0</v>
      </c>
      <c r="O4473" s="268">
        <f t="shared" si="1665"/>
        <v>50</v>
      </c>
      <c r="P4473" s="239"/>
      <c r="Q4473" s="239"/>
      <c r="R4473" s="239"/>
      <c r="S4473" s="239"/>
      <c r="T4473" s="239"/>
      <c r="U4473" s="240">
        <f>600-500-50</f>
        <v>50</v>
      </c>
      <c r="V4473" s="240"/>
      <c r="W4473" s="240"/>
      <c r="X4473" s="278"/>
      <c r="Y4473" s="239"/>
      <c r="Z4473" s="237"/>
      <c r="AA4473" s="279"/>
      <c r="AB4473" s="238" t="s">
        <v>27356</v>
      </c>
      <c r="AC4473" s="196"/>
      <c r="AD4473" s="196"/>
      <c r="AE4473" s="196"/>
    </row>
    <row r="4474" spans="1:31">
      <c r="A4474" s="20"/>
      <c r="B4474" s="150"/>
      <c r="C4474" s="21" t="s">
        <v>27884</v>
      </c>
      <c r="D4474" s="109" t="s">
        <v>5649</v>
      </c>
      <c r="E4474" s="109"/>
      <c r="F4474" s="391"/>
      <c r="G4474" s="23" t="s">
        <v>15443</v>
      </c>
      <c r="H4474" s="23"/>
      <c r="I4474" s="23"/>
      <c r="J4474" s="23"/>
      <c r="K4474" s="23"/>
      <c r="L4474" s="350" t="s">
        <v>27931</v>
      </c>
      <c r="M4474" s="473"/>
      <c r="N4474" s="472">
        <f t="shared" ref="N4474" si="1666">SUM(L4474:M4474)</f>
        <v>0</v>
      </c>
      <c r="O4474" s="268">
        <f t="shared" ref="O4474" si="1667">SUM(P4474:Z4474)</f>
        <v>200</v>
      </c>
      <c r="P4474" s="239"/>
      <c r="Q4474" s="239"/>
      <c r="R4474" s="239"/>
      <c r="S4474" s="239"/>
      <c r="T4474" s="239"/>
      <c r="U4474" s="240"/>
      <c r="V4474" s="240">
        <v>200</v>
      </c>
      <c r="W4474" s="240"/>
      <c r="X4474" s="278"/>
      <c r="Y4474" s="239"/>
      <c r="Z4474" s="237"/>
      <c r="AA4474" s="279"/>
      <c r="AB4474" s="238" t="s">
        <v>27941</v>
      </c>
      <c r="AC4474" s="196"/>
      <c r="AD4474" s="196"/>
      <c r="AE4474" s="196"/>
    </row>
    <row r="4475" spans="1:31">
      <c r="A4475" s="20"/>
      <c r="B4475" s="150"/>
      <c r="C4475" s="21" t="s">
        <v>27494</v>
      </c>
      <c r="D4475" s="109" t="s">
        <v>3137</v>
      </c>
      <c r="E4475" s="109"/>
      <c r="F4475" s="391" t="s">
        <v>27550</v>
      </c>
      <c r="G4475" s="23" t="s">
        <v>13888</v>
      </c>
      <c r="H4475" s="23"/>
      <c r="I4475" s="23"/>
      <c r="J4475" s="23"/>
      <c r="K4475" s="23"/>
      <c r="L4475" s="350" t="s">
        <v>27511</v>
      </c>
      <c r="M4475" s="473"/>
      <c r="N4475" s="472">
        <f t="shared" ref="N4475" si="1668">SUM(L4475:M4475)</f>
        <v>0</v>
      </c>
      <c r="O4475" s="268">
        <f t="shared" ref="O4475" si="1669">SUM(P4475:Z4475)</f>
        <v>800</v>
      </c>
      <c r="P4475" s="239"/>
      <c r="Q4475" s="239"/>
      <c r="R4475" s="239"/>
      <c r="S4475" s="239"/>
      <c r="T4475" s="239"/>
      <c r="U4475" s="240">
        <f>2200-1000-400</f>
        <v>800</v>
      </c>
      <c r="V4475" s="240"/>
      <c r="W4475" s="240"/>
      <c r="X4475" s="278"/>
      <c r="Y4475" s="239"/>
      <c r="Z4475" s="237"/>
      <c r="AA4475" s="279"/>
      <c r="AB4475" s="238" t="s">
        <v>27507</v>
      </c>
      <c r="AC4475" s="196"/>
      <c r="AD4475" s="196"/>
      <c r="AE4475" s="196"/>
    </row>
    <row r="4476" spans="1:31">
      <c r="A4476" s="20"/>
      <c r="B4476" s="150"/>
      <c r="C4476" s="21" t="s">
        <v>27560</v>
      </c>
      <c r="D4476" s="109" t="s">
        <v>5649</v>
      </c>
      <c r="E4476" s="109"/>
      <c r="F4476" s="391"/>
      <c r="G4476" s="23" t="s">
        <v>15443</v>
      </c>
      <c r="H4476" s="23"/>
      <c r="I4476" s="23"/>
      <c r="J4476" s="23"/>
      <c r="K4476" s="23"/>
      <c r="L4476" s="350" t="s">
        <v>27571</v>
      </c>
      <c r="M4476" s="473"/>
      <c r="N4476" s="472">
        <f t="shared" ref="N4476" si="1670">SUM(L4476:M4476)</f>
        <v>0</v>
      </c>
      <c r="O4476" s="268">
        <f t="shared" ref="O4476" si="1671">SUM(P4476:Z4476)</f>
        <v>100</v>
      </c>
      <c r="P4476" s="239"/>
      <c r="Q4476" s="239"/>
      <c r="R4476" s="239"/>
      <c r="S4476" s="239"/>
      <c r="T4476" s="239"/>
      <c r="U4476" s="240"/>
      <c r="V4476" s="240">
        <f>1300-1000-200</f>
        <v>100</v>
      </c>
      <c r="W4476" s="240"/>
      <c r="X4476" s="278"/>
      <c r="Y4476" s="239"/>
      <c r="Z4476" s="237"/>
      <c r="AA4476" s="279"/>
      <c r="AB4476" s="238" t="s">
        <v>27562</v>
      </c>
      <c r="AC4476" s="196"/>
      <c r="AD4476" s="196"/>
      <c r="AE4476" s="196"/>
    </row>
    <row r="4477" spans="1:31">
      <c r="A4477" s="20"/>
      <c r="B4477" s="150"/>
      <c r="C4477" s="21" t="s">
        <v>27614</v>
      </c>
      <c r="D4477" s="109" t="s">
        <v>3137</v>
      </c>
      <c r="E4477" s="109"/>
      <c r="F4477" s="391"/>
      <c r="G4477" s="23" t="s">
        <v>27243</v>
      </c>
      <c r="H4477" s="23"/>
      <c r="I4477" s="23"/>
      <c r="J4477" s="23"/>
      <c r="K4477" s="23"/>
      <c r="L4477" s="350" t="s">
        <v>27747</v>
      </c>
      <c r="M4477" s="473"/>
      <c r="N4477" s="472">
        <f t="shared" ref="N4477" si="1672">SUM(L4477:M4477)</f>
        <v>0</v>
      </c>
      <c r="O4477" s="268">
        <f t="shared" ref="O4477" si="1673">SUM(P4477:Z4477)</f>
        <v>800</v>
      </c>
      <c r="P4477" s="239"/>
      <c r="Q4477" s="239">
        <f>1100-300</f>
        <v>800</v>
      </c>
      <c r="R4477" s="239"/>
      <c r="S4477" s="239"/>
      <c r="T4477" s="239"/>
      <c r="U4477" s="240"/>
      <c r="V4477" s="240"/>
      <c r="W4477" s="240"/>
      <c r="X4477" s="278"/>
      <c r="Y4477" s="239"/>
      <c r="Z4477" s="237"/>
      <c r="AA4477" s="279"/>
      <c r="AB4477" s="238" t="s">
        <v>27740</v>
      </c>
      <c r="AC4477" s="196"/>
      <c r="AD4477" s="196"/>
      <c r="AE4477" s="196"/>
    </row>
    <row r="4478" spans="1:31">
      <c r="A4478" s="20"/>
      <c r="B4478" s="150"/>
      <c r="C4478" s="21" t="s">
        <v>27684</v>
      </c>
      <c r="D4478" s="109" t="s">
        <v>27698</v>
      </c>
      <c r="E4478" s="109"/>
      <c r="F4478" s="391"/>
      <c r="G4478" s="23" t="s">
        <v>13888</v>
      </c>
      <c r="H4478" s="23"/>
      <c r="I4478" s="23"/>
      <c r="J4478" s="23"/>
      <c r="K4478" s="23"/>
      <c r="L4478" s="350" t="s">
        <v>27895</v>
      </c>
      <c r="M4478" s="473"/>
      <c r="N4478" s="472">
        <f t="shared" ref="N4478" si="1674">SUM(L4478:M4478)</f>
        <v>0</v>
      </c>
      <c r="O4478" s="268">
        <f t="shared" ref="O4478" si="1675">SUM(P4478:Z4478)</f>
        <v>900</v>
      </c>
      <c r="P4478" s="239"/>
      <c r="Q4478" s="239"/>
      <c r="R4478" s="239"/>
      <c r="S4478" s="239"/>
      <c r="T4478" s="239"/>
      <c r="U4478" s="240"/>
      <c r="V4478" s="240">
        <v>900</v>
      </c>
      <c r="W4478" s="240"/>
      <c r="X4478" s="278"/>
      <c r="Y4478" s="239"/>
      <c r="Z4478" s="237"/>
      <c r="AA4478" s="279"/>
      <c r="AB4478" s="238" t="s">
        <v>27890</v>
      </c>
      <c r="AC4478" s="196"/>
      <c r="AD4478" s="196"/>
      <c r="AE4478" s="196"/>
    </row>
    <row r="4479" spans="1:31">
      <c r="A4479" s="20"/>
      <c r="B4479" s="150"/>
      <c r="C4479" s="21" t="s">
        <v>27684</v>
      </c>
      <c r="D4479" s="109" t="s">
        <v>3088</v>
      </c>
      <c r="E4479" s="109" t="s">
        <v>26189</v>
      </c>
      <c r="F4479" s="391"/>
      <c r="G4479" s="23" t="s">
        <v>13888</v>
      </c>
      <c r="H4479" s="23"/>
      <c r="I4479" s="23"/>
      <c r="J4479" s="23"/>
      <c r="K4479" s="23"/>
      <c r="L4479" s="350" t="s">
        <v>27855</v>
      </c>
      <c r="M4479" s="473"/>
      <c r="N4479" s="472">
        <f t="shared" ref="N4479" si="1676">SUM(L4479:M4479)</f>
        <v>0</v>
      </c>
      <c r="O4479" s="268">
        <f t="shared" ref="O4479" si="1677">SUM(P4479:Z4479)</f>
        <v>0</v>
      </c>
      <c r="P4479" s="239"/>
      <c r="Q4479" s="239"/>
      <c r="R4479" s="239"/>
      <c r="S4479" s="239"/>
      <c r="T4479" s="239"/>
      <c r="U4479" s="240"/>
      <c r="V4479" s="240"/>
      <c r="W4479" s="240"/>
      <c r="X4479" s="278"/>
      <c r="Y4479" s="239"/>
      <c r="Z4479" s="237"/>
      <c r="AA4479" s="279"/>
      <c r="AB4479" s="238"/>
      <c r="AC4479" s="196"/>
      <c r="AD4479" s="196"/>
      <c r="AE4479" s="196"/>
    </row>
    <row r="4480" spans="1:31">
      <c r="A4480" s="20"/>
      <c r="B4480" s="150"/>
      <c r="C4480" s="21" t="s">
        <v>27543</v>
      </c>
      <c r="D4480" s="109" t="s">
        <v>27362</v>
      </c>
      <c r="E4480" s="109" t="s">
        <v>26909</v>
      </c>
      <c r="F4480" s="391" t="s">
        <v>27544</v>
      </c>
      <c r="G4480" s="23" t="s">
        <v>14332</v>
      </c>
      <c r="H4480" s="23"/>
      <c r="I4480" s="23"/>
      <c r="J4480" s="23"/>
      <c r="K4480" s="23"/>
      <c r="L4480" s="350"/>
      <c r="M4480" s="473"/>
      <c r="N4480" s="472">
        <f t="shared" ref="N4480:N4483" si="1678">SUM(L4480:M4480)</f>
        <v>0</v>
      </c>
      <c r="O4480" s="268">
        <f t="shared" ref="O4480:O4483" si="1679">SUM(P4480:Z4480)</f>
        <v>50</v>
      </c>
      <c r="P4480" s="239"/>
      <c r="Q4480" s="239"/>
      <c r="R4480" s="239"/>
      <c r="S4480" s="239"/>
      <c r="T4480" s="239"/>
      <c r="U4480" s="240">
        <f>550-500</f>
        <v>50</v>
      </c>
      <c r="V4480" s="240"/>
      <c r="W4480" s="240"/>
      <c r="X4480" s="278"/>
      <c r="Y4480" s="239"/>
      <c r="Z4480" s="237"/>
      <c r="AA4480" s="279"/>
      <c r="AB4480" s="238" t="s">
        <v>27551</v>
      </c>
      <c r="AC4480" s="196"/>
      <c r="AD4480" s="196"/>
      <c r="AE4480" s="196"/>
    </row>
    <row r="4481" spans="1:33">
      <c r="A4481" s="20"/>
      <c r="B4481" s="150"/>
      <c r="C4481" s="21" t="s">
        <v>27545</v>
      </c>
      <c r="D4481" s="109" t="s">
        <v>27362</v>
      </c>
      <c r="E4481" s="109" t="s">
        <v>26911</v>
      </c>
      <c r="F4481" s="391" t="s">
        <v>27547</v>
      </c>
      <c r="G4481" s="23" t="s">
        <v>14332</v>
      </c>
      <c r="H4481" s="23"/>
      <c r="I4481" s="23"/>
      <c r="J4481" s="23"/>
      <c r="K4481" s="23"/>
      <c r="L4481" s="350"/>
      <c r="M4481" s="473"/>
      <c r="N4481" s="472">
        <f t="shared" si="1678"/>
        <v>0</v>
      </c>
      <c r="O4481" s="268">
        <f t="shared" si="1679"/>
        <v>25</v>
      </c>
      <c r="P4481" s="239"/>
      <c r="Q4481" s="239"/>
      <c r="R4481" s="239"/>
      <c r="S4481" s="239"/>
      <c r="T4481" s="239"/>
      <c r="U4481" s="240">
        <f>525-500</f>
        <v>25</v>
      </c>
      <c r="V4481" s="240"/>
      <c r="W4481" s="240"/>
      <c r="X4481" s="278"/>
      <c r="Y4481" s="239"/>
      <c r="Z4481" s="237"/>
      <c r="AA4481" s="279"/>
      <c r="AB4481" s="238" t="s">
        <v>27551</v>
      </c>
      <c r="AC4481" s="196"/>
      <c r="AD4481" s="196"/>
      <c r="AE4481" s="196"/>
    </row>
    <row r="4482" spans="1:33">
      <c r="A4482" s="20"/>
      <c r="B4482" s="150"/>
      <c r="C4482" s="21" t="s">
        <v>27545</v>
      </c>
      <c r="D4482" s="109" t="s">
        <v>27362</v>
      </c>
      <c r="E4482" s="109" t="s">
        <v>27546</v>
      </c>
      <c r="F4482" s="391" t="s">
        <v>27547</v>
      </c>
      <c r="G4482" s="23" t="s">
        <v>14332</v>
      </c>
      <c r="H4482" s="23"/>
      <c r="I4482" s="23"/>
      <c r="J4482" s="23"/>
      <c r="K4482" s="23"/>
      <c r="L4482" s="350"/>
      <c r="M4482" s="473"/>
      <c r="N4482" s="472">
        <f t="shared" si="1678"/>
        <v>0</v>
      </c>
      <c r="O4482" s="268">
        <f t="shared" si="1679"/>
        <v>25</v>
      </c>
      <c r="P4482" s="239"/>
      <c r="Q4482" s="239"/>
      <c r="R4482" s="239"/>
      <c r="S4482" s="239"/>
      <c r="T4482" s="239"/>
      <c r="U4482" s="240">
        <f>525-500</f>
        <v>25</v>
      </c>
      <c r="V4482" s="240"/>
      <c r="W4482" s="240"/>
      <c r="X4482" s="278"/>
      <c r="Y4482" s="239"/>
      <c r="Z4482" s="237"/>
      <c r="AA4482" s="279"/>
      <c r="AB4482" s="238" t="s">
        <v>27551</v>
      </c>
      <c r="AC4482" s="196"/>
      <c r="AD4482" s="196"/>
      <c r="AE4482" s="196"/>
    </row>
    <row r="4483" spans="1:33">
      <c r="A4483" s="20"/>
      <c r="B4483" s="150"/>
      <c r="C4483" s="21" t="s">
        <v>27531</v>
      </c>
      <c r="D4483" s="109" t="s">
        <v>3137</v>
      </c>
      <c r="E4483" s="109"/>
      <c r="F4483" s="391" t="s">
        <v>27548</v>
      </c>
      <c r="G4483" s="23" t="s">
        <v>27533</v>
      </c>
      <c r="H4483" s="23"/>
      <c r="I4483" s="23"/>
      <c r="J4483" s="23"/>
      <c r="K4483" s="23"/>
      <c r="L4483" s="350"/>
      <c r="M4483" s="473"/>
      <c r="N4483" s="472">
        <f t="shared" si="1678"/>
        <v>0</v>
      </c>
      <c r="O4483" s="268">
        <f t="shared" si="1679"/>
        <v>1150</v>
      </c>
      <c r="P4483" s="239"/>
      <c r="Q4483" s="239"/>
      <c r="R4483" s="239"/>
      <c r="S4483" s="239"/>
      <c r="T4483" s="239"/>
      <c r="U4483" s="240">
        <f>1500-1000+650</f>
        <v>1150</v>
      </c>
      <c r="V4483" s="240"/>
      <c r="W4483" s="240"/>
      <c r="X4483" s="278"/>
      <c r="Y4483" s="239"/>
      <c r="Z4483" s="237"/>
      <c r="AA4483" s="279"/>
      <c r="AB4483" s="238" t="s">
        <v>27552</v>
      </c>
      <c r="AC4483" s="196"/>
      <c r="AD4483" s="196"/>
      <c r="AE4483" s="196"/>
    </row>
    <row r="4484" spans="1:33">
      <c r="A4484" s="20"/>
      <c r="B4484" s="150"/>
      <c r="C4484" s="21" t="s">
        <v>27532</v>
      </c>
      <c r="D4484" s="109" t="s">
        <v>3137</v>
      </c>
      <c r="E4484" s="109"/>
      <c r="F4484" s="391" t="s">
        <v>27549</v>
      </c>
      <c r="G4484" s="23" t="s">
        <v>27533</v>
      </c>
      <c r="H4484" s="23"/>
      <c r="I4484" s="23"/>
      <c r="J4484" s="23"/>
      <c r="K4484" s="23"/>
      <c r="L4484" s="350" t="s">
        <v>27553</v>
      </c>
      <c r="M4484" s="473"/>
      <c r="N4484" s="472">
        <f t="shared" ref="N4484" si="1680">SUM(L4484:M4484)</f>
        <v>0</v>
      </c>
      <c r="O4484" s="268">
        <f t="shared" ref="O4484" si="1681">SUM(P4484:Z4484)</f>
        <v>300</v>
      </c>
      <c r="P4484" s="239"/>
      <c r="Q4484" s="239"/>
      <c r="R4484" s="239"/>
      <c r="S4484" s="239"/>
      <c r="T4484" s="239"/>
      <c r="U4484" s="240">
        <f>800-500</f>
        <v>300</v>
      </c>
      <c r="V4484" s="240"/>
      <c r="W4484" s="240"/>
      <c r="X4484" s="278"/>
      <c r="Y4484" s="239"/>
      <c r="Z4484" s="237"/>
      <c r="AA4484" s="279"/>
      <c r="AB4484" s="238" t="s">
        <v>27552</v>
      </c>
      <c r="AC4484" s="196"/>
      <c r="AD4484" s="196"/>
      <c r="AE4484" s="196"/>
    </row>
    <row r="4485" spans="1:33">
      <c r="A4485" s="20"/>
      <c r="B4485" s="150"/>
      <c r="C4485" s="21" t="s">
        <v>27574</v>
      </c>
      <c r="D4485" s="109" t="s">
        <v>3137</v>
      </c>
      <c r="E4485" s="109"/>
      <c r="F4485" s="391"/>
      <c r="G4485" s="23" t="s">
        <v>14332</v>
      </c>
      <c r="H4485" s="23"/>
      <c r="I4485" s="23"/>
      <c r="J4485" s="23"/>
      <c r="K4485" s="23"/>
      <c r="L4485" s="350" t="s">
        <v>27581</v>
      </c>
      <c r="M4485" s="473"/>
      <c r="N4485" s="472">
        <f t="shared" ref="N4485" si="1682">SUM(L4485:M4485)</f>
        <v>0</v>
      </c>
      <c r="O4485" s="268">
        <f t="shared" ref="O4485" si="1683">SUM(P4485:Z4485)</f>
        <v>150</v>
      </c>
      <c r="P4485" s="239"/>
      <c r="Q4485" s="239"/>
      <c r="R4485" s="239"/>
      <c r="S4485" s="239"/>
      <c r="T4485" s="239"/>
      <c r="U4485" s="240">
        <f>650-500</f>
        <v>150</v>
      </c>
      <c r="V4485" s="240"/>
      <c r="W4485" s="240"/>
      <c r="X4485" s="278"/>
      <c r="Y4485" s="239"/>
      <c r="Z4485" s="237"/>
      <c r="AA4485" s="279"/>
      <c r="AB4485" s="238" t="s">
        <v>27579</v>
      </c>
      <c r="AC4485" s="196"/>
      <c r="AD4485" s="196"/>
      <c r="AE4485" s="196"/>
    </row>
    <row r="4486" spans="1:33">
      <c r="A4486" s="20"/>
      <c r="B4486" s="150"/>
      <c r="C4486" s="21" t="s">
        <v>27572</v>
      </c>
      <c r="D4486" s="109" t="s">
        <v>3137</v>
      </c>
      <c r="E4486" s="109"/>
      <c r="F4486" s="391"/>
      <c r="G4486" s="23" t="s">
        <v>14332</v>
      </c>
      <c r="H4486" s="23"/>
      <c r="I4486" s="23"/>
      <c r="J4486" s="23"/>
      <c r="K4486" s="23"/>
      <c r="L4486" s="350" t="s">
        <v>27581</v>
      </c>
      <c r="M4486" s="473"/>
      <c r="N4486" s="472">
        <f t="shared" ref="N4486" si="1684">SUM(L4486:M4486)</f>
        <v>0</v>
      </c>
      <c r="O4486" s="268">
        <f t="shared" ref="O4486" si="1685">SUM(P4486:Z4486)</f>
        <v>200</v>
      </c>
      <c r="P4486" s="239"/>
      <c r="Q4486" s="239"/>
      <c r="R4486" s="239"/>
      <c r="S4486" s="239"/>
      <c r="T4486" s="239"/>
      <c r="U4486" s="240">
        <f>700-500</f>
        <v>200</v>
      </c>
      <c r="V4486" s="240"/>
      <c r="W4486" s="240"/>
      <c r="X4486" s="278"/>
      <c r="Y4486" s="239"/>
      <c r="Z4486" s="237"/>
      <c r="AA4486" s="279"/>
      <c r="AB4486" s="238" t="s">
        <v>27580</v>
      </c>
      <c r="AC4486" s="196"/>
      <c r="AD4486" s="196"/>
      <c r="AE4486" s="196"/>
    </row>
    <row r="4487" spans="1:33">
      <c r="A4487" s="20"/>
      <c r="B4487" s="150"/>
      <c r="C4487" s="21" t="s">
        <v>27802</v>
      </c>
      <c r="D4487" s="109" t="s">
        <v>3137</v>
      </c>
      <c r="E4487" s="109"/>
      <c r="F4487" s="391"/>
      <c r="G4487" s="23" t="s">
        <v>27803</v>
      </c>
      <c r="H4487" s="23"/>
      <c r="I4487" s="23"/>
      <c r="J4487" s="23"/>
      <c r="K4487" s="23"/>
      <c r="L4487" s="350" t="s">
        <v>27824</v>
      </c>
      <c r="M4487" s="473"/>
      <c r="N4487" s="472">
        <f t="shared" ref="N4487" si="1686">SUM(L4487:M4487)</f>
        <v>0</v>
      </c>
      <c r="O4487" s="268">
        <f t="shared" ref="O4487" si="1687">SUM(P4487:Z4487)</f>
        <v>1250</v>
      </c>
      <c r="P4487" s="239"/>
      <c r="Q4487" s="239">
        <v>1250</v>
      </c>
      <c r="R4487" s="239"/>
      <c r="S4487" s="239"/>
      <c r="T4487" s="239"/>
      <c r="U4487" s="240"/>
      <c r="V4487" s="240"/>
      <c r="W4487" s="240"/>
      <c r="X4487" s="278"/>
      <c r="Y4487" s="239"/>
      <c r="Z4487" s="237"/>
      <c r="AA4487" s="279"/>
      <c r="AB4487" s="238" t="s">
        <v>28041</v>
      </c>
      <c r="AC4487" s="196"/>
      <c r="AD4487" s="196"/>
      <c r="AE4487" s="196"/>
    </row>
    <row r="4488" spans="1:33">
      <c r="A4488" s="20"/>
      <c r="B4488" s="150"/>
      <c r="C4488" s="21" t="s">
        <v>27954</v>
      </c>
      <c r="D4488" s="109" t="s">
        <v>3137</v>
      </c>
      <c r="E4488" s="109"/>
      <c r="F4488" s="391"/>
      <c r="G4488" s="23" t="s">
        <v>27955</v>
      </c>
      <c r="H4488" s="23"/>
      <c r="I4488" s="23"/>
      <c r="J4488" s="23"/>
      <c r="K4488" s="23"/>
      <c r="L4488" s="350"/>
      <c r="M4488" s="473"/>
      <c r="N4488" s="472">
        <f t="shared" ref="N4488:N4489" si="1688">SUM(L4488:M4488)</f>
        <v>0</v>
      </c>
      <c r="O4488" s="268">
        <f t="shared" ref="O4488:O4489" si="1689">SUM(P4488:Z4488)</f>
        <v>250</v>
      </c>
      <c r="P4488" s="239"/>
      <c r="Q4488" s="239"/>
      <c r="R4488" s="239"/>
      <c r="S4488" s="239"/>
      <c r="T4488" s="239"/>
      <c r="U4488" s="240">
        <f>950-700</f>
        <v>250</v>
      </c>
      <c r="V4488" s="240"/>
      <c r="W4488" s="240"/>
      <c r="X4488" s="278"/>
      <c r="Y4488" s="239"/>
      <c r="Z4488" s="237"/>
      <c r="AA4488" s="279"/>
      <c r="AB4488" s="238" t="s">
        <v>27956</v>
      </c>
      <c r="AC4488" s="196"/>
      <c r="AD4488" s="196"/>
      <c r="AE4488" s="196"/>
    </row>
    <row r="4489" spans="1:33">
      <c r="A4489" s="20" t="s">
        <v>2934</v>
      </c>
      <c r="B4489" s="150"/>
      <c r="C4489" s="21" t="s">
        <v>857</v>
      </c>
      <c r="D4489" s="109" t="s">
        <v>15161</v>
      </c>
      <c r="E4489" s="109"/>
      <c r="F4489" s="391" t="s">
        <v>16920</v>
      </c>
      <c r="G4489" s="23"/>
      <c r="H4489" s="23"/>
      <c r="I4489" s="23"/>
      <c r="J4489" s="23"/>
      <c r="K4489" s="23"/>
      <c r="L4489" s="350"/>
      <c r="M4489" s="473"/>
      <c r="N4489" s="472">
        <f t="shared" si="1688"/>
        <v>0</v>
      </c>
      <c r="O4489" s="268">
        <f t="shared" si="1689"/>
        <v>0</v>
      </c>
      <c r="P4489" s="239"/>
      <c r="Q4489" s="239"/>
      <c r="R4489" s="239"/>
      <c r="S4489" s="239"/>
      <c r="T4489" s="239"/>
      <c r="U4489" s="240"/>
      <c r="V4489" s="240"/>
      <c r="W4489" s="240"/>
      <c r="X4489" s="278"/>
      <c r="Y4489" s="239"/>
      <c r="Z4489" s="237"/>
      <c r="AA4489" s="279"/>
      <c r="AB4489" s="238"/>
      <c r="AC4489" s="196">
        <f t="shared" si="1507"/>
        <v>0</v>
      </c>
      <c r="AD4489" s="196">
        <f t="shared" si="1508"/>
        <v>0</v>
      </c>
      <c r="AE4489" s="196">
        <f t="shared" si="1509"/>
        <v>0</v>
      </c>
      <c r="AF4489" s="2">
        <f t="shared" si="1510"/>
        <v>0</v>
      </c>
      <c r="AG4489" s="2">
        <f t="shared" si="1511"/>
        <v>0</v>
      </c>
    </row>
    <row r="4490" spans="1:33">
      <c r="A4490" s="20" t="s">
        <v>2935</v>
      </c>
      <c r="B4490" s="150"/>
      <c r="C4490" s="21" t="s">
        <v>858</v>
      </c>
      <c r="D4490" s="109" t="s">
        <v>16073</v>
      </c>
      <c r="E4490" s="109"/>
      <c r="F4490" s="391" t="s">
        <v>16921</v>
      </c>
      <c r="G4490" s="23" t="s">
        <v>16141</v>
      </c>
      <c r="H4490" s="23" t="s">
        <v>16291</v>
      </c>
      <c r="I4490" s="23"/>
      <c r="J4490" s="23"/>
      <c r="K4490" s="23"/>
      <c r="L4490" s="375" t="s">
        <v>7787</v>
      </c>
      <c r="M4490" s="473"/>
      <c r="N4490" s="472">
        <f t="shared" si="1546"/>
        <v>0</v>
      </c>
      <c r="O4490" s="268">
        <f t="shared" si="1058"/>
        <v>0</v>
      </c>
      <c r="P4490" s="239"/>
      <c r="Q4490" s="239"/>
      <c r="R4490" s="239"/>
      <c r="S4490" s="239"/>
      <c r="T4490" s="239"/>
      <c r="U4490" s="240"/>
      <c r="V4490" s="240"/>
      <c r="W4490" s="240"/>
      <c r="X4490" s="278"/>
      <c r="Y4490" s="239"/>
      <c r="Z4490" s="237"/>
      <c r="AA4490" s="279"/>
      <c r="AB4490" s="238"/>
      <c r="AC4490" s="196">
        <f t="shared" si="1507"/>
        <v>0</v>
      </c>
      <c r="AD4490" s="196">
        <f t="shared" si="1508"/>
        <v>0</v>
      </c>
      <c r="AE4490" s="196">
        <f t="shared" si="1509"/>
        <v>0</v>
      </c>
      <c r="AF4490" s="2">
        <f t="shared" si="1510"/>
        <v>0</v>
      </c>
      <c r="AG4490" s="2">
        <f t="shared" si="1511"/>
        <v>0</v>
      </c>
    </row>
    <row r="4491" spans="1:33">
      <c r="A4491" s="20" t="s">
        <v>2937</v>
      </c>
      <c r="B4491" s="150"/>
      <c r="C4491" s="21" t="s">
        <v>858</v>
      </c>
      <c r="D4491" s="109" t="s">
        <v>15161</v>
      </c>
      <c r="E4491" s="109"/>
      <c r="F4491" s="391" t="s">
        <v>16921</v>
      </c>
      <c r="G4491" s="23" t="s">
        <v>16221</v>
      </c>
      <c r="H4491" s="23"/>
      <c r="I4491" s="23"/>
      <c r="J4491" s="23"/>
      <c r="K4491" s="23"/>
      <c r="L4491" s="350"/>
      <c r="M4491" s="473"/>
      <c r="N4491" s="472">
        <f t="shared" si="1546"/>
        <v>0</v>
      </c>
      <c r="O4491" s="268">
        <f t="shared" si="1058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7"/>
      <c r="Z4491" s="237"/>
      <c r="AA4491" s="285"/>
      <c r="AB4491" s="238"/>
      <c r="AC4491" s="196">
        <f t="shared" si="1507"/>
        <v>0</v>
      </c>
      <c r="AD4491" s="196">
        <f t="shared" si="1508"/>
        <v>0</v>
      </c>
      <c r="AE4491" s="196">
        <f t="shared" si="1509"/>
        <v>0</v>
      </c>
      <c r="AF4491" s="2">
        <f t="shared" si="1510"/>
        <v>0</v>
      </c>
      <c r="AG4491" s="2">
        <f t="shared" si="1511"/>
        <v>0</v>
      </c>
    </row>
    <row r="4492" spans="1:33">
      <c r="A4492" s="20" t="s">
        <v>2938</v>
      </c>
      <c r="B4492" s="151" t="s">
        <v>16922</v>
      </c>
      <c r="C4492" s="21" t="s">
        <v>858</v>
      </c>
      <c r="D4492" s="109" t="s">
        <v>15161</v>
      </c>
      <c r="E4492" s="109" t="s">
        <v>24178</v>
      </c>
      <c r="F4492" s="391" t="s">
        <v>16921</v>
      </c>
      <c r="G4492" s="23" t="s">
        <v>17717</v>
      </c>
      <c r="H4492" s="23" t="s">
        <v>16588</v>
      </c>
      <c r="I4492" s="23" t="s">
        <v>24051</v>
      </c>
      <c r="J4492" s="23"/>
      <c r="K4492" s="23"/>
      <c r="L4492" s="375"/>
      <c r="M4492" s="474" t="s">
        <v>7787</v>
      </c>
      <c r="N4492" s="472">
        <f t="shared" si="1546"/>
        <v>0</v>
      </c>
      <c r="O4492" s="268">
        <f t="shared" si="1058"/>
        <v>0</v>
      </c>
      <c r="P4492" s="239"/>
      <c r="Q4492" s="239"/>
      <c r="R4492" s="239"/>
      <c r="S4492" s="239"/>
      <c r="T4492" s="239"/>
      <c r="U4492" s="240"/>
      <c r="V4492" s="240"/>
      <c r="W4492" s="240"/>
      <c r="X4492" s="278"/>
      <c r="Y4492" s="237"/>
      <c r="Z4492" s="237"/>
      <c r="AA4492" s="279"/>
      <c r="AB4492" s="238"/>
      <c r="AC4492" s="196">
        <f t="shared" si="1507"/>
        <v>0</v>
      </c>
      <c r="AD4492" s="196">
        <f t="shared" si="1508"/>
        <v>0</v>
      </c>
      <c r="AE4492" s="196">
        <f t="shared" si="1509"/>
        <v>0</v>
      </c>
      <c r="AF4492" s="2">
        <f t="shared" si="1510"/>
        <v>0</v>
      </c>
      <c r="AG4492" s="2">
        <f t="shared" si="1511"/>
        <v>0</v>
      </c>
    </row>
    <row r="4493" spans="1:33">
      <c r="A4493" s="20" t="s">
        <v>2936</v>
      </c>
      <c r="B4493" s="161"/>
      <c r="C4493" s="21" t="s">
        <v>858</v>
      </c>
      <c r="D4493" s="109" t="s">
        <v>15167</v>
      </c>
      <c r="E4493" s="109"/>
      <c r="F4493" s="391" t="s">
        <v>16921</v>
      </c>
      <c r="G4493" s="23" t="s">
        <v>16285</v>
      </c>
      <c r="H4493" s="23" t="s">
        <v>16141</v>
      </c>
      <c r="I4493" s="23" t="s">
        <v>15621</v>
      </c>
      <c r="J4493" s="23"/>
      <c r="K4493" s="23"/>
      <c r="L4493" s="375"/>
      <c r="M4493" s="473"/>
      <c r="N4493" s="472">
        <f t="shared" si="1057"/>
        <v>0</v>
      </c>
      <c r="O4493" s="268">
        <f t="shared" si="1058"/>
        <v>0</v>
      </c>
      <c r="P4493" s="239"/>
      <c r="Q4493" s="239"/>
      <c r="R4493" s="239"/>
      <c r="S4493" s="239"/>
      <c r="T4493" s="239"/>
      <c r="U4493" s="240"/>
      <c r="V4493" s="240"/>
      <c r="W4493" s="240"/>
      <c r="X4493" s="278"/>
      <c r="Y4493" s="237"/>
      <c r="Z4493" s="237"/>
      <c r="AA4493" s="239"/>
      <c r="AB4493" s="238"/>
      <c r="AC4493" s="196">
        <f t="shared" si="1507"/>
        <v>0</v>
      </c>
      <c r="AD4493" s="196">
        <f t="shared" si="1508"/>
        <v>0</v>
      </c>
      <c r="AE4493" s="196">
        <f t="shared" si="1509"/>
        <v>0</v>
      </c>
      <c r="AF4493" s="2">
        <f t="shared" si="1510"/>
        <v>0</v>
      </c>
      <c r="AG4493" s="2">
        <f t="shared" si="1511"/>
        <v>0</v>
      </c>
    </row>
    <row r="4494" spans="1:33">
      <c r="A4494" s="20" t="s">
        <v>2939</v>
      </c>
      <c r="B4494" s="161"/>
      <c r="C4494" s="21" t="s">
        <v>701</v>
      </c>
      <c r="D4494" s="109" t="s">
        <v>16819</v>
      </c>
      <c r="E4494" s="109" t="s">
        <v>15965</v>
      </c>
      <c r="F4494" s="391" t="s">
        <v>16801</v>
      </c>
      <c r="G4494" s="23"/>
      <c r="H4494" s="23"/>
      <c r="I4494" s="23"/>
      <c r="J4494" s="23"/>
      <c r="K4494" s="23"/>
      <c r="L4494" s="350"/>
      <c r="M4494" s="473"/>
      <c r="N4494" s="472">
        <f t="shared" si="1057"/>
        <v>0</v>
      </c>
      <c r="O4494" s="268">
        <f t="shared" si="1058"/>
        <v>0</v>
      </c>
      <c r="P4494" s="239"/>
      <c r="Q4494" s="239"/>
      <c r="R4494" s="239"/>
      <c r="S4494" s="239"/>
      <c r="T4494" s="239"/>
      <c r="U4494" s="240"/>
      <c r="V4494" s="240"/>
      <c r="W4494" s="240"/>
      <c r="X4494" s="278"/>
      <c r="Y4494" s="237"/>
      <c r="Z4494" s="237"/>
      <c r="AA4494" s="279"/>
      <c r="AB4494" s="238"/>
      <c r="AC4494" s="196">
        <f t="shared" si="1507"/>
        <v>0</v>
      </c>
      <c r="AD4494" s="196">
        <f t="shared" si="1508"/>
        <v>0</v>
      </c>
      <c r="AE4494" s="196">
        <f t="shared" si="1509"/>
        <v>0</v>
      </c>
      <c r="AF4494" s="2">
        <f t="shared" si="1510"/>
        <v>0</v>
      </c>
      <c r="AG4494" s="2">
        <f t="shared" si="1511"/>
        <v>0</v>
      </c>
    </row>
    <row r="4495" spans="1:33">
      <c r="A4495" s="20" t="s">
        <v>2939</v>
      </c>
      <c r="B4495" s="161"/>
      <c r="C4495" s="21" t="s">
        <v>701</v>
      </c>
      <c r="D4495" s="109" t="s">
        <v>15161</v>
      </c>
      <c r="E4495" s="109"/>
      <c r="F4495" s="391" t="s">
        <v>16801</v>
      </c>
      <c r="G4495" s="23"/>
      <c r="H4495" s="23"/>
      <c r="I4495" s="23"/>
      <c r="J4495" s="23"/>
      <c r="K4495" s="23"/>
      <c r="L4495" s="350"/>
      <c r="M4495" s="473"/>
      <c r="N4495" s="472">
        <f t="shared" si="1057"/>
        <v>0</v>
      </c>
      <c r="O4495" s="268">
        <f t="shared" si="1058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507"/>
        <v>0</v>
      </c>
      <c r="AD4495" s="196">
        <f t="shared" si="1508"/>
        <v>0</v>
      </c>
      <c r="AE4495" s="196">
        <f t="shared" si="1509"/>
        <v>0</v>
      </c>
      <c r="AF4495" s="2">
        <f t="shared" si="1510"/>
        <v>0</v>
      </c>
      <c r="AG4495" s="2">
        <f t="shared" si="1511"/>
        <v>0</v>
      </c>
    </row>
    <row r="4496" spans="1:33">
      <c r="A4496" s="20" t="s">
        <v>2940</v>
      </c>
      <c r="B4496" s="161"/>
      <c r="C4496" s="21" t="s">
        <v>701</v>
      </c>
      <c r="D4496" s="109" t="s">
        <v>15167</v>
      </c>
      <c r="E4496" s="109"/>
      <c r="F4496" s="391" t="s">
        <v>16801</v>
      </c>
      <c r="G4496" s="23" t="s">
        <v>15802</v>
      </c>
      <c r="H4496" s="23"/>
      <c r="I4496" s="23"/>
      <c r="J4496" s="23"/>
      <c r="K4496" s="23"/>
      <c r="L4496" s="350"/>
      <c r="M4496" s="473"/>
      <c r="N4496" s="472">
        <f t="shared" si="1057"/>
        <v>0</v>
      </c>
      <c r="O4496" s="268">
        <f t="shared" si="1058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9"/>
      <c r="Z4496" s="237"/>
      <c r="AA4496" s="279"/>
      <c r="AB4496" s="238"/>
      <c r="AC4496" s="196">
        <f t="shared" si="1507"/>
        <v>0</v>
      </c>
      <c r="AD4496" s="196">
        <f t="shared" si="1508"/>
        <v>0</v>
      </c>
      <c r="AE4496" s="196">
        <f t="shared" si="1509"/>
        <v>0</v>
      </c>
      <c r="AF4496" s="2">
        <f t="shared" si="1510"/>
        <v>0</v>
      </c>
      <c r="AG4496" s="2">
        <f t="shared" si="1511"/>
        <v>0</v>
      </c>
    </row>
    <row r="4497" spans="1:33">
      <c r="A4497" s="20" t="s">
        <v>2942</v>
      </c>
      <c r="B4497" s="150"/>
      <c r="C4497" s="21" t="s">
        <v>701</v>
      </c>
      <c r="D4497" s="109" t="s">
        <v>16805</v>
      </c>
      <c r="E4497" s="109"/>
      <c r="F4497" s="391" t="s">
        <v>16801</v>
      </c>
      <c r="G4497" s="23" t="s">
        <v>16070</v>
      </c>
      <c r="H4497" s="23" t="s">
        <v>16923</v>
      </c>
      <c r="I4497" s="23" t="s">
        <v>13350</v>
      </c>
      <c r="J4497" s="23" t="s">
        <v>24050</v>
      </c>
      <c r="K4497" s="23" t="s">
        <v>26614</v>
      </c>
      <c r="L4497" s="375" t="s">
        <v>27470</v>
      </c>
      <c r="M4497" s="473" t="s">
        <v>7787</v>
      </c>
      <c r="N4497" s="472">
        <f t="shared" si="1057"/>
        <v>0</v>
      </c>
      <c r="O4497" s="268">
        <f t="shared" si="1058"/>
        <v>100</v>
      </c>
      <c r="P4497" s="239"/>
      <c r="Q4497" s="239"/>
      <c r="R4497" s="239"/>
      <c r="S4497" s="239"/>
      <c r="T4497" s="239">
        <f>300-100-100</f>
        <v>100</v>
      </c>
      <c r="U4497" s="240"/>
      <c r="V4497" s="240"/>
      <c r="W4497" s="240"/>
      <c r="X4497" s="278"/>
      <c r="Y4497" s="239"/>
      <c r="Z4497" s="237"/>
      <c r="AA4497" s="279"/>
      <c r="AB4497" s="238" t="s">
        <v>27464</v>
      </c>
      <c r="AC4497" s="196">
        <f t="shared" si="1507"/>
        <v>100</v>
      </c>
      <c r="AD4497" s="196">
        <f t="shared" si="1508"/>
        <v>100</v>
      </c>
      <c r="AE4497" s="196">
        <f t="shared" si="1509"/>
        <v>0</v>
      </c>
      <c r="AF4497" s="2">
        <f t="shared" si="1510"/>
        <v>100</v>
      </c>
      <c r="AG4497" s="2">
        <f t="shared" si="1511"/>
        <v>0</v>
      </c>
    </row>
    <row r="4498" spans="1:33">
      <c r="A4498" s="20" t="s">
        <v>2941</v>
      </c>
      <c r="B4498" s="150"/>
      <c r="C4498" s="21" t="s">
        <v>16924</v>
      </c>
      <c r="D4498" s="109" t="s">
        <v>16453</v>
      </c>
      <c r="E4498" s="109"/>
      <c r="F4498" s="391" t="s">
        <v>16801</v>
      </c>
      <c r="G4498" s="23"/>
      <c r="H4498" s="23"/>
      <c r="I4498" s="23"/>
      <c r="J4498" s="23"/>
      <c r="K4498" s="23"/>
      <c r="L4498" s="350"/>
      <c r="M4498" s="473"/>
      <c r="N4498" s="472">
        <f t="shared" si="1057"/>
        <v>0</v>
      </c>
      <c r="O4498" s="268">
        <f t="shared" si="1058"/>
        <v>0</v>
      </c>
      <c r="P4498" s="239"/>
      <c r="Q4498" s="239"/>
      <c r="R4498" s="239"/>
      <c r="S4498" s="239"/>
      <c r="T4498" s="239"/>
      <c r="U4498" s="240"/>
      <c r="V4498" s="240"/>
      <c r="W4498" s="240"/>
      <c r="X4498" s="278"/>
      <c r="Y4498" s="237"/>
      <c r="Z4498" s="237"/>
      <c r="AA4498" s="279"/>
      <c r="AB4498" s="238"/>
      <c r="AC4498" s="196">
        <f t="shared" si="1507"/>
        <v>0</v>
      </c>
      <c r="AD4498" s="196">
        <f t="shared" si="1508"/>
        <v>0</v>
      </c>
      <c r="AE4498" s="196">
        <f t="shared" si="1509"/>
        <v>0</v>
      </c>
      <c r="AF4498" s="2">
        <f t="shared" si="1510"/>
        <v>0</v>
      </c>
      <c r="AG4498" s="2">
        <f t="shared" si="1511"/>
        <v>0</v>
      </c>
    </row>
    <row r="4499" spans="1:33">
      <c r="A4499" s="20" t="s">
        <v>2943</v>
      </c>
      <c r="B4499" s="150"/>
      <c r="C4499" s="21" t="s">
        <v>16924</v>
      </c>
      <c r="D4499" s="109" t="s">
        <v>16832</v>
      </c>
      <c r="E4499" s="109"/>
      <c r="F4499" s="391" t="s">
        <v>16801</v>
      </c>
      <c r="G4499" s="23"/>
      <c r="H4499" s="23"/>
      <c r="I4499" s="23"/>
      <c r="J4499" s="23"/>
      <c r="K4499" s="23"/>
      <c r="L4499" s="350"/>
      <c r="M4499" s="473"/>
      <c r="N4499" s="472">
        <f t="shared" si="1057"/>
        <v>0</v>
      </c>
      <c r="O4499" s="268">
        <f t="shared" si="1058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507"/>
        <v>0</v>
      </c>
      <c r="AD4499" s="196">
        <f t="shared" si="1508"/>
        <v>0</v>
      </c>
      <c r="AE4499" s="196">
        <f t="shared" si="1509"/>
        <v>0</v>
      </c>
      <c r="AF4499" s="2">
        <f t="shared" si="1510"/>
        <v>0</v>
      </c>
      <c r="AG4499" s="2">
        <f t="shared" si="1511"/>
        <v>0</v>
      </c>
    </row>
    <row r="4500" spans="1:33">
      <c r="A4500" s="20" t="s">
        <v>2851</v>
      </c>
      <c r="B4500" s="150"/>
      <c r="C4500" s="21" t="s">
        <v>845</v>
      </c>
      <c r="D4500" s="109" t="s">
        <v>15161</v>
      </c>
      <c r="E4500" s="109"/>
      <c r="F4500" s="391" t="s">
        <v>16925</v>
      </c>
      <c r="G4500" s="23" t="s">
        <v>16448</v>
      </c>
      <c r="H4500" s="23" t="s">
        <v>13350</v>
      </c>
      <c r="I4500" s="23"/>
      <c r="J4500" s="23"/>
      <c r="K4500" s="23"/>
      <c r="L4500" s="375" t="s">
        <v>7787</v>
      </c>
      <c r="M4500" s="351"/>
      <c r="N4500" s="267">
        <f t="shared" si="1057"/>
        <v>0</v>
      </c>
      <c r="O4500" s="268">
        <f t="shared" si="1058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507"/>
        <v>0</v>
      </c>
      <c r="AD4500" s="196">
        <f t="shared" si="1508"/>
        <v>0</v>
      </c>
      <c r="AE4500" s="196">
        <f t="shared" si="1509"/>
        <v>0</v>
      </c>
      <c r="AF4500" s="2">
        <f t="shared" si="1510"/>
        <v>0</v>
      </c>
      <c r="AG4500" s="2">
        <f t="shared" si="1511"/>
        <v>0</v>
      </c>
    </row>
    <row r="4501" spans="1:33">
      <c r="A4501" s="20" t="s">
        <v>2852</v>
      </c>
      <c r="B4501" s="150"/>
      <c r="C4501" s="21" t="s">
        <v>845</v>
      </c>
      <c r="D4501" s="109" t="s">
        <v>15167</v>
      </c>
      <c r="E4501" s="109"/>
      <c r="F4501" s="391" t="s">
        <v>16925</v>
      </c>
      <c r="G4501" s="23"/>
      <c r="H4501" s="23"/>
      <c r="I4501" s="23"/>
      <c r="J4501" s="23"/>
      <c r="K4501" s="23"/>
      <c r="L4501" s="350"/>
      <c r="M4501" s="351"/>
      <c r="N4501" s="267">
        <f t="shared" si="1057"/>
        <v>0</v>
      </c>
      <c r="O4501" s="268">
        <f t="shared" si="1058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507"/>
        <v>0</v>
      </c>
      <c r="AD4501" s="196">
        <f t="shared" si="1508"/>
        <v>0</v>
      </c>
      <c r="AE4501" s="196">
        <f t="shared" si="1509"/>
        <v>0</v>
      </c>
      <c r="AF4501" s="2">
        <f t="shared" si="1510"/>
        <v>0</v>
      </c>
      <c r="AG4501" s="2">
        <f t="shared" si="1511"/>
        <v>0</v>
      </c>
    </row>
    <row r="4502" spans="1:33">
      <c r="A4502" s="20" t="s">
        <v>2853</v>
      </c>
      <c r="B4502" s="161"/>
      <c r="C4502" s="21" t="s">
        <v>16926</v>
      </c>
      <c r="D4502" s="109" t="s">
        <v>16795</v>
      </c>
      <c r="E4502" s="109"/>
      <c r="F4502" s="391" t="s">
        <v>16925</v>
      </c>
      <c r="G4502" s="23" t="s">
        <v>16141</v>
      </c>
      <c r="H4502" s="23"/>
      <c r="I4502" s="23"/>
      <c r="J4502" s="23"/>
      <c r="K4502" s="23"/>
      <c r="L4502" s="350"/>
      <c r="M4502" s="351"/>
      <c r="N4502" s="267">
        <f t="shared" si="1057"/>
        <v>0</v>
      </c>
      <c r="O4502" s="268">
        <f t="shared" si="1058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/>
      <c r="Z4502" s="237"/>
      <c r="AA4502" s="279"/>
      <c r="AB4502" s="238"/>
      <c r="AC4502" s="196">
        <f t="shared" si="1507"/>
        <v>0</v>
      </c>
      <c r="AD4502" s="196">
        <f t="shared" si="1508"/>
        <v>0</v>
      </c>
      <c r="AE4502" s="196">
        <f t="shared" si="1509"/>
        <v>0</v>
      </c>
      <c r="AF4502" s="2">
        <f t="shared" si="1510"/>
        <v>0</v>
      </c>
      <c r="AG4502" s="2">
        <f t="shared" si="1511"/>
        <v>0</v>
      </c>
    </row>
    <row r="4503" spans="1:33">
      <c r="A4503" s="20" t="s">
        <v>2854</v>
      </c>
      <c r="B4503" s="150"/>
      <c r="C4503" s="21" t="s">
        <v>846</v>
      </c>
      <c r="D4503" s="109" t="s">
        <v>16251</v>
      </c>
      <c r="E4503" s="109"/>
      <c r="F4503" s="391" t="s">
        <v>16927</v>
      </c>
      <c r="G4503" s="23"/>
      <c r="H4503" s="23"/>
      <c r="I4503" s="23"/>
      <c r="J4503" s="23"/>
      <c r="K4503" s="23"/>
      <c r="L4503" s="350"/>
      <c r="M4503" s="351"/>
      <c r="N4503" s="267">
        <f t="shared" si="1057"/>
        <v>0</v>
      </c>
      <c r="O4503" s="268">
        <f t="shared" si="1058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/>
      <c r="Z4503" s="237"/>
      <c r="AA4503" s="279"/>
      <c r="AB4503" s="238"/>
      <c r="AC4503" s="196">
        <f t="shared" si="1507"/>
        <v>0</v>
      </c>
      <c r="AD4503" s="196">
        <f t="shared" si="1508"/>
        <v>0</v>
      </c>
      <c r="AE4503" s="196">
        <f t="shared" si="1509"/>
        <v>0</v>
      </c>
      <c r="AF4503" s="2">
        <f t="shared" si="1510"/>
        <v>0</v>
      </c>
      <c r="AG4503" s="2">
        <f t="shared" si="1511"/>
        <v>0</v>
      </c>
    </row>
    <row r="4504" spans="1:33">
      <c r="A4504" s="20" t="s">
        <v>2855</v>
      </c>
      <c r="B4504" s="150"/>
      <c r="C4504" s="21" t="s">
        <v>846</v>
      </c>
      <c r="D4504" s="109" t="s">
        <v>16851</v>
      </c>
      <c r="E4504" s="109"/>
      <c r="F4504" s="391" t="s">
        <v>16927</v>
      </c>
      <c r="G4504" s="23"/>
      <c r="H4504" s="23"/>
      <c r="I4504" s="23"/>
      <c r="J4504" s="23"/>
      <c r="K4504" s="23"/>
      <c r="L4504" s="350"/>
      <c r="M4504" s="351"/>
      <c r="N4504" s="267">
        <f t="shared" si="1057"/>
        <v>0</v>
      </c>
      <c r="O4504" s="268">
        <f t="shared" si="1058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507"/>
        <v>0</v>
      </c>
      <c r="AD4504" s="196">
        <f t="shared" si="1508"/>
        <v>0</v>
      </c>
      <c r="AE4504" s="196">
        <f t="shared" si="1509"/>
        <v>0</v>
      </c>
      <c r="AF4504" s="2">
        <f t="shared" si="1510"/>
        <v>0</v>
      </c>
      <c r="AG4504" s="2">
        <f t="shared" si="1511"/>
        <v>0</v>
      </c>
    </row>
    <row r="4505" spans="1:33">
      <c r="A4505" s="20" t="s">
        <v>2856</v>
      </c>
      <c r="B4505" s="150"/>
      <c r="C4505" s="21" t="s">
        <v>846</v>
      </c>
      <c r="D4505" s="109" t="s">
        <v>15161</v>
      </c>
      <c r="E4505" s="109"/>
      <c r="F4505" s="391" t="s">
        <v>16927</v>
      </c>
      <c r="G4505" s="23"/>
      <c r="H4505" s="23"/>
      <c r="I4505" s="23"/>
      <c r="J4505" s="23"/>
      <c r="K4505" s="23"/>
      <c r="L4505" s="350"/>
      <c r="M4505" s="351"/>
      <c r="N4505" s="267">
        <f t="shared" si="1057"/>
        <v>0</v>
      </c>
      <c r="O4505" s="268">
        <f t="shared" si="1058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/>
      <c r="Z4505" s="237"/>
      <c r="AA4505" s="279"/>
      <c r="AB4505" s="238"/>
      <c r="AC4505" s="196">
        <f t="shared" si="1507"/>
        <v>0</v>
      </c>
      <c r="AD4505" s="196">
        <f t="shared" si="1508"/>
        <v>0</v>
      </c>
      <c r="AE4505" s="196">
        <f t="shared" si="1509"/>
        <v>0</v>
      </c>
      <c r="AF4505" s="2">
        <f t="shared" si="1510"/>
        <v>0</v>
      </c>
      <c r="AG4505" s="2">
        <f t="shared" si="1511"/>
        <v>0</v>
      </c>
    </row>
    <row r="4506" spans="1:33">
      <c r="A4506" s="20" t="s">
        <v>2857</v>
      </c>
      <c r="B4506" s="150"/>
      <c r="C4506" s="21" t="s">
        <v>846</v>
      </c>
      <c r="D4506" s="109" t="s">
        <v>15167</v>
      </c>
      <c r="E4506" s="109"/>
      <c r="F4506" s="391" t="s">
        <v>16927</v>
      </c>
      <c r="G4506" s="23"/>
      <c r="H4506" s="23"/>
      <c r="I4506" s="23"/>
      <c r="J4506" s="23"/>
      <c r="K4506" s="23"/>
      <c r="L4506" s="375" t="s">
        <v>7787</v>
      </c>
      <c r="M4506" s="351"/>
      <c r="N4506" s="267">
        <f t="shared" si="1057"/>
        <v>0</v>
      </c>
      <c r="O4506" s="268">
        <f t="shared" si="1058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/>
      <c r="Z4506" s="237"/>
      <c r="AA4506" s="279"/>
      <c r="AB4506" s="238"/>
      <c r="AC4506" s="196">
        <f t="shared" si="1507"/>
        <v>0</v>
      </c>
      <c r="AD4506" s="196">
        <f t="shared" si="1508"/>
        <v>0</v>
      </c>
      <c r="AE4506" s="196">
        <f t="shared" si="1509"/>
        <v>0</v>
      </c>
      <c r="AF4506" s="2">
        <f t="shared" si="1510"/>
        <v>0</v>
      </c>
      <c r="AG4506" s="2">
        <f t="shared" si="1511"/>
        <v>0</v>
      </c>
    </row>
    <row r="4507" spans="1:33">
      <c r="A4507" s="20" t="s">
        <v>2858</v>
      </c>
      <c r="B4507" s="150"/>
      <c r="C4507" s="21" t="s">
        <v>846</v>
      </c>
      <c r="D4507" s="109" t="s">
        <v>16363</v>
      </c>
      <c r="E4507" s="109"/>
      <c r="F4507" s="391" t="s">
        <v>16927</v>
      </c>
      <c r="G4507" s="23"/>
      <c r="H4507" s="23"/>
      <c r="I4507" s="23"/>
      <c r="J4507" s="23"/>
      <c r="K4507" s="23"/>
      <c r="L4507" s="350"/>
      <c r="M4507" s="351"/>
      <c r="N4507" s="267">
        <f t="shared" si="1057"/>
        <v>0</v>
      </c>
      <c r="O4507" s="268">
        <f t="shared" si="1058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/>
      <c r="Z4507" s="237"/>
      <c r="AA4507" s="279"/>
      <c r="AB4507" s="238"/>
      <c r="AC4507" s="196">
        <f t="shared" si="1507"/>
        <v>0</v>
      </c>
      <c r="AD4507" s="196">
        <f t="shared" si="1508"/>
        <v>0</v>
      </c>
      <c r="AE4507" s="196">
        <f t="shared" si="1509"/>
        <v>0</v>
      </c>
      <c r="AF4507" s="2">
        <f t="shared" si="1510"/>
        <v>0</v>
      </c>
      <c r="AG4507" s="2">
        <f t="shared" si="1511"/>
        <v>0</v>
      </c>
    </row>
    <row r="4508" spans="1:33">
      <c r="A4508" s="20" t="s">
        <v>2859</v>
      </c>
      <c r="B4508" s="150"/>
      <c r="C4508" s="21" t="s">
        <v>16928</v>
      </c>
      <c r="D4508" s="109" t="s">
        <v>16795</v>
      </c>
      <c r="E4508" s="109"/>
      <c r="F4508" s="391" t="s">
        <v>16927</v>
      </c>
      <c r="G4508" s="23"/>
      <c r="H4508" s="23"/>
      <c r="I4508" s="23"/>
      <c r="J4508" s="23"/>
      <c r="K4508" s="23"/>
      <c r="L4508" s="350"/>
      <c r="M4508" s="351"/>
      <c r="N4508" s="267">
        <f t="shared" si="1057"/>
        <v>0</v>
      </c>
      <c r="O4508" s="268">
        <f t="shared" si="1058"/>
        <v>0</v>
      </c>
      <c r="P4508" s="239"/>
      <c r="Q4508" s="239"/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507"/>
        <v>0</v>
      </c>
      <c r="AD4508" s="196">
        <f t="shared" si="1508"/>
        <v>0</v>
      </c>
      <c r="AE4508" s="196">
        <f t="shared" si="1509"/>
        <v>0</v>
      </c>
      <c r="AF4508" s="2">
        <f t="shared" si="1510"/>
        <v>0</v>
      </c>
      <c r="AG4508" s="2">
        <f t="shared" si="1511"/>
        <v>0</v>
      </c>
    </row>
    <row r="4509" spans="1:33">
      <c r="A4509" s="20" t="s">
        <v>2861</v>
      </c>
      <c r="B4509" s="150"/>
      <c r="C4509" s="21" t="s">
        <v>847</v>
      </c>
      <c r="D4509" s="109" t="s">
        <v>16376</v>
      </c>
      <c r="E4509" s="109" t="s">
        <v>15965</v>
      </c>
      <c r="F4509" s="391" t="s">
        <v>16929</v>
      </c>
      <c r="G4509" s="23"/>
      <c r="H4509" s="23"/>
      <c r="I4509" s="23"/>
      <c r="J4509" s="23"/>
      <c r="K4509" s="23"/>
      <c r="L4509" s="350"/>
      <c r="M4509" s="351"/>
      <c r="N4509" s="267">
        <f t="shared" si="1057"/>
        <v>0</v>
      </c>
      <c r="O4509" s="268">
        <f t="shared" si="1058"/>
        <v>0</v>
      </c>
      <c r="P4509" s="239"/>
      <c r="Q4509" s="239"/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507"/>
        <v>0</v>
      </c>
      <c r="AD4509" s="196">
        <f t="shared" si="1508"/>
        <v>0</v>
      </c>
      <c r="AE4509" s="196">
        <f t="shared" si="1509"/>
        <v>0</v>
      </c>
      <c r="AF4509" s="2">
        <f t="shared" si="1510"/>
        <v>0</v>
      </c>
      <c r="AG4509" s="2">
        <f t="shared" si="1511"/>
        <v>0</v>
      </c>
    </row>
    <row r="4510" spans="1:33">
      <c r="A4510" s="20" t="s">
        <v>2860</v>
      </c>
      <c r="B4510" s="150"/>
      <c r="C4510" s="21" t="s">
        <v>847</v>
      </c>
      <c r="D4510" s="109" t="s">
        <v>15167</v>
      </c>
      <c r="E4510" s="109"/>
      <c r="F4510" s="391" t="s">
        <v>16929</v>
      </c>
      <c r="G4510" s="23" t="s">
        <v>15802</v>
      </c>
      <c r="H4510" s="23"/>
      <c r="I4510" s="23"/>
      <c r="J4510" s="23"/>
      <c r="K4510" s="23"/>
      <c r="L4510" s="375" t="s">
        <v>7787</v>
      </c>
      <c r="M4510" s="351" t="s">
        <v>7787</v>
      </c>
      <c r="N4510" s="267">
        <f t="shared" si="1057"/>
        <v>0</v>
      </c>
      <c r="O4510" s="268">
        <f t="shared" si="1058"/>
        <v>0</v>
      </c>
      <c r="P4510" s="239"/>
      <c r="Q4510" s="239"/>
      <c r="R4510" s="239"/>
      <c r="S4510" s="239"/>
      <c r="T4510" s="239"/>
      <c r="U4510" s="240"/>
      <c r="V4510" s="240"/>
      <c r="W4510" s="240"/>
      <c r="X4510" s="278"/>
      <c r="Y4510" s="237">
        <v>0</v>
      </c>
      <c r="Z4510" s="237"/>
      <c r="AA4510" s="279"/>
      <c r="AB4510" s="238"/>
      <c r="AC4510" s="196">
        <f t="shared" ref="AC4510:AC4573" si="1690">SUM(P4510:AA4510)</f>
        <v>0</v>
      </c>
      <c r="AD4510" s="196">
        <f t="shared" ref="AD4510:AD4573" si="1691">SUM(P4510:AB4510)</f>
        <v>0</v>
      </c>
      <c r="AE4510" s="196">
        <f t="shared" ref="AE4510:AE4573" si="1692">SUM(AC4510-AD4510)</f>
        <v>0</v>
      </c>
      <c r="AF4510" s="2">
        <f t="shared" ref="AF4510:AF4573" si="1693">+AC4510</f>
        <v>0</v>
      </c>
      <c r="AG4510" s="2">
        <f t="shared" ref="AG4510:AG4573" si="1694">+AC4510-AF4510</f>
        <v>0</v>
      </c>
    </row>
    <row r="4511" spans="1:33">
      <c r="A4511" s="20" t="s">
        <v>2862</v>
      </c>
      <c r="B4511" s="150"/>
      <c r="C4511" s="21" t="s">
        <v>16930</v>
      </c>
      <c r="D4511" s="109" t="s">
        <v>16795</v>
      </c>
      <c r="E4511" s="109"/>
      <c r="F4511" s="391" t="s">
        <v>16929</v>
      </c>
      <c r="G4511" s="23"/>
      <c r="H4511" s="23"/>
      <c r="I4511" s="23"/>
      <c r="J4511" s="23"/>
      <c r="K4511" s="23"/>
      <c r="L4511" s="350"/>
      <c r="M4511" s="351"/>
      <c r="N4511" s="267">
        <f t="shared" si="1057"/>
        <v>0</v>
      </c>
      <c r="O4511" s="268">
        <f t="shared" si="1058"/>
        <v>0</v>
      </c>
      <c r="P4511" s="239"/>
      <c r="Q4511" s="239"/>
      <c r="R4511" s="239"/>
      <c r="S4511" s="239"/>
      <c r="T4511" s="239"/>
      <c r="U4511" s="240"/>
      <c r="V4511" s="240"/>
      <c r="W4511" s="240"/>
      <c r="X4511" s="278"/>
      <c r="Y4511" s="237"/>
      <c r="Z4511" s="237"/>
      <c r="AA4511" s="279"/>
      <c r="AB4511" s="238"/>
      <c r="AC4511" s="196">
        <f t="shared" si="1690"/>
        <v>0</v>
      </c>
      <c r="AD4511" s="196">
        <f t="shared" si="1691"/>
        <v>0</v>
      </c>
      <c r="AE4511" s="196">
        <f t="shared" si="1692"/>
        <v>0</v>
      </c>
      <c r="AF4511" s="2">
        <f t="shared" si="1693"/>
        <v>0</v>
      </c>
      <c r="AG4511" s="2">
        <f t="shared" si="1694"/>
        <v>0</v>
      </c>
    </row>
    <row r="4512" spans="1:33">
      <c r="A4512" s="20" t="s">
        <v>2947</v>
      </c>
      <c r="B4512" s="150"/>
      <c r="C4512" s="21" t="s">
        <v>4057</v>
      </c>
      <c r="D4512" s="109" t="s">
        <v>16376</v>
      </c>
      <c r="E4512" s="109" t="s">
        <v>15965</v>
      </c>
      <c r="F4512" s="391" t="s">
        <v>16931</v>
      </c>
      <c r="G4512" s="23"/>
      <c r="H4512" s="23"/>
      <c r="I4512" s="23"/>
      <c r="J4512" s="23"/>
      <c r="K4512" s="23"/>
      <c r="L4512" s="350"/>
      <c r="M4512" s="351"/>
      <c r="N4512" s="267">
        <f t="shared" si="1057"/>
        <v>0</v>
      </c>
      <c r="O4512" s="268">
        <f t="shared" si="1058"/>
        <v>0</v>
      </c>
      <c r="P4512" s="239"/>
      <c r="Q4512" s="239"/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90"/>
        <v>0</v>
      </c>
      <c r="AD4512" s="196">
        <f t="shared" si="1691"/>
        <v>0</v>
      </c>
      <c r="AE4512" s="196">
        <f t="shared" si="1692"/>
        <v>0</v>
      </c>
      <c r="AF4512" s="2">
        <f t="shared" si="1693"/>
        <v>0</v>
      </c>
      <c r="AG4512" s="2">
        <f t="shared" si="1694"/>
        <v>0</v>
      </c>
    </row>
    <row r="4513" spans="1:33">
      <c r="A4513" s="20" t="s">
        <v>2953</v>
      </c>
      <c r="B4513" s="150"/>
      <c r="C4513" s="21" t="s">
        <v>861</v>
      </c>
      <c r="D4513" s="109" t="s">
        <v>15167</v>
      </c>
      <c r="E4513" s="109"/>
      <c r="F4513" s="391" t="s">
        <v>16932</v>
      </c>
      <c r="G4513" s="23"/>
      <c r="H4513" s="23"/>
      <c r="I4513" s="23"/>
      <c r="J4513" s="23"/>
      <c r="K4513" s="23"/>
      <c r="L4513" s="350"/>
      <c r="M4513" s="351"/>
      <c r="N4513" s="267">
        <f t="shared" si="1057"/>
        <v>0</v>
      </c>
      <c r="O4513" s="268">
        <f t="shared" si="1058"/>
        <v>0</v>
      </c>
      <c r="P4513" s="239"/>
      <c r="Q4513" s="239"/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90"/>
        <v>0</v>
      </c>
      <c r="AD4513" s="196">
        <f t="shared" si="1691"/>
        <v>0</v>
      </c>
      <c r="AE4513" s="196">
        <f t="shared" si="1692"/>
        <v>0</v>
      </c>
      <c r="AF4513" s="2">
        <f t="shared" si="1693"/>
        <v>0</v>
      </c>
      <c r="AG4513" s="2">
        <f t="shared" si="1694"/>
        <v>0</v>
      </c>
    </row>
    <row r="4514" spans="1:33">
      <c r="A4514" s="20" t="s">
        <v>2954</v>
      </c>
      <c r="B4514" s="150"/>
      <c r="C4514" s="21" t="s">
        <v>667</v>
      </c>
      <c r="D4514" s="109" t="s">
        <v>15161</v>
      </c>
      <c r="E4514" s="109"/>
      <c r="F4514" s="391" t="s">
        <v>16933</v>
      </c>
      <c r="G4514" s="23"/>
      <c r="H4514" s="23"/>
      <c r="I4514" s="23"/>
      <c r="J4514" s="23"/>
      <c r="K4514" s="23"/>
      <c r="L4514" s="350"/>
      <c r="M4514" s="351"/>
      <c r="N4514" s="267">
        <f t="shared" si="1057"/>
        <v>0</v>
      </c>
      <c r="O4514" s="268">
        <f t="shared" si="1058"/>
        <v>0</v>
      </c>
      <c r="P4514" s="239"/>
      <c r="Q4514" s="239"/>
      <c r="R4514" s="239"/>
      <c r="S4514" s="239"/>
      <c r="T4514" s="239"/>
      <c r="U4514" s="240"/>
      <c r="V4514" s="240"/>
      <c r="W4514" s="240"/>
      <c r="X4514" s="278"/>
      <c r="Y4514" s="237"/>
      <c r="Z4514" s="237"/>
      <c r="AA4514" s="279"/>
      <c r="AB4514" s="238"/>
      <c r="AC4514" s="196">
        <f t="shared" si="1690"/>
        <v>0</v>
      </c>
      <c r="AD4514" s="196">
        <f t="shared" si="1691"/>
        <v>0</v>
      </c>
      <c r="AE4514" s="196">
        <f t="shared" si="1692"/>
        <v>0</v>
      </c>
      <c r="AF4514" s="2">
        <f t="shared" si="1693"/>
        <v>0</v>
      </c>
      <c r="AG4514" s="2">
        <f t="shared" si="1694"/>
        <v>0</v>
      </c>
    </row>
    <row r="4515" spans="1:33">
      <c r="A4515" s="20" t="s">
        <v>2872</v>
      </c>
      <c r="B4515" s="156" t="s">
        <v>16934</v>
      </c>
      <c r="C4515" s="21" t="s">
        <v>654</v>
      </c>
      <c r="D4515" s="109" t="s">
        <v>15161</v>
      </c>
      <c r="E4515" s="109"/>
      <c r="F4515" s="391" t="s">
        <v>16935</v>
      </c>
      <c r="G4515" s="23" t="s">
        <v>16142</v>
      </c>
      <c r="H4515" s="23"/>
      <c r="I4515" s="23"/>
      <c r="J4515" s="23"/>
      <c r="K4515" s="23"/>
      <c r="L4515" s="350"/>
      <c r="M4515" s="351"/>
      <c r="N4515" s="267">
        <f t="shared" si="1057"/>
        <v>0</v>
      </c>
      <c r="O4515" s="268">
        <f t="shared" si="1058"/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7"/>
      <c r="Z4515" s="237"/>
      <c r="AA4515" s="279"/>
      <c r="AB4515" s="238"/>
      <c r="AC4515" s="196">
        <f t="shared" si="1690"/>
        <v>0</v>
      </c>
      <c r="AD4515" s="196">
        <f t="shared" si="1691"/>
        <v>0</v>
      </c>
      <c r="AE4515" s="196">
        <f t="shared" si="1692"/>
        <v>0</v>
      </c>
      <c r="AF4515" s="2">
        <f t="shared" si="1693"/>
        <v>0</v>
      </c>
      <c r="AG4515" s="2">
        <f t="shared" si="1694"/>
        <v>0</v>
      </c>
    </row>
    <row r="4516" spans="1:33">
      <c r="A4516" s="20" t="s">
        <v>2873</v>
      </c>
      <c r="B4516" s="150"/>
      <c r="C4516" s="21" t="s">
        <v>654</v>
      </c>
      <c r="D4516" s="109" t="s">
        <v>16363</v>
      </c>
      <c r="E4516" s="109"/>
      <c r="F4516" s="391" t="s">
        <v>16935</v>
      </c>
      <c r="G4516" s="23" t="s">
        <v>13581</v>
      </c>
      <c r="H4516" s="23"/>
      <c r="I4516" s="23"/>
      <c r="J4516" s="23"/>
      <c r="K4516" s="23"/>
      <c r="L4516" s="350"/>
      <c r="M4516" s="351"/>
      <c r="N4516" s="267">
        <f t="shared" si="1057"/>
        <v>0</v>
      </c>
      <c r="O4516" s="268">
        <f t="shared" si="1058"/>
        <v>0</v>
      </c>
      <c r="P4516" s="239"/>
      <c r="Q4516" s="241" t="s">
        <v>20445</v>
      </c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90"/>
        <v>0</v>
      </c>
      <c r="AD4516" s="196">
        <f t="shared" si="1691"/>
        <v>0</v>
      </c>
      <c r="AE4516" s="196">
        <f t="shared" si="1692"/>
        <v>0</v>
      </c>
      <c r="AF4516" s="2">
        <f t="shared" si="1693"/>
        <v>0</v>
      </c>
      <c r="AG4516" s="2">
        <f t="shared" si="1694"/>
        <v>0</v>
      </c>
    </row>
    <row r="4517" spans="1:33">
      <c r="A4517" s="20" t="s">
        <v>23640</v>
      </c>
      <c r="B4517" s="150"/>
      <c r="C4517" s="21" t="s">
        <v>654</v>
      </c>
      <c r="D4517" s="109" t="s">
        <v>3101</v>
      </c>
      <c r="E4517" s="109" t="s">
        <v>19813</v>
      </c>
      <c r="F4517" s="391" t="s">
        <v>5227</v>
      </c>
      <c r="G4517" s="23" t="s">
        <v>13581</v>
      </c>
      <c r="H4517" s="23"/>
      <c r="I4517" s="23"/>
      <c r="J4517" s="23"/>
      <c r="K4517" s="23"/>
      <c r="L4517" s="375" t="s">
        <v>7787</v>
      </c>
      <c r="M4517" s="351"/>
      <c r="N4517" s="267">
        <f t="shared" si="1057"/>
        <v>0</v>
      </c>
      <c r="O4517" s="268">
        <f t="shared" si="1058"/>
        <v>0</v>
      </c>
      <c r="P4517" s="239"/>
      <c r="Q4517" s="241"/>
      <c r="R4517" s="239"/>
      <c r="S4517" s="239"/>
      <c r="T4517" s="239"/>
      <c r="U4517" s="240"/>
      <c r="V4517" s="240"/>
      <c r="W4517" s="240"/>
      <c r="X4517" s="278"/>
      <c r="Y4517" s="237"/>
      <c r="Z4517" s="237"/>
      <c r="AA4517" s="279"/>
      <c r="AB4517" s="238"/>
      <c r="AC4517" s="196">
        <f t="shared" si="1690"/>
        <v>0</v>
      </c>
      <c r="AD4517" s="196">
        <f t="shared" si="1691"/>
        <v>0</v>
      </c>
      <c r="AE4517" s="196">
        <f t="shared" si="1692"/>
        <v>0</v>
      </c>
      <c r="AF4517" s="2">
        <f t="shared" si="1693"/>
        <v>0</v>
      </c>
      <c r="AG4517" s="2">
        <f t="shared" si="1694"/>
        <v>0</v>
      </c>
    </row>
    <row r="4518" spans="1:33">
      <c r="A4518" s="20" t="s">
        <v>2955</v>
      </c>
      <c r="B4518" s="150"/>
      <c r="C4518" s="21" t="s">
        <v>668</v>
      </c>
      <c r="D4518" s="109" t="s">
        <v>16936</v>
      </c>
      <c r="E4518" s="109"/>
      <c r="F4518" s="391" t="s">
        <v>16937</v>
      </c>
      <c r="G4518" s="23" t="s">
        <v>16188</v>
      </c>
      <c r="H4518" s="23"/>
      <c r="I4518" s="23"/>
      <c r="J4518" s="23"/>
      <c r="K4518" s="23"/>
      <c r="L4518" s="375" t="s">
        <v>7787</v>
      </c>
      <c r="M4518" s="351"/>
      <c r="N4518" s="267">
        <f t="shared" si="1057"/>
        <v>0</v>
      </c>
      <c r="O4518" s="268">
        <f t="shared" si="1058"/>
        <v>0</v>
      </c>
      <c r="P4518" s="239"/>
      <c r="Q4518" s="239"/>
      <c r="R4518" s="239"/>
      <c r="S4518" s="239"/>
      <c r="T4518" s="239"/>
      <c r="U4518" s="240"/>
      <c r="V4518" s="240"/>
      <c r="W4518" s="240"/>
      <c r="X4518" s="278"/>
      <c r="Y4518" s="237"/>
      <c r="Z4518" s="237"/>
      <c r="AA4518" s="279"/>
      <c r="AB4518" s="238"/>
      <c r="AC4518" s="196">
        <f t="shared" si="1690"/>
        <v>0</v>
      </c>
      <c r="AD4518" s="196">
        <f t="shared" si="1691"/>
        <v>0</v>
      </c>
      <c r="AE4518" s="196">
        <f t="shared" si="1692"/>
        <v>0</v>
      </c>
      <c r="AF4518" s="2">
        <f t="shared" si="1693"/>
        <v>0</v>
      </c>
      <c r="AG4518" s="2">
        <f t="shared" si="1694"/>
        <v>0</v>
      </c>
    </row>
    <row r="4519" spans="1:33">
      <c r="A4519" s="20" t="s">
        <v>2959</v>
      </c>
      <c r="B4519" s="150"/>
      <c r="C4519" s="21" t="s">
        <v>672</v>
      </c>
      <c r="D4519" s="109" t="s">
        <v>16376</v>
      </c>
      <c r="E4519" s="109" t="s">
        <v>15965</v>
      </c>
      <c r="F4519" s="391" t="s">
        <v>16938</v>
      </c>
      <c r="G4519" s="23" t="s">
        <v>16378</v>
      </c>
      <c r="H4519" s="23"/>
      <c r="I4519" s="23"/>
      <c r="J4519" s="23"/>
      <c r="K4519" s="23"/>
      <c r="L4519" s="350"/>
      <c r="M4519" s="351"/>
      <c r="N4519" s="267">
        <f t="shared" si="1057"/>
        <v>0</v>
      </c>
      <c r="O4519" s="268">
        <f t="shared" si="1058"/>
        <v>0</v>
      </c>
      <c r="P4519" s="239"/>
      <c r="Q4519" s="239"/>
      <c r="R4519" s="239"/>
      <c r="S4519" s="239"/>
      <c r="T4519" s="239"/>
      <c r="U4519" s="240"/>
      <c r="V4519" s="240"/>
      <c r="W4519" s="240"/>
      <c r="X4519" s="278"/>
      <c r="Y4519" s="237"/>
      <c r="Z4519" s="237"/>
      <c r="AA4519" s="279"/>
      <c r="AB4519" s="238"/>
      <c r="AC4519" s="196">
        <f t="shared" si="1690"/>
        <v>0</v>
      </c>
      <c r="AD4519" s="196">
        <f t="shared" si="1691"/>
        <v>0</v>
      </c>
      <c r="AE4519" s="196">
        <f t="shared" si="1692"/>
        <v>0</v>
      </c>
      <c r="AF4519" s="2">
        <f t="shared" si="1693"/>
        <v>0</v>
      </c>
      <c r="AG4519" s="2">
        <f t="shared" si="1694"/>
        <v>0</v>
      </c>
    </row>
    <row r="4520" spans="1:33">
      <c r="A4520" s="20" t="s">
        <v>2960</v>
      </c>
      <c r="B4520" s="150"/>
      <c r="C4520" s="21" t="s">
        <v>672</v>
      </c>
      <c r="D4520" s="109" t="s">
        <v>15161</v>
      </c>
      <c r="E4520" s="109"/>
      <c r="F4520" s="391" t="s">
        <v>16938</v>
      </c>
      <c r="G4520" s="23"/>
      <c r="H4520" s="23"/>
      <c r="I4520" s="23"/>
      <c r="J4520" s="23"/>
      <c r="K4520" s="23"/>
      <c r="L4520" s="350"/>
      <c r="M4520" s="351"/>
      <c r="N4520" s="267">
        <f t="shared" si="1057"/>
        <v>0</v>
      </c>
      <c r="O4520" s="268">
        <f t="shared" si="1058"/>
        <v>0</v>
      </c>
      <c r="P4520" s="239"/>
      <c r="Q4520" s="239"/>
      <c r="R4520" s="239"/>
      <c r="S4520" s="239"/>
      <c r="T4520" s="239"/>
      <c r="U4520" s="240"/>
      <c r="V4520" s="240"/>
      <c r="W4520" s="240"/>
      <c r="X4520" s="278"/>
      <c r="Y4520" s="237"/>
      <c r="Z4520" s="237"/>
      <c r="AA4520" s="279"/>
      <c r="AB4520" s="238"/>
      <c r="AC4520" s="196">
        <f t="shared" si="1690"/>
        <v>0</v>
      </c>
      <c r="AD4520" s="196">
        <f t="shared" si="1691"/>
        <v>0</v>
      </c>
      <c r="AE4520" s="196">
        <f t="shared" si="1692"/>
        <v>0</v>
      </c>
      <c r="AF4520" s="2">
        <f t="shared" si="1693"/>
        <v>0</v>
      </c>
      <c r="AG4520" s="2">
        <f t="shared" si="1694"/>
        <v>0</v>
      </c>
    </row>
    <row r="4521" spans="1:33">
      <c r="A4521" s="20" t="s">
        <v>2961</v>
      </c>
      <c r="B4521" s="156" t="s">
        <v>16939</v>
      </c>
      <c r="C4521" s="21" t="s">
        <v>672</v>
      </c>
      <c r="D4521" s="109" t="s">
        <v>15167</v>
      </c>
      <c r="E4521" s="109"/>
      <c r="F4521" s="391" t="s">
        <v>16938</v>
      </c>
      <c r="G4521" s="23" t="s">
        <v>16188</v>
      </c>
      <c r="H4521" s="23" t="s">
        <v>16378</v>
      </c>
      <c r="I4521" s="23" t="s">
        <v>23401</v>
      </c>
      <c r="J4521" s="23"/>
      <c r="K4521" s="23"/>
      <c r="L4521" s="375" t="s">
        <v>7787</v>
      </c>
      <c r="M4521" s="351"/>
      <c r="N4521" s="267">
        <f t="shared" si="1057"/>
        <v>0</v>
      </c>
      <c r="O4521" s="268">
        <f t="shared" si="1058"/>
        <v>0</v>
      </c>
      <c r="P4521" s="239"/>
      <c r="Q4521" s="239"/>
      <c r="R4521" s="239"/>
      <c r="S4521" s="239"/>
      <c r="T4521" s="239"/>
      <c r="U4521" s="240"/>
      <c r="V4521" s="240"/>
      <c r="W4521" s="240"/>
      <c r="X4521" s="278"/>
      <c r="Y4521" s="237"/>
      <c r="Z4521" s="237"/>
      <c r="AA4521" s="279"/>
      <c r="AB4521" s="238"/>
      <c r="AC4521" s="196">
        <f t="shared" si="1690"/>
        <v>0</v>
      </c>
      <c r="AD4521" s="196">
        <f t="shared" si="1691"/>
        <v>0</v>
      </c>
      <c r="AE4521" s="196">
        <f t="shared" si="1692"/>
        <v>0</v>
      </c>
      <c r="AF4521" s="2">
        <f t="shared" si="1693"/>
        <v>0</v>
      </c>
      <c r="AG4521" s="2">
        <f t="shared" si="1694"/>
        <v>0</v>
      </c>
    </row>
    <row r="4522" spans="1:33">
      <c r="A4522" s="20" t="s">
        <v>11298</v>
      </c>
      <c r="B4522" s="156"/>
      <c r="C4522" s="21" t="s">
        <v>672</v>
      </c>
      <c r="D4522" s="109" t="s">
        <v>16073</v>
      </c>
      <c r="E4522" s="109"/>
      <c r="F4522" s="391" t="s">
        <v>16938</v>
      </c>
      <c r="G4522" s="23" t="s">
        <v>16940</v>
      </c>
      <c r="H4522" s="23"/>
      <c r="I4522" s="23"/>
      <c r="J4522" s="23"/>
      <c r="K4522" s="23"/>
      <c r="L4522" s="375"/>
      <c r="M4522" s="351" t="s">
        <v>7787</v>
      </c>
      <c r="N4522" s="267">
        <f t="shared" si="1057"/>
        <v>0</v>
      </c>
      <c r="O4522" s="268">
        <f t="shared" si="1058"/>
        <v>0</v>
      </c>
      <c r="P4522" s="239"/>
      <c r="Q4522" s="239"/>
      <c r="R4522" s="239"/>
      <c r="S4522" s="239"/>
      <c r="T4522" s="239"/>
      <c r="U4522" s="240"/>
      <c r="V4522" s="240"/>
      <c r="W4522" s="240"/>
      <c r="X4522" s="278"/>
      <c r="Y4522" s="239"/>
      <c r="Z4522" s="237"/>
      <c r="AA4522" s="239"/>
      <c r="AB4522" s="238"/>
      <c r="AC4522" s="196">
        <f t="shared" si="1690"/>
        <v>0</v>
      </c>
      <c r="AD4522" s="196">
        <f t="shared" si="1691"/>
        <v>0</v>
      </c>
      <c r="AE4522" s="196">
        <f t="shared" si="1692"/>
        <v>0</v>
      </c>
      <c r="AF4522" s="2">
        <f t="shared" si="1693"/>
        <v>0</v>
      </c>
      <c r="AG4522" s="2">
        <f t="shared" si="1694"/>
        <v>0</v>
      </c>
    </row>
    <row r="4523" spans="1:33">
      <c r="A4523" s="20" t="s">
        <v>2962</v>
      </c>
      <c r="B4523" s="150"/>
      <c r="C4523" s="21" t="s">
        <v>673</v>
      </c>
      <c r="D4523" s="109" t="s">
        <v>16376</v>
      </c>
      <c r="E4523" s="109" t="s">
        <v>15965</v>
      </c>
      <c r="F4523" s="391" t="s">
        <v>16941</v>
      </c>
      <c r="G4523" s="23"/>
      <c r="H4523" s="23"/>
      <c r="I4523" s="23"/>
      <c r="J4523" s="23"/>
      <c r="K4523" s="23"/>
      <c r="L4523" s="350"/>
      <c r="M4523" s="351"/>
      <c r="N4523" s="267">
        <f t="shared" ref="N4523:N4586" si="1695">SUM(L4523:M4523)</f>
        <v>0</v>
      </c>
      <c r="O4523" s="268">
        <f t="shared" ref="O4523:O4586" si="1696">SUM(P4523:Z4523)</f>
        <v>0</v>
      </c>
      <c r="P4523" s="239"/>
      <c r="Q4523" s="239"/>
      <c r="R4523" s="239"/>
      <c r="S4523" s="239"/>
      <c r="T4523" s="239"/>
      <c r="U4523" s="240"/>
      <c r="V4523" s="240"/>
      <c r="W4523" s="240"/>
      <c r="X4523" s="278"/>
      <c r="Y4523" s="237"/>
      <c r="Z4523" s="237"/>
      <c r="AA4523" s="279"/>
      <c r="AB4523" s="238"/>
      <c r="AC4523" s="196">
        <f t="shared" si="1690"/>
        <v>0</v>
      </c>
      <c r="AD4523" s="196">
        <f t="shared" si="1691"/>
        <v>0</v>
      </c>
      <c r="AE4523" s="196">
        <f t="shared" si="1692"/>
        <v>0</v>
      </c>
      <c r="AF4523" s="2">
        <f t="shared" si="1693"/>
        <v>0</v>
      </c>
      <c r="AG4523" s="2">
        <f t="shared" si="1694"/>
        <v>0</v>
      </c>
    </row>
    <row r="4524" spans="1:33">
      <c r="A4524" s="20" t="s">
        <v>2963</v>
      </c>
      <c r="B4524" s="150"/>
      <c r="C4524" s="21" t="s">
        <v>673</v>
      </c>
      <c r="D4524" s="109" t="s">
        <v>16376</v>
      </c>
      <c r="E4524" s="109" t="s">
        <v>16882</v>
      </c>
      <c r="F4524" s="391" t="s">
        <v>16941</v>
      </c>
      <c r="G4524" s="23"/>
      <c r="H4524" s="23"/>
      <c r="I4524" s="23"/>
      <c r="J4524" s="23"/>
      <c r="K4524" s="23"/>
      <c r="L4524" s="350"/>
      <c r="M4524" s="351"/>
      <c r="N4524" s="267">
        <f t="shared" si="1695"/>
        <v>0</v>
      </c>
      <c r="O4524" s="268">
        <f t="shared" si="1696"/>
        <v>0</v>
      </c>
      <c r="P4524" s="239"/>
      <c r="Q4524" s="239"/>
      <c r="R4524" s="239"/>
      <c r="S4524" s="239"/>
      <c r="T4524" s="239"/>
      <c r="U4524" s="240"/>
      <c r="V4524" s="240"/>
      <c r="W4524" s="240"/>
      <c r="X4524" s="278"/>
      <c r="Y4524" s="237"/>
      <c r="Z4524" s="237"/>
      <c r="AA4524" s="279"/>
      <c r="AB4524" s="238"/>
      <c r="AC4524" s="196">
        <f t="shared" si="1690"/>
        <v>0</v>
      </c>
      <c r="AD4524" s="196">
        <f t="shared" si="1691"/>
        <v>0</v>
      </c>
      <c r="AE4524" s="196">
        <f t="shared" si="1692"/>
        <v>0</v>
      </c>
      <c r="AF4524" s="2">
        <f t="shared" si="1693"/>
        <v>0</v>
      </c>
      <c r="AG4524" s="2">
        <f t="shared" si="1694"/>
        <v>0</v>
      </c>
    </row>
    <row r="4525" spans="1:33">
      <c r="A4525" s="20" t="s">
        <v>17973</v>
      </c>
      <c r="B4525" s="150"/>
      <c r="C4525" s="21" t="s">
        <v>6075</v>
      </c>
      <c r="D4525" s="109" t="s">
        <v>18174</v>
      </c>
      <c r="E4525" s="109"/>
      <c r="F4525" s="391" t="s">
        <v>5260</v>
      </c>
      <c r="G4525" s="23" t="s">
        <v>13888</v>
      </c>
      <c r="H4525" s="23"/>
      <c r="I4525" s="23"/>
      <c r="J4525" s="23"/>
      <c r="K4525" s="23"/>
      <c r="L4525" s="375" t="s">
        <v>27686</v>
      </c>
      <c r="M4525" s="351" t="s">
        <v>45</v>
      </c>
      <c r="N4525" s="267">
        <f t="shared" si="1695"/>
        <v>0</v>
      </c>
      <c r="O4525" s="268">
        <f t="shared" si="1696"/>
        <v>0</v>
      </c>
      <c r="P4525" s="239"/>
      <c r="Q4525" s="239"/>
      <c r="R4525" s="239"/>
      <c r="S4525" s="239"/>
      <c r="T4525" s="239"/>
      <c r="U4525" s="240"/>
      <c r="V4525" s="240"/>
      <c r="W4525" s="240"/>
      <c r="X4525" s="278"/>
      <c r="Y4525" s="237"/>
      <c r="Z4525" s="237"/>
      <c r="AA4525" s="279"/>
      <c r="AB4525" s="238"/>
      <c r="AC4525" s="196">
        <f t="shared" si="1690"/>
        <v>0</v>
      </c>
      <c r="AD4525" s="196">
        <f t="shared" si="1691"/>
        <v>0</v>
      </c>
      <c r="AE4525" s="196">
        <f t="shared" si="1692"/>
        <v>0</v>
      </c>
      <c r="AF4525" s="2">
        <f t="shared" si="1693"/>
        <v>0</v>
      </c>
      <c r="AG4525" s="2">
        <f t="shared" si="1694"/>
        <v>0</v>
      </c>
    </row>
    <row r="4526" spans="1:33">
      <c r="A4526" s="20" t="s">
        <v>22561</v>
      </c>
      <c r="B4526" s="150"/>
      <c r="C4526" s="21" t="s">
        <v>6075</v>
      </c>
      <c r="D4526" s="109" t="s">
        <v>3101</v>
      </c>
      <c r="E4526" s="109" t="s">
        <v>22539</v>
      </c>
      <c r="F4526" s="391" t="s">
        <v>5260</v>
      </c>
      <c r="G4526" s="23" t="s">
        <v>13888</v>
      </c>
      <c r="H4526" s="23"/>
      <c r="I4526" s="23"/>
      <c r="J4526" s="23"/>
      <c r="K4526" s="23"/>
      <c r="L4526" s="375" t="s">
        <v>27757</v>
      </c>
      <c r="M4526" s="351"/>
      <c r="N4526" s="267">
        <f t="shared" si="1695"/>
        <v>0</v>
      </c>
      <c r="O4526" s="268">
        <f t="shared" si="1696"/>
        <v>1100</v>
      </c>
      <c r="P4526" s="239"/>
      <c r="Q4526" s="239"/>
      <c r="R4526" s="239"/>
      <c r="S4526" s="239"/>
      <c r="T4526" s="239"/>
      <c r="U4526" s="240">
        <v>1100</v>
      </c>
      <c r="V4526" s="244"/>
      <c r="W4526" s="240"/>
      <c r="X4526" s="278"/>
      <c r="Y4526" s="237"/>
      <c r="Z4526" s="237"/>
      <c r="AA4526" s="297"/>
      <c r="AB4526" s="238" t="s">
        <v>27752</v>
      </c>
      <c r="AC4526" s="196">
        <f t="shared" si="1690"/>
        <v>1100</v>
      </c>
      <c r="AD4526" s="196">
        <f t="shared" si="1691"/>
        <v>1100</v>
      </c>
      <c r="AE4526" s="196">
        <f t="shared" si="1692"/>
        <v>0</v>
      </c>
      <c r="AF4526" s="2">
        <f t="shared" si="1693"/>
        <v>1100</v>
      </c>
      <c r="AG4526" s="2">
        <f t="shared" si="1694"/>
        <v>0</v>
      </c>
    </row>
    <row r="4527" spans="1:33">
      <c r="A4527" s="20" t="s">
        <v>23071</v>
      </c>
      <c r="B4527" s="150"/>
      <c r="C4527" s="21" t="s">
        <v>6075</v>
      </c>
      <c r="D4527" s="109" t="s">
        <v>3101</v>
      </c>
      <c r="E4527" s="109" t="s">
        <v>23088</v>
      </c>
      <c r="F4527" s="391" t="s">
        <v>5260</v>
      </c>
      <c r="G4527" s="23" t="s">
        <v>13888</v>
      </c>
      <c r="H4527" s="23" t="s">
        <v>25358</v>
      </c>
      <c r="I4527" s="23"/>
      <c r="J4527" s="23"/>
      <c r="K4527" s="23"/>
      <c r="L4527" s="375" t="s">
        <v>45</v>
      </c>
      <c r="M4527" s="351" t="s">
        <v>45</v>
      </c>
      <c r="N4527" s="267">
        <f t="shared" si="1695"/>
        <v>0</v>
      </c>
      <c r="O4527" s="268">
        <f t="shared" si="1696"/>
        <v>0</v>
      </c>
      <c r="P4527" s="239"/>
      <c r="Q4527" s="239"/>
      <c r="R4527" s="239"/>
      <c r="S4527" s="239"/>
      <c r="T4527" s="239"/>
      <c r="U4527" s="244"/>
      <c r="V4527" s="244"/>
      <c r="W4527" s="240"/>
      <c r="X4527" s="278"/>
      <c r="Y4527" s="237"/>
      <c r="Z4527" s="237"/>
      <c r="AA4527" s="297"/>
      <c r="AB4527" s="238"/>
      <c r="AC4527" s="196">
        <f t="shared" si="1690"/>
        <v>0</v>
      </c>
      <c r="AD4527" s="196">
        <f t="shared" si="1691"/>
        <v>0</v>
      </c>
      <c r="AE4527" s="196">
        <f t="shared" si="1692"/>
        <v>0</v>
      </c>
      <c r="AF4527" s="2">
        <f t="shared" si="1693"/>
        <v>0</v>
      </c>
      <c r="AG4527" s="2">
        <f t="shared" si="1694"/>
        <v>0</v>
      </c>
    </row>
    <row r="4528" spans="1:33">
      <c r="A4528" s="20" t="s">
        <v>2964</v>
      </c>
      <c r="B4528" s="150"/>
      <c r="C4528" s="21" t="s">
        <v>673</v>
      </c>
      <c r="D4528" s="109" t="s">
        <v>16869</v>
      </c>
      <c r="E4528" s="109"/>
      <c r="F4528" s="391" t="s">
        <v>16941</v>
      </c>
      <c r="G4528" s="23" t="s">
        <v>16884</v>
      </c>
      <c r="H4528" s="23" t="s">
        <v>17653</v>
      </c>
      <c r="I4528" s="23"/>
      <c r="J4528" s="23"/>
      <c r="K4528" s="23"/>
      <c r="L4528" s="375" t="s">
        <v>7787</v>
      </c>
      <c r="M4528" s="351" t="s">
        <v>7787</v>
      </c>
      <c r="N4528" s="267">
        <f t="shared" si="1695"/>
        <v>0</v>
      </c>
      <c r="O4528" s="268">
        <f t="shared" si="1696"/>
        <v>0</v>
      </c>
      <c r="P4528" s="239"/>
      <c r="Q4528" s="239"/>
      <c r="R4528" s="239"/>
      <c r="S4528" s="239"/>
      <c r="T4528" s="239"/>
      <c r="U4528" s="240"/>
      <c r="V4528" s="239"/>
      <c r="W4528" s="240"/>
      <c r="X4528" s="278"/>
      <c r="Y4528" s="237"/>
      <c r="Z4528" s="237"/>
      <c r="AA4528" s="239"/>
      <c r="AB4528" s="238"/>
      <c r="AC4528" s="196">
        <f t="shared" si="1690"/>
        <v>0</v>
      </c>
      <c r="AD4528" s="196">
        <f t="shared" si="1691"/>
        <v>0</v>
      </c>
      <c r="AE4528" s="196">
        <f t="shared" si="1692"/>
        <v>0</v>
      </c>
      <c r="AF4528" s="2">
        <f t="shared" si="1693"/>
        <v>0</v>
      </c>
      <c r="AG4528" s="2">
        <f t="shared" si="1694"/>
        <v>0</v>
      </c>
    </row>
    <row r="4529" spans="1:33">
      <c r="A4529" s="20" t="s">
        <v>6897</v>
      </c>
      <c r="B4529" s="150"/>
      <c r="C4529" s="21" t="s">
        <v>16942</v>
      </c>
      <c r="D4529" s="109" t="s">
        <v>15167</v>
      </c>
      <c r="E4529" s="109"/>
      <c r="F4529" s="391" t="s">
        <v>16943</v>
      </c>
      <c r="G4529" s="23" t="s">
        <v>16883</v>
      </c>
      <c r="H4529" s="23" t="s">
        <v>16944</v>
      </c>
      <c r="I4529" s="23" t="s">
        <v>16945</v>
      </c>
      <c r="J4529" s="23" t="s">
        <v>13240</v>
      </c>
      <c r="K4529" s="23" t="s">
        <v>17653</v>
      </c>
      <c r="L4529" s="375"/>
      <c r="M4529" s="351" t="s">
        <v>45</v>
      </c>
      <c r="N4529" s="267">
        <f t="shared" si="1695"/>
        <v>0</v>
      </c>
      <c r="O4529" s="268">
        <f t="shared" si="1696"/>
        <v>200</v>
      </c>
      <c r="P4529" s="239"/>
      <c r="Q4529" s="239"/>
      <c r="R4529" s="239"/>
      <c r="S4529" s="239"/>
      <c r="T4529" s="239"/>
      <c r="U4529" s="240">
        <f>800-600+900-500-200-200</f>
        <v>200</v>
      </c>
      <c r="V4529" s="239"/>
      <c r="W4529" s="240"/>
      <c r="X4529" s="278"/>
      <c r="Y4529" s="237"/>
      <c r="Z4529" s="237"/>
      <c r="AA4529" s="279"/>
      <c r="AB4529" s="238" t="s">
        <v>26405</v>
      </c>
      <c r="AC4529" s="196">
        <f t="shared" si="1690"/>
        <v>200</v>
      </c>
      <c r="AD4529" s="196">
        <f t="shared" si="1691"/>
        <v>200</v>
      </c>
      <c r="AE4529" s="196">
        <f t="shared" si="1692"/>
        <v>0</v>
      </c>
      <c r="AF4529" s="2">
        <f t="shared" si="1693"/>
        <v>200</v>
      </c>
      <c r="AG4529" s="2">
        <f t="shared" si="1694"/>
        <v>0</v>
      </c>
    </row>
    <row r="4530" spans="1:33">
      <c r="A4530" s="20" t="s">
        <v>2965</v>
      </c>
      <c r="B4530" s="150"/>
      <c r="C4530" s="21" t="s">
        <v>674</v>
      </c>
      <c r="D4530" s="109" t="s">
        <v>15161</v>
      </c>
      <c r="E4530" s="109"/>
      <c r="F4530" s="391" t="s">
        <v>16946</v>
      </c>
      <c r="G4530" s="23" t="s">
        <v>16883</v>
      </c>
      <c r="H4530" s="23" t="s">
        <v>16370</v>
      </c>
      <c r="I4530" s="23"/>
      <c r="J4530" s="23"/>
      <c r="K4530" s="23"/>
      <c r="L4530" s="375" t="s">
        <v>7787</v>
      </c>
      <c r="M4530" s="351" t="s">
        <v>7787</v>
      </c>
      <c r="N4530" s="267">
        <f t="shared" si="1695"/>
        <v>0</v>
      </c>
      <c r="O4530" s="268">
        <f t="shared" si="1696"/>
        <v>0</v>
      </c>
      <c r="P4530" s="239"/>
      <c r="Q4530" s="239"/>
      <c r="R4530" s="239"/>
      <c r="S4530" s="239"/>
      <c r="T4530" s="239"/>
      <c r="U4530" s="240"/>
      <c r="V4530" s="240"/>
      <c r="W4530" s="240"/>
      <c r="X4530" s="278"/>
      <c r="Y4530" s="237"/>
      <c r="Z4530" s="237"/>
      <c r="AA4530" s="239"/>
      <c r="AB4530" s="238"/>
      <c r="AC4530" s="196">
        <f t="shared" si="1690"/>
        <v>0</v>
      </c>
      <c r="AD4530" s="196">
        <f t="shared" si="1691"/>
        <v>0</v>
      </c>
      <c r="AE4530" s="196">
        <f t="shared" si="1692"/>
        <v>0</v>
      </c>
      <c r="AF4530" s="2">
        <f t="shared" si="1693"/>
        <v>0</v>
      </c>
      <c r="AG4530" s="2">
        <f t="shared" si="1694"/>
        <v>0</v>
      </c>
    </row>
    <row r="4531" spans="1:33">
      <c r="A4531" s="20" t="s">
        <v>17429</v>
      </c>
      <c r="B4531" s="150"/>
      <c r="C4531" s="21" t="s">
        <v>17686</v>
      </c>
      <c r="D4531" s="109" t="s">
        <v>3101</v>
      </c>
      <c r="E4531" s="109"/>
      <c r="F4531" s="391" t="s">
        <v>5366</v>
      </c>
      <c r="G4531" s="23" t="s">
        <v>17685</v>
      </c>
      <c r="H4531" s="23"/>
      <c r="I4531" s="23"/>
      <c r="J4531" s="23"/>
      <c r="K4531" s="23"/>
      <c r="L4531" s="375"/>
      <c r="M4531" s="351" t="s">
        <v>7787</v>
      </c>
      <c r="N4531" s="267">
        <f t="shared" si="1695"/>
        <v>0</v>
      </c>
      <c r="O4531" s="268">
        <f t="shared" si="1696"/>
        <v>0</v>
      </c>
      <c r="P4531" s="239"/>
      <c r="Q4531" s="239"/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47"/>
      <c r="AB4531" s="238"/>
      <c r="AC4531" s="196">
        <f t="shared" si="1690"/>
        <v>0</v>
      </c>
      <c r="AD4531" s="196">
        <f t="shared" si="1691"/>
        <v>0</v>
      </c>
      <c r="AE4531" s="196">
        <f t="shared" si="1692"/>
        <v>0</v>
      </c>
      <c r="AF4531" s="2">
        <f t="shared" si="1693"/>
        <v>0</v>
      </c>
      <c r="AG4531" s="2">
        <f t="shared" si="1694"/>
        <v>0</v>
      </c>
    </row>
    <row r="4532" spans="1:33">
      <c r="A4532" s="20" t="s">
        <v>21552</v>
      </c>
      <c r="B4532" s="150"/>
      <c r="C4532" s="21" t="s">
        <v>21166</v>
      </c>
      <c r="D4532" s="109" t="s">
        <v>3101</v>
      </c>
      <c r="E4532" s="109"/>
      <c r="F4532" s="391" t="s">
        <v>5366</v>
      </c>
      <c r="G4532" s="23" t="s">
        <v>13581</v>
      </c>
      <c r="H4532" s="23"/>
      <c r="I4532" s="23"/>
      <c r="J4532" s="23"/>
      <c r="K4532" s="23"/>
      <c r="L4532" s="375" t="s">
        <v>7787</v>
      </c>
      <c r="M4532" s="351" t="s">
        <v>7787</v>
      </c>
      <c r="N4532" s="267">
        <f t="shared" si="1695"/>
        <v>0</v>
      </c>
      <c r="O4532" s="268">
        <f t="shared" si="1696"/>
        <v>0</v>
      </c>
      <c r="P4532" s="239"/>
      <c r="Q4532" s="239"/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47"/>
      <c r="AB4532" s="238"/>
      <c r="AC4532" s="196">
        <f t="shared" si="1690"/>
        <v>0</v>
      </c>
      <c r="AD4532" s="196">
        <f t="shared" si="1691"/>
        <v>0</v>
      </c>
      <c r="AE4532" s="196">
        <f t="shared" si="1692"/>
        <v>0</v>
      </c>
      <c r="AF4532" s="2">
        <f t="shared" si="1693"/>
        <v>0</v>
      </c>
      <c r="AG4532" s="2">
        <f t="shared" si="1694"/>
        <v>0</v>
      </c>
    </row>
    <row r="4533" spans="1:33">
      <c r="A4533" s="20" t="s">
        <v>2966</v>
      </c>
      <c r="B4533" s="150"/>
      <c r="C4533" s="21" t="s">
        <v>675</v>
      </c>
      <c r="D4533" s="109" t="s">
        <v>15167</v>
      </c>
      <c r="E4533" s="109"/>
      <c r="F4533" s="391" t="s">
        <v>16947</v>
      </c>
      <c r="G4533" s="23"/>
      <c r="H4533" s="23"/>
      <c r="I4533" s="23"/>
      <c r="J4533" s="23"/>
      <c r="K4533" s="23"/>
      <c r="L4533" s="350"/>
      <c r="M4533" s="351"/>
      <c r="N4533" s="267">
        <f t="shared" si="1695"/>
        <v>0</v>
      </c>
      <c r="O4533" s="268">
        <f t="shared" si="1696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79"/>
      <c r="AB4533" s="238"/>
      <c r="AC4533" s="196">
        <f t="shared" si="1690"/>
        <v>0</v>
      </c>
      <c r="AD4533" s="196">
        <f t="shared" si="1691"/>
        <v>0</v>
      </c>
      <c r="AE4533" s="196">
        <f t="shared" si="1692"/>
        <v>0</v>
      </c>
      <c r="AF4533" s="2">
        <f t="shared" si="1693"/>
        <v>0</v>
      </c>
      <c r="AG4533" s="2">
        <f t="shared" si="1694"/>
        <v>0</v>
      </c>
    </row>
    <row r="4534" spans="1:33">
      <c r="A4534" s="20" t="s">
        <v>2967</v>
      </c>
      <c r="B4534" s="150"/>
      <c r="C4534" s="21" t="s">
        <v>862</v>
      </c>
      <c r="D4534" s="109" t="s">
        <v>15161</v>
      </c>
      <c r="E4534" s="109"/>
      <c r="F4534" s="391" t="s">
        <v>16903</v>
      </c>
      <c r="G4534" s="23"/>
      <c r="H4534" s="23"/>
      <c r="I4534" s="23"/>
      <c r="J4534" s="23"/>
      <c r="K4534" s="23"/>
      <c r="L4534" s="350"/>
      <c r="M4534" s="351"/>
      <c r="N4534" s="267">
        <f t="shared" si="1695"/>
        <v>0</v>
      </c>
      <c r="O4534" s="268">
        <f t="shared" si="1696"/>
        <v>0</v>
      </c>
      <c r="P4534" s="239"/>
      <c r="Q4534" s="239"/>
      <c r="R4534" s="239"/>
      <c r="S4534" s="239"/>
      <c r="T4534" s="239"/>
      <c r="U4534" s="240"/>
      <c r="V4534" s="240"/>
      <c r="W4534" s="240"/>
      <c r="X4534" s="278"/>
      <c r="Y4534" s="237"/>
      <c r="Z4534" s="237"/>
      <c r="AA4534" s="279"/>
      <c r="AB4534" s="238"/>
      <c r="AC4534" s="196">
        <f t="shared" si="1690"/>
        <v>0</v>
      </c>
      <c r="AD4534" s="196">
        <f t="shared" si="1691"/>
        <v>0</v>
      </c>
      <c r="AE4534" s="196">
        <f t="shared" si="1692"/>
        <v>0</v>
      </c>
      <c r="AF4534" s="2">
        <f t="shared" si="1693"/>
        <v>0</v>
      </c>
      <c r="AG4534" s="2">
        <f t="shared" si="1694"/>
        <v>0</v>
      </c>
    </row>
    <row r="4535" spans="1:33">
      <c r="A4535" s="20" t="s">
        <v>2870</v>
      </c>
      <c r="B4535" s="150"/>
      <c r="C4535" s="21" t="s">
        <v>652</v>
      </c>
      <c r="D4535" s="109" t="s">
        <v>15161</v>
      </c>
      <c r="E4535" s="109"/>
      <c r="F4535" s="391" t="s">
        <v>16948</v>
      </c>
      <c r="G4535" s="23"/>
      <c r="H4535" s="23"/>
      <c r="I4535" s="23"/>
      <c r="J4535" s="23"/>
      <c r="K4535" s="23"/>
      <c r="L4535" s="350"/>
      <c r="M4535" s="351"/>
      <c r="N4535" s="267">
        <f t="shared" si="1695"/>
        <v>0</v>
      </c>
      <c r="O4535" s="268">
        <f t="shared" si="1696"/>
        <v>0</v>
      </c>
      <c r="P4535" s="239"/>
      <c r="Q4535" s="239"/>
      <c r="R4535" s="239"/>
      <c r="S4535" s="239"/>
      <c r="T4535" s="239"/>
      <c r="U4535" s="240"/>
      <c r="V4535" s="240"/>
      <c r="W4535" s="240"/>
      <c r="X4535" s="278"/>
      <c r="Y4535" s="237"/>
      <c r="Z4535" s="237"/>
      <c r="AA4535" s="279"/>
      <c r="AB4535" s="238"/>
      <c r="AC4535" s="196">
        <f t="shared" si="1690"/>
        <v>0</v>
      </c>
      <c r="AD4535" s="196">
        <f t="shared" si="1691"/>
        <v>0</v>
      </c>
      <c r="AE4535" s="196">
        <f t="shared" si="1692"/>
        <v>0</v>
      </c>
      <c r="AF4535" s="2">
        <f t="shared" si="1693"/>
        <v>0</v>
      </c>
      <c r="AG4535" s="2">
        <f t="shared" si="1694"/>
        <v>0</v>
      </c>
    </row>
    <row r="4536" spans="1:33">
      <c r="A4536" s="20" t="s">
        <v>2968</v>
      </c>
      <c r="B4536" s="161"/>
      <c r="C4536" s="21" t="s">
        <v>700</v>
      </c>
      <c r="D4536" s="109" t="s">
        <v>16376</v>
      </c>
      <c r="E4536" s="109" t="s">
        <v>15965</v>
      </c>
      <c r="F4536" s="391" t="s">
        <v>16949</v>
      </c>
      <c r="G4536" s="23" t="s">
        <v>16070</v>
      </c>
      <c r="H4536" s="23"/>
      <c r="I4536" s="23"/>
      <c r="J4536" s="23"/>
      <c r="K4536" s="23"/>
      <c r="L4536" s="350"/>
      <c r="M4536" s="351"/>
      <c r="N4536" s="267">
        <f t="shared" si="1695"/>
        <v>0</v>
      </c>
      <c r="O4536" s="268">
        <f t="shared" si="1696"/>
        <v>0</v>
      </c>
      <c r="P4536" s="239"/>
      <c r="Q4536" s="239"/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79"/>
      <c r="AB4536" s="238"/>
      <c r="AC4536" s="196">
        <f t="shared" si="1690"/>
        <v>0</v>
      </c>
      <c r="AD4536" s="196">
        <f t="shared" si="1691"/>
        <v>0</v>
      </c>
      <c r="AE4536" s="196">
        <f t="shared" si="1692"/>
        <v>0</v>
      </c>
      <c r="AF4536" s="2">
        <f t="shared" si="1693"/>
        <v>0</v>
      </c>
      <c r="AG4536" s="2">
        <f t="shared" si="1694"/>
        <v>0</v>
      </c>
    </row>
    <row r="4537" spans="1:33">
      <c r="A4537" s="20" t="s">
        <v>2974</v>
      </c>
      <c r="B4537" s="150"/>
      <c r="C4537" s="21" t="s">
        <v>700</v>
      </c>
      <c r="D4537" s="109" t="s">
        <v>16376</v>
      </c>
      <c r="E4537" s="109" t="s">
        <v>15965</v>
      </c>
      <c r="F4537" s="391" t="s">
        <v>16949</v>
      </c>
      <c r="G4537" s="23"/>
      <c r="H4537" s="23"/>
      <c r="I4537" s="23"/>
      <c r="J4537" s="23"/>
      <c r="K4537" s="23"/>
      <c r="L4537" s="350"/>
      <c r="M4537" s="351"/>
      <c r="N4537" s="267">
        <f t="shared" si="1695"/>
        <v>0</v>
      </c>
      <c r="O4537" s="268">
        <f t="shared" si="1696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/>
      <c r="Z4537" s="237"/>
      <c r="AA4537" s="279"/>
      <c r="AB4537" s="238"/>
      <c r="AC4537" s="196">
        <f t="shared" si="1690"/>
        <v>0</v>
      </c>
      <c r="AD4537" s="196">
        <f t="shared" si="1691"/>
        <v>0</v>
      </c>
      <c r="AE4537" s="196">
        <f t="shared" si="1692"/>
        <v>0</v>
      </c>
      <c r="AF4537" s="2">
        <f t="shared" si="1693"/>
        <v>0</v>
      </c>
      <c r="AG4537" s="2">
        <f t="shared" si="1694"/>
        <v>0</v>
      </c>
    </row>
    <row r="4538" spans="1:33">
      <c r="A4538" s="20" t="s">
        <v>2970</v>
      </c>
      <c r="B4538" s="150"/>
      <c r="C4538" s="21" t="s">
        <v>700</v>
      </c>
      <c r="D4538" s="109" t="s">
        <v>15161</v>
      </c>
      <c r="E4538" s="109" t="s">
        <v>16838</v>
      </c>
      <c r="F4538" s="391" t="s">
        <v>16949</v>
      </c>
      <c r="G4538" s="23" t="s">
        <v>16141</v>
      </c>
      <c r="H4538" s="23"/>
      <c r="I4538" s="23"/>
      <c r="J4538" s="23"/>
      <c r="K4538" s="23"/>
      <c r="L4538" s="350"/>
      <c r="M4538" s="351"/>
      <c r="N4538" s="267">
        <f t="shared" si="1695"/>
        <v>0</v>
      </c>
      <c r="O4538" s="268">
        <f t="shared" si="1696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/>
      <c r="Z4538" s="237"/>
      <c r="AA4538" s="279"/>
      <c r="AB4538" s="238"/>
      <c r="AC4538" s="196">
        <f t="shared" si="1690"/>
        <v>0</v>
      </c>
      <c r="AD4538" s="196">
        <f t="shared" si="1691"/>
        <v>0</v>
      </c>
      <c r="AE4538" s="196">
        <f t="shared" si="1692"/>
        <v>0</v>
      </c>
      <c r="AF4538" s="2">
        <f t="shared" si="1693"/>
        <v>0</v>
      </c>
      <c r="AG4538" s="2">
        <f t="shared" si="1694"/>
        <v>0</v>
      </c>
    </row>
    <row r="4539" spans="1:33">
      <c r="A4539" s="20" t="s">
        <v>2969</v>
      </c>
      <c r="B4539" s="162"/>
      <c r="C4539" s="21" t="s">
        <v>21618</v>
      </c>
      <c r="D4539" s="109" t="s">
        <v>15161</v>
      </c>
      <c r="E4539" s="109"/>
      <c r="F4539" s="391" t="s">
        <v>16949</v>
      </c>
      <c r="G4539" s="23" t="s">
        <v>16141</v>
      </c>
      <c r="H4539" s="23" t="s">
        <v>16379</v>
      </c>
      <c r="I4539" s="23" t="s">
        <v>16454</v>
      </c>
      <c r="J4539" s="23"/>
      <c r="K4539" s="23" t="s">
        <v>15165</v>
      </c>
      <c r="L4539" s="375" t="s">
        <v>45</v>
      </c>
      <c r="M4539" s="351" t="s">
        <v>7787</v>
      </c>
      <c r="N4539" s="267">
        <f t="shared" si="1695"/>
        <v>0</v>
      </c>
      <c r="O4539" s="268">
        <f t="shared" si="1696"/>
        <v>300</v>
      </c>
      <c r="P4539" s="239"/>
      <c r="Q4539" s="239">
        <f>1200-900</f>
        <v>300</v>
      </c>
      <c r="R4539" s="239"/>
      <c r="S4539" s="239"/>
      <c r="T4539" s="239"/>
      <c r="U4539" s="240"/>
      <c r="V4539" s="240"/>
      <c r="W4539" s="240"/>
      <c r="X4539" s="278"/>
      <c r="Y4539" s="237"/>
      <c r="Z4539" s="237"/>
      <c r="AA4539" s="237"/>
      <c r="AB4539" s="238" t="s">
        <v>26690</v>
      </c>
      <c r="AC4539" s="196">
        <f t="shared" si="1690"/>
        <v>300</v>
      </c>
      <c r="AD4539" s="196">
        <f t="shared" si="1691"/>
        <v>300</v>
      </c>
      <c r="AE4539" s="196">
        <f t="shared" si="1692"/>
        <v>0</v>
      </c>
      <c r="AF4539" s="2">
        <f t="shared" si="1693"/>
        <v>300</v>
      </c>
      <c r="AG4539" s="2">
        <f t="shared" si="1694"/>
        <v>0</v>
      </c>
    </row>
    <row r="4540" spans="1:33">
      <c r="A4540" s="20" t="s">
        <v>2971</v>
      </c>
      <c r="B4540" s="161"/>
      <c r="C4540" s="21" t="s">
        <v>700</v>
      </c>
      <c r="D4540" s="109" t="s">
        <v>15167</v>
      </c>
      <c r="E4540" s="109"/>
      <c r="F4540" s="391" t="s">
        <v>16949</v>
      </c>
      <c r="G4540" s="23" t="s">
        <v>16950</v>
      </c>
      <c r="H4540" s="23" t="s">
        <v>16379</v>
      </c>
      <c r="I4540" s="23"/>
      <c r="J4540" s="23"/>
      <c r="K4540" s="23"/>
      <c r="L4540" s="350"/>
      <c r="M4540" s="351"/>
      <c r="N4540" s="267">
        <f t="shared" si="1695"/>
        <v>0</v>
      </c>
      <c r="O4540" s="268">
        <f t="shared" si="1696"/>
        <v>0</v>
      </c>
      <c r="P4540" s="239"/>
      <c r="Q4540" s="239"/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79"/>
      <c r="AB4540" s="238"/>
      <c r="AC4540" s="196">
        <f t="shared" si="1690"/>
        <v>0</v>
      </c>
      <c r="AD4540" s="196">
        <f t="shared" si="1691"/>
        <v>0</v>
      </c>
      <c r="AE4540" s="196">
        <f t="shared" si="1692"/>
        <v>0</v>
      </c>
      <c r="AF4540" s="2">
        <f t="shared" si="1693"/>
        <v>0</v>
      </c>
      <c r="AG4540" s="2">
        <f t="shared" si="1694"/>
        <v>0</v>
      </c>
    </row>
    <row r="4541" spans="1:33">
      <c r="A4541" s="20" t="s">
        <v>2973</v>
      </c>
      <c r="B4541" s="150"/>
      <c r="C4541" s="21" t="s">
        <v>700</v>
      </c>
      <c r="D4541" s="109" t="s">
        <v>16363</v>
      </c>
      <c r="E4541" s="109"/>
      <c r="F4541" s="391" t="s">
        <v>16949</v>
      </c>
      <c r="G4541" s="23"/>
      <c r="H4541" s="23"/>
      <c r="I4541" s="23"/>
      <c r="J4541" s="23"/>
      <c r="K4541" s="23"/>
      <c r="L4541" s="350"/>
      <c r="M4541" s="351"/>
      <c r="N4541" s="267">
        <f t="shared" si="1695"/>
        <v>0</v>
      </c>
      <c r="O4541" s="268">
        <f t="shared" si="1696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90"/>
        <v>0</v>
      </c>
      <c r="AD4541" s="196">
        <f t="shared" si="1691"/>
        <v>0</v>
      </c>
      <c r="AE4541" s="196">
        <f t="shared" si="1692"/>
        <v>0</v>
      </c>
      <c r="AF4541" s="2">
        <f t="shared" si="1693"/>
        <v>0</v>
      </c>
      <c r="AG4541" s="2">
        <f t="shared" si="1694"/>
        <v>0</v>
      </c>
    </row>
    <row r="4542" spans="1:33">
      <c r="A4542" s="20" t="s">
        <v>2976</v>
      </c>
      <c r="B4542" s="150"/>
      <c r="C4542" s="21" t="s">
        <v>700</v>
      </c>
      <c r="D4542" s="109" t="s">
        <v>16951</v>
      </c>
      <c r="E4542" s="109" t="s">
        <v>16220</v>
      </c>
      <c r="F4542" s="391" t="s">
        <v>16949</v>
      </c>
      <c r="G4542" s="23"/>
      <c r="H4542" s="23"/>
      <c r="I4542" s="23"/>
      <c r="J4542" s="23"/>
      <c r="K4542" s="23"/>
      <c r="L4542" s="350"/>
      <c r="M4542" s="351"/>
      <c r="N4542" s="267">
        <f t="shared" si="1695"/>
        <v>0</v>
      </c>
      <c r="O4542" s="268">
        <f t="shared" si="1696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>
        <v>0</v>
      </c>
      <c r="Z4542" s="237"/>
      <c r="AA4542" s="279"/>
      <c r="AB4542" s="238"/>
      <c r="AC4542" s="196">
        <f t="shared" si="1690"/>
        <v>0</v>
      </c>
      <c r="AD4542" s="196">
        <f t="shared" si="1691"/>
        <v>0</v>
      </c>
      <c r="AE4542" s="196">
        <f t="shared" si="1692"/>
        <v>0</v>
      </c>
      <c r="AF4542" s="2">
        <f t="shared" si="1693"/>
        <v>0</v>
      </c>
      <c r="AG4542" s="2">
        <f t="shared" si="1694"/>
        <v>0</v>
      </c>
    </row>
    <row r="4543" spans="1:33">
      <c r="A4543" s="20" t="s">
        <v>2975</v>
      </c>
      <c r="B4543" s="150"/>
      <c r="C4543" s="21" t="s">
        <v>700</v>
      </c>
      <c r="D4543" s="109" t="s">
        <v>16951</v>
      </c>
      <c r="E4543" s="109"/>
      <c r="F4543" s="391" t="s">
        <v>16949</v>
      </c>
      <c r="G4543" s="23"/>
      <c r="H4543" s="23"/>
      <c r="I4543" s="23"/>
      <c r="J4543" s="23"/>
      <c r="K4543" s="23"/>
      <c r="L4543" s="350"/>
      <c r="M4543" s="351"/>
      <c r="N4543" s="267">
        <f t="shared" si="1695"/>
        <v>0</v>
      </c>
      <c r="O4543" s="268">
        <f t="shared" si="1696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/>
      <c r="Z4543" s="237"/>
      <c r="AA4543" s="279"/>
      <c r="AB4543" s="238"/>
      <c r="AC4543" s="196">
        <f t="shared" si="1690"/>
        <v>0</v>
      </c>
      <c r="AD4543" s="196">
        <f t="shared" si="1691"/>
        <v>0</v>
      </c>
      <c r="AE4543" s="196">
        <f t="shared" si="1692"/>
        <v>0</v>
      </c>
      <c r="AF4543" s="2">
        <f t="shared" si="1693"/>
        <v>0</v>
      </c>
      <c r="AG4543" s="2">
        <f t="shared" si="1694"/>
        <v>0</v>
      </c>
    </row>
    <row r="4544" spans="1:33">
      <c r="A4544" s="20" t="s">
        <v>2972</v>
      </c>
      <c r="B4544" s="150"/>
      <c r="C4544" s="21" t="s">
        <v>700</v>
      </c>
      <c r="D4544" s="109" t="s">
        <v>16458</v>
      </c>
      <c r="E4544" s="109"/>
      <c r="F4544" s="391" t="s">
        <v>16949</v>
      </c>
      <c r="G4544" s="23" t="s">
        <v>16070</v>
      </c>
      <c r="H4544" s="23"/>
      <c r="I4544" s="23"/>
      <c r="J4544" s="23"/>
      <c r="K4544" s="23"/>
      <c r="L4544" s="350"/>
      <c r="M4544" s="351"/>
      <c r="N4544" s="267">
        <f t="shared" si="1695"/>
        <v>0</v>
      </c>
      <c r="O4544" s="268">
        <f t="shared" si="1696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90"/>
        <v>0</v>
      </c>
      <c r="AD4544" s="196">
        <f t="shared" si="1691"/>
        <v>0</v>
      </c>
      <c r="AE4544" s="196">
        <f t="shared" si="1692"/>
        <v>0</v>
      </c>
      <c r="AF4544" s="2">
        <f t="shared" si="1693"/>
        <v>0</v>
      </c>
      <c r="AG4544" s="2">
        <f t="shared" si="1694"/>
        <v>0</v>
      </c>
    </row>
    <row r="4545" spans="1:33">
      <c r="A4545" s="20" t="s">
        <v>2978</v>
      </c>
      <c r="B4545" s="150"/>
      <c r="C4545" s="21" t="s">
        <v>863</v>
      </c>
      <c r="D4545" s="109" t="s">
        <v>15167</v>
      </c>
      <c r="E4545" s="109"/>
      <c r="F4545" s="391" t="s">
        <v>16952</v>
      </c>
      <c r="G4545" s="23"/>
      <c r="H4545" s="23"/>
      <c r="I4545" s="23"/>
      <c r="J4545" s="23"/>
      <c r="K4545" s="23"/>
      <c r="L4545" s="350"/>
      <c r="M4545" s="351"/>
      <c r="N4545" s="267">
        <f t="shared" si="1695"/>
        <v>0</v>
      </c>
      <c r="O4545" s="268">
        <f t="shared" si="1696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90"/>
        <v>0</v>
      </c>
      <c r="AD4545" s="196">
        <f t="shared" si="1691"/>
        <v>0</v>
      </c>
      <c r="AE4545" s="196">
        <f t="shared" si="1692"/>
        <v>0</v>
      </c>
      <c r="AF4545" s="2">
        <f t="shared" si="1693"/>
        <v>0</v>
      </c>
      <c r="AG4545" s="2">
        <f t="shared" si="1694"/>
        <v>0</v>
      </c>
    </row>
    <row r="4546" spans="1:33">
      <c r="A4546" s="20" t="s">
        <v>2977</v>
      </c>
      <c r="B4546" s="150"/>
      <c r="C4546" s="21" t="s">
        <v>16953</v>
      </c>
      <c r="D4546" s="109" t="s">
        <v>16795</v>
      </c>
      <c r="E4546" s="109"/>
      <c r="F4546" s="391" t="s">
        <v>16949</v>
      </c>
      <c r="G4546" s="23" t="s">
        <v>16141</v>
      </c>
      <c r="H4546" s="23"/>
      <c r="I4546" s="23"/>
      <c r="J4546" s="23"/>
      <c r="K4546" s="23"/>
      <c r="L4546" s="350"/>
      <c r="M4546" s="351"/>
      <c r="N4546" s="267">
        <f t="shared" si="1695"/>
        <v>0</v>
      </c>
      <c r="O4546" s="268">
        <f t="shared" si="1696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90"/>
        <v>0</v>
      </c>
      <c r="AD4546" s="196">
        <f t="shared" si="1691"/>
        <v>0</v>
      </c>
      <c r="AE4546" s="196">
        <f t="shared" si="1692"/>
        <v>0</v>
      </c>
      <c r="AF4546" s="2">
        <f t="shared" si="1693"/>
        <v>0</v>
      </c>
      <c r="AG4546" s="2">
        <f t="shared" si="1694"/>
        <v>0</v>
      </c>
    </row>
    <row r="4547" spans="1:33">
      <c r="A4547" s="20" t="s">
        <v>2979</v>
      </c>
      <c r="B4547" s="156"/>
      <c r="C4547" s="21" t="s">
        <v>864</v>
      </c>
      <c r="D4547" s="109" t="s">
        <v>15161</v>
      </c>
      <c r="E4547" s="109"/>
      <c r="F4547" s="391" t="s">
        <v>16954</v>
      </c>
      <c r="G4547" s="23" t="s">
        <v>16142</v>
      </c>
      <c r="H4547" s="23"/>
      <c r="I4547" s="23"/>
      <c r="J4547" s="23"/>
      <c r="K4547" s="23"/>
      <c r="L4547" s="350"/>
      <c r="M4547" s="357" t="s">
        <v>7787</v>
      </c>
      <c r="N4547" s="267">
        <f t="shared" si="1695"/>
        <v>0</v>
      </c>
      <c r="O4547" s="268">
        <f t="shared" si="1696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90"/>
        <v>0</v>
      </c>
      <c r="AD4547" s="196">
        <f t="shared" si="1691"/>
        <v>0</v>
      </c>
      <c r="AE4547" s="196">
        <f t="shared" si="1692"/>
        <v>0</v>
      </c>
      <c r="AF4547" s="2">
        <f t="shared" si="1693"/>
        <v>0</v>
      </c>
      <c r="AG4547" s="2">
        <f t="shared" si="1694"/>
        <v>0</v>
      </c>
    </row>
    <row r="4548" spans="1:33">
      <c r="A4548" s="20" t="s">
        <v>2980</v>
      </c>
      <c r="B4548" s="161"/>
      <c r="C4548" s="21" t="s">
        <v>864</v>
      </c>
      <c r="D4548" s="109" t="s">
        <v>16363</v>
      </c>
      <c r="E4548" s="109"/>
      <c r="F4548" s="391" t="s">
        <v>16954</v>
      </c>
      <c r="G4548" s="23"/>
      <c r="H4548" s="23"/>
      <c r="I4548" s="23"/>
      <c r="J4548" s="23"/>
      <c r="K4548" s="23"/>
      <c r="L4548" s="350"/>
      <c r="M4548" s="351"/>
      <c r="N4548" s="267">
        <f t="shared" si="1695"/>
        <v>0</v>
      </c>
      <c r="O4548" s="268">
        <f t="shared" si="1696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90"/>
        <v>0</v>
      </c>
      <c r="AD4548" s="196">
        <f t="shared" si="1691"/>
        <v>0</v>
      </c>
      <c r="AE4548" s="196">
        <f t="shared" si="1692"/>
        <v>0</v>
      </c>
      <c r="AF4548" s="2">
        <f t="shared" si="1693"/>
        <v>0</v>
      </c>
      <c r="AG4548" s="2">
        <f t="shared" si="1694"/>
        <v>0</v>
      </c>
    </row>
    <row r="4549" spans="1:33">
      <c r="A4549" s="20" t="s">
        <v>2981</v>
      </c>
      <c r="B4549" s="150"/>
      <c r="C4549" s="21" t="s">
        <v>865</v>
      </c>
      <c r="D4549" s="109" t="s">
        <v>15161</v>
      </c>
      <c r="E4549" s="109"/>
      <c r="F4549" s="391" t="s">
        <v>16955</v>
      </c>
      <c r="G4549" s="23" t="s">
        <v>15802</v>
      </c>
      <c r="H4549" s="23" t="s">
        <v>19689</v>
      </c>
      <c r="I4549" s="23"/>
      <c r="J4549" s="23"/>
      <c r="K4549" s="23"/>
      <c r="L4549" s="350" t="s">
        <v>7787</v>
      </c>
      <c r="M4549" s="351"/>
      <c r="N4549" s="267">
        <f t="shared" si="1695"/>
        <v>0</v>
      </c>
      <c r="O4549" s="268">
        <f t="shared" si="1696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90"/>
        <v>0</v>
      </c>
      <c r="AD4549" s="196">
        <f t="shared" si="1691"/>
        <v>0</v>
      </c>
      <c r="AE4549" s="196">
        <f t="shared" si="1692"/>
        <v>0</v>
      </c>
      <c r="AF4549" s="2">
        <f t="shared" si="1693"/>
        <v>0</v>
      </c>
      <c r="AG4549" s="2">
        <f t="shared" si="1694"/>
        <v>0</v>
      </c>
    </row>
    <row r="4550" spans="1:33">
      <c r="A4550" s="20" t="s">
        <v>2982</v>
      </c>
      <c r="B4550" s="150"/>
      <c r="C4550" s="21" t="s">
        <v>699</v>
      </c>
      <c r="D4550" s="109" t="s">
        <v>16216</v>
      </c>
      <c r="E4550" s="109" t="s">
        <v>16219</v>
      </c>
      <c r="F4550" s="391" t="s">
        <v>16956</v>
      </c>
      <c r="G4550" s="23"/>
      <c r="H4550" s="23"/>
      <c r="I4550" s="23"/>
      <c r="J4550" s="23"/>
      <c r="K4550" s="23"/>
      <c r="L4550" s="350"/>
      <c r="M4550" s="351"/>
      <c r="N4550" s="267">
        <f t="shared" si="1695"/>
        <v>0</v>
      </c>
      <c r="O4550" s="268">
        <f t="shared" si="1696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90"/>
        <v>0</v>
      </c>
      <c r="AD4550" s="196">
        <f t="shared" si="1691"/>
        <v>0</v>
      </c>
      <c r="AE4550" s="196">
        <f t="shared" si="1692"/>
        <v>0</v>
      </c>
      <c r="AF4550" s="2">
        <f t="shared" si="1693"/>
        <v>0</v>
      </c>
      <c r="AG4550" s="2">
        <f t="shared" si="1694"/>
        <v>0</v>
      </c>
    </row>
    <row r="4551" spans="1:33">
      <c r="A4551" s="20" t="s">
        <v>2984</v>
      </c>
      <c r="B4551" s="150"/>
      <c r="C4551" s="21" t="s">
        <v>699</v>
      </c>
      <c r="D4551" s="109" t="s">
        <v>16376</v>
      </c>
      <c r="E4551" s="109" t="s">
        <v>15965</v>
      </c>
      <c r="F4551" s="391" t="s">
        <v>16956</v>
      </c>
      <c r="G4551" s="23"/>
      <c r="H4551" s="23"/>
      <c r="I4551" s="23"/>
      <c r="J4551" s="23"/>
      <c r="K4551" s="23"/>
      <c r="L4551" s="350"/>
      <c r="M4551" s="351"/>
      <c r="N4551" s="267">
        <f t="shared" si="1695"/>
        <v>0</v>
      </c>
      <c r="O4551" s="268">
        <f t="shared" si="1696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90"/>
        <v>0</v>
      </c>
      <c r="AD4551" s="196">
        <f t="shared" si="1691"/>
        <v>0</v>
      </c>
      <c r="AE4551" s="196">
        <f t="shared" si="1692"/>
        <v>0</v>
      </c>
      <c r="AF4551" s="2">
        <f t="shared" si="1693"/>
        <v>0</v>
      </c>
      <c r="AG4551" s="2">
        <f t="shared" si="1694"/>
        <v>0</v>
      </c>
    </row>
    <row r="4552" spans="1:33">
      <c r="A4552" s="20" t="s">
        <v>2983</v>
      </c>
      <c r="B4552" s="150"/>
      <c r="C4552" s="21" t="s">
        <v>699</v>
      </c>
      <c r="D4552" s="109" t="s">
        <v>15167</v>
      </c>
      <c r="E4552" s="109"/>
      <c r="F4552" s="391" t="s">
        <v>16956</v>
      </c>
      <c r="G4552" s="23"/>
      <c r="H4552" s="23"/>
      <c r="I4552" s="23"/>
      <c r="J4552" s="23"/>
      <c r="K4552" s="23"/>
      <c r="L4552" s="350"/>
      <c r="M4552" s="351"/>
      <c r="N4552" s="267">
        <f t="shared" si="1695"/>
        <v>0</v>
      </c>
      <c r="O4552" s="268">
        <f t="shared" si="1696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90"/>
        <v>0</v>
      </c>
      <c r="AD4552" s="196">
        <f t="shared" si="1691"/>
        <v>0</v>
      </c>
      <c r="AE4552" s="196">
        <f t="shared" si="1692"/>
        <v>0</v>
      </c>
      <c r="AF4552" s="2">
        <f t="shared" si="1693"/>
        <v>0</v>
      </c>
      <c r="AG4552" s="2">
        <f t="shared" si="1694"/>
        <v>0</v>
      </c>
    </row>
    <row r="4553" spans="1:33">
      <c r="A4553" s="20" t="s">
        <v>2944</v>
      </c>
      <c r="B4553" s="150"/>
      <c r="C4553" s="21" t="s">
        <v>859</v>
      </c>
      <c r="D4553" s="109" t="s">
        <v>15161</v>
      </c>
      <c r="E4553" s="109"/>
      <c r="F4553" s="391" t="s">
        <v>16931</v>
      </c>
      <c r="G4553" s="23"/>
      <c r="H4553" s="23"/>
      <c r="I4553" s="23"/>
      <c r="J4553" s="23"/>
      <c r="K4553" s="23"/>
      <c r="L4553" s="350"/>
      <c r="M4553" s="351"/>
      <c r="N4553" s="267">
        <f t="shared" si="1695"/>
        <v>0</v>
      </c>
      <c r="O4553" s="268">
        <f t="shared" si="1696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90"/>
        <v>0</v>
      </c>
      <c r="AD4553" s="196">
        <f t="shared" si="1691"/>
        <v>0</v>
      </c>
      <c r="AE4553" s="196">
        <f t="shared" si="1692"/>
        <v>0</v>
      </c>
      <c r="AF4553" s="2">
        <f t="shared" si="1693"/>
        <v>0</v>
      </c>
      <c r="AG4553" s="2">
        <f t="shared" si="1694"/>
        <v>0</v>
      </c>
    </row>
    <row r="4554" spans="1:33">
      <c r="A4554" s="20" t="s">
        <v>2945</v>
      </c>
      <c r="B4554" s="150"/>
      <c r="C4554" s="21" t="s">
        <v>859</v>
      </c>
      <c r="D4554" s="109" t="s">
        <v>15167</v>
      </c>
      <c r="E4554" s="109"/>
      <c r="F4554" s="391" t="s">
        <v>16931</v>
      </c>
      <c r="G4554" s="23"/>
      <c r="H4554" s="23"/>
      <c r="I4554" s="23"/>
      <c r="J4554" s="23"/>
      <c r="K4554" s="23"/>
      <c r="L4554" s="350"/>
      <c r="M4554" s="351"/>
      <c r="N4554" s="267">
        <f t="shared" si="1695"/>
        <v>0</v>
      </c>
      <c r="O4554" s="268">
        <f t="shared" si="1696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90"/>
        <v>0</v>
      </c>
      <c r="AD4554" s="196">
        <f t="shared" si="1691"/>
        <v>0</v>
      </c>
      <c r="AE4554" s="196">
        <f t="shared" si="1692"/>
        <v>0</v>
      </c>
      <c r="AF4554" s="2">
        <f t="shared" si="1693"/>
        <v>0</v>
      </c>
      <c r="AG4554" s="2">
        <f t="shared" si="1694"/>
        <v>0</v>
      </c>
    </row>
    <row r="4555" spans="1:33">
      <c r="A4555" s="20" t="s">
        <v>2946</v>
      </c>
      <c r="B4555" s="150"/>
      <c r="C4555" s="21" t="s">
        <v>859</v>
      </c>
      <c r="D4555" s="109" t="s">
        <v>16363</v>
      </c>
      <c r="E4555" s="109"/>
      <c r="F4555" s="391" t="s">
        <v>16931</v>
      </c>
      <c r="G4555" s="23"/>
      <c r="H4555" s="23"/>
      <c r="I4555" s="23"/>
      <c r="J4555" s="23"/>
      <c r="K4555" s="23"/>
      <c r="L4555" s="350"/>
      <c r="M4555" s="351"/>
      <c r="N4555" s="267">
        <f t="shared" si="1695"/>
        <v>0</v>
      </c>
      <c r="O4555" s="268">
        <f t="shared" si="1696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90"/>
        <v>0</v>
      </c>
      <c r="AD4555" s="196">
        <f t="shared" si="1691"/>
        <v>0</v>
      </c>
      <c r="AE4555" s="196">
        <f t="shared" si="1692"/>
        <v>0</v>
      </c>
      <c r="AF4555" s="2">
        <f t="shared" si="1693"/>
        <v>0</v>
      </c>
      <c r="AG4555" s="2">
        <f t="shared" si="1694"/>
        <v>0</v>
      </c>
    </row>
    <row r="4556" spans="1:33">
      <c r="A4556" s="20" t="s">
        <v>2951</v>
      </c>
      <c r="B4556" s="150"/>
      <c r="C4556" s="21" t="s">
        <v>860</v>
      </c>
      <c r="D4556" s="109" t="s">
        <v>16376</v>
      </c>
      <c r="E4556" s="109" t="s">
        <v>15965</v>
      </c>
      <c r="F4556" s="391" t="s">
        <v>16957</v>
      </c>
      <c r="G4556" s="23"/>
      <c r="H4556" s="23"/>
      <c r="I4556" s="23"/>
      <c r="J4556" s="23"/>
      <c r="K4556" s="23"/>
      <c r="L4556" s="350"/>
      <c r="M4556" s="351"/>
      <c r="N4556" s="267">
        <f t="shared" si="1695"/>
        <v>0</v>
      </c>
      <c r="O4556" s="268">
        <f t="shared" si="1696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90"/>
        <v>0</v>
      </c>
      <c r="AD4556" s="196">
        <f t="shared" si="1691"/>
        <v>0</v>
      </c>
      <c r="AE4556" s="196">
        <f t="shared" si="1692"/>
        <v>0</v>
      </c>
      <c r="AF4556" s="2">
        <f t="shared" si="1693"/>
        <v>0</v>
      </c>
      <c r="AG4556" s="2">
        <f t="shared" si="1694"/>
        <v>0</v>
      </c>
    </row>
    <row r="4557" spans="1:33">
      <c r="A4557" s="20" t="s">
        <v>2952</v>
      </c>
      <c r="B4557" s="150"/>
      <c r="C4557" s="21" t="s">
        <v>860</v>
      </c>
      <c r="D4557" s="109" t="s">
        <v>16958</v>
      </c>
      <c r="E4557" s="109" t="s">
        <v>15965</v>
      </c>
      <c r="F4557" s="391" t="s">
        <v>16957</v>
      </c>
      <c r="G4557" s="23"/>
      <c r="H4557" s="23"/>
      <c r="I4557" s="23"/>
      <c r="J4557" s="23"/>
      <c r="K4557" s="23"/>
      <c r="L4557" s="350"/>
      <c r="M4557" s="351"/>
      <c r="N4557" s="267">
        <f t="shared" si="1695"/>
        <v>0</v>
      </c>
      <c r="O4557" s="268">
        <f t="shared" si="1696"/>
        <v>0</v>
      </c>
      <c r="P4557" s="239"/>
      <c r="Q4557" s="239"/>
      <c r="R4557" s="239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90"/>
        <v>0</v>
      </c>
      <c r="AD4557" s="196">
        <f t="shared" si="1691"/>
        <v>0</v>
      </c>
      <c r="AE4557" s="196">
        <f t="shared" si="1692"/>
        <v>0</v>
      </c>
      <c r="AF4557" s="2">
        <f t="shared" si="1693"/>
        <v>0</v>
      </c>
      <c r="AG4557" s="2">
        <f t="shared" si="1694"/>
        <v>0</v>
      </c>
    </row>
    <row r="4558" spans="1:33">
      <c r="A4558" s="20" t="s">
        <v>2948</v>
      </c>
      <c r="B4558" s="161"/>
      <c r="C4558" s="21" t="s">
        <v>860</v>
      </c>
      <c r="D4558" s="109" t="s">
        <v>15161</v>
      </c>
      <c r="E4558" s="109"/>
      <c r="F4558" s="391" t="s">
        <v>16957</v>
      </c>
      <c r="G4558" s="23"/>
      <c r="H4558" s="23"/>
      <c r="I4558" s="23"/>
      <c r="J4558" s="23"/>
      <c r="K4558" s="23"/>
      <c r="L4558" s="350"/>
      <c r="M4558" s="351"/>
      <c r="N4558" s="267">
        <f t="shared" si="1695"/>
        <v>0</v>
      </c>
      <c r="O4558" s="268">
        <f t="shared" si="1696"/>
        <v>0</v>
      </c>
      <c r="P4558" s="239"/>
      <c r="Q4558" s="239"/>
      <c r="R4558" s="239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90"/>
        <v>0</v>
      </c>
      <c r="AD4558" s="196">
        <f t="shared" si="1691"/>
        <v>0</v>
      </c>
      <c r="AE4558" s="196">
        <f t="shared" si="1692"/>
        <v>0</v>
      </c>
      <c r="AF4558" s="2">
        <f t="shared" si="1693"/>
        <v>0</v>
      </c>
      <c r="AG4558" s="2">
        <f t="shared" si="1694"/>
        <v>0</v>
      </c>
    </row>
    <row r="4559" spans="1:33">
      <c r="A4559" s="20" t="s">
        <v>2949</v>
      </c>
      <c r="B4559" s="150"/>
      <c r="C4559" s="21" t="s">
        <v>860</v>
      </c>
      <c r="D4559" s="109" t="s">
        <v>15167</v>
      </c>
      <c r="E4559" s="109"/>
      <c r="F4559" s="391" t="s">
        <v>16957</v>
      </c>
      <c r="G4559" s="23"/>
      <c r="H4559" s="23"/>
      <c r="I4559" s="23"/>
      <c r="J4559" s="23"/>
      <c r="K4559" s="23"/>
      <c r="L4559" s="350"/>
      <c r="M4559" s="351"/>
      <c r="N4559" s="267">
        <f t="shared" si="1695"/>
        <v>0</v>
      </c>
      <c r="O4559" s="268">
        <f t="shared" si="1696"/>
        <v>0</v>
      </c>
      <c r="P4559" s="239"/>
      <c r="Q4559" s="239"/>
      <c r="R4559" s="239"/>
      <c r="S4559" s="239"/>
      <c r="T4559" s="239"/>
      <c r="U4559" s="240"/>
      <c r="V4559" s="240"/>
      <c r="W4559" s="240"/>
      <c r="X4559" s="278"/>
      <c r="Y4559" s="237"/>
      <c r="Z4559" s="237"/>
      <c r="AA4559" s="279"/>
      <c r="AB4559" s="238"/>
      <c r="AC4559" s="196">
        <f t="shared" si="1690"/>
        <v>0</v>
      </c>
      <c r="AD4559" s="196">
        <f t="shared" si="1691"/>
        <v>0</v>
      </c>
      <c r="AE4559" s="196">
        <f t="shared" si="1692"/>
        <v>0</v>
      </c>
      <c r="AF4559" s="2">
        <f t="shared" si="1693"/>
        <v>0</v>
      </c>
      <c r="AG4559" s="2">
        <f t="shared" si="1694"/>
        <v>0</v>
      </c>
    </row>
    <row r="4560" spans="1:33">
      <c r="A4560" s="20" t="s">
        <v>2950</v>
      </c>
      <c r="B4560" s="150"/>
      <c r="C4560" s="21" t="s">
        <v>860</v>
      </c>
      <c r="D4560" s="109" t="s">
        <v>16363</v>
      </c>
      <c r="E4560" s="109"/>
      <c r="F4560" s="391" t="s">
        <v>16957</v>
      </c>
      <c r="G4560" s="23"/>
      <c r="H4560" s="23"/>
      <c r="I4560" s="23"/>
      <c r="J4560" s="23"/>
      <c r="K4560" s="23"/>
      <c r="L4560" s="350"/>
      <c r="M4560" s="351"/>
      <c r="N4560" s="267">
        <f t="shared" si="1695"/>
        <v>0</v>
      </c>
      <c r="O4560" s="268">
        <f t="shared" si="1696"/>
        <v>0</v>
      </c>
      <c r="P4560" s="239"/>
      <c r="Q4560" s="239"/>
      <c r="R4560" s="239"/>
      <c r="S4560" s="239"/>
      <c r="T4560" s="239"/>
      <c r="U4560" s="240"/>
      <c r="V4560" s="240"/>
      <c r="W4560" s="240"/>
      <c r="X4560" s="278"/>
      <c r="Y4560" s="237"/>
      <c r="Z4560" s="237"/>
      <c r="AA4560" s="279"/>
      <c r="AB4560" s="238"/>
      <c r="AC4560" s="196">
        <f t="shared" si="1690"/>
        <v>0</v>
      </c>
      <c r="AD4560" s="196">
        <f t="shared" si="1691"/>
        <v>0</v>
      </c>
      <c r="AE4560" s="196">
        <f t="shared" si="1692"/>
        <v>0</v>
      </c>
      <c r="AF4560" s="2">
        <f t="shared" si="1693"/>
        <v>0</v>
      </c>
      <c r="AG4560" s="2">
        <f t="shared" si="1694"/>
        <v>0</v>
      </c>
    </row>
    <row r="4561" spans="1:33">
      <c r="A4561" s="20" t="s">
        <v>2956</v>
      </c>
      <c r="B4561" s="150"/>
      <c r="C4561" s="21" t="s">
        <v>669</v>
      </c>
      <c r="D4561" s="109" t="s">
        <v>16251</v>
      </c>
      <c r="E4561" s="109"/>
      <c r="F4561" s="391" t="s">
        <v>16959</v>
      </c>
      <c r="G4561" s="23"/>
      <c r="H4561" s="23"/>
      <c r="I4561" s="23"/>
      <c r="J4561" s="23"/>
      <c r="K4561" s="23"/>
      <c r="L4561" s="350"/>
      <c r="M4561" s="351"/>
      <c r="N4561" s="267">
        <f t="shared" si="1695"/>
        <v>0</v>
      </c>
      <c r="O4561" s="268">
        <f t="shared" si="1696"/>
        <v>0</v>
      </c>
      <c r="P4561" s="239"/>
      <c r="Q4561" s="239"/>
      <c r="R4561" s="239"/>
      <c r="S4561" s="239"/>
      <c r="T4561" s="239"/>
      <c r="U4561" s="240"/>
      <c r="V4561" s="240"/>
      <c r="W4561" s="240"/>
      <c r="X4561" s="278"/>
      <c r="Y4561" s="237"/>
      <c r="Z4561" s="237"/>
      <c r="AA4561" s="279"/>
      <c r="AB4561" s="238"/>
      <c r="AC4561" s="196">
        <f t="shared" si="1690"/>
        <v>0</v>
      </c>
      <c r="AD4561" s="196">
        <f t="shared" si="1691"/>
        <v>0</v>
      </c>
      <c r="AE4561" s="196">
        <f t="shared" si="1692"/>
        <v>0</v>
      </c>
      <c r="AF4561" s="2">
        <f t="shared" si="1693"/>
        <v>0</v>
      </c>
      <c r="AG4561" s="2">
        <f t="shared" si="1694"/>
        <v>0</v>
      </c>
    </row>
    <row r="4562" spans="1:33">
      <c r="A4562" s="20" t="s">
        <v>2994</v>
      </c>
      <c r="B4562" s="150"/>
      <c r="C4562" s="21" t="s">
        <v>697</v>
      </c>
      <c r="D4562" s="109" t="s">
        <v>16376</v>
      </c>
      <c r="E4562" s="109" t="s">
        <v>15965</v>
      </c>
      <c r="F4562" s="391" t="s">
        <v>16949</v>
      </c>
      <c r="G4562" s="23"/>
      <c r="H4562" s="23"/>
      <c r="I4562" s="23"/>
      <c r="J4562" s="23"/>
      <c r="K4562" s="23"/>
      <c r="L4562" s="350"/>
      <c r="M4562" s="351"/>
      <c r="N4562" s="267">
        <f t="shared" si="1695"/>
        <v>0</v>
      </c>
      <c r="O4562" s="268">
        <f t="shared" si="1696"/>
        <v>0</v>
      </c>
      <c r="P4562" s="239"/>
      <c r="Q4562" s="239"/>
      <c r="R4562" s="239"/>
      <c r="S4562" s="239"/>
      <c r="T4562" s="239"/>
      <c r="U4562" s="240"/>
      <c r="V4562" s="240"/>
      <c r="W4562" s="240"/>
      <c r="X4562" s="278"/>
      <c r="Y4562" s="237"/>
      <c r="Z4562" s="237"/>
      <c r="AA4562" s="279"/>
      <c r="AB4562" s="238"/>
      <c r="AC4562" s="196">
        <f t="shared" si="1690"/>
        <v>0</v>
      </c>
      <c r="AD4562" s="196">
        <f t="shared" si="1691"/>
        <v>0</v>
      </c>
      <c r="AE4562" s="196">
        <f t="shared" si="1692"/>
        <v>0</v>
      </c>
      <c r="AF4562" s="2">
        <f t="shared" si="1693"/>
        <v>0</v>
      </c>
      <c r="AG4562" s="2">
        <f t="shared" si="1694"/>
        <v>0</v>
      </c>
    </row>
    <row r="4563" spans="1:33">
      <c r="A4563" s="20" t="s">
        <v>2991</v>
      </c>
      <c r="B4563" s="150"/>
      <c r="C4563" s="21" t="s">
        <v>697</v>
      </c>
      <c r="D4563" s="109" t="s">
        <v>16445</v>
      </c>
      <c r="E4563" s="109"/>
      <c r="F4563" s="391" t="s">
        <v>16949</v>
      </c>
      <c r="G4563" s="23" t="s">
        <v>16070</v>
      </c>
      <c r="H4563" s="23" t="s">
        <v>16448</v>
      </c>
      <c r="I4563" s="23" t="s">
        <v>16571</v>
      </c>
      <c r="J4563" s="23"/>
      <c r="K4563" s="23"/>
      <c r="L4563" s="375"/>
      <c r="M4563" s="351" t="s">
        <v>7787</v>
      </c>
      <c r="N4563" s="267">
        <f t="shared" si="1695"/>
        <v>0</v>
      </c>
      <c r="O4563" s="268">
        <f t="shared" si="1696"/>
        <v>0</v>
      </c>
      <c r="P4563" s="239"/>
      <c r="Q4563" s="239"/>
      <c r="R4563" s="239"/>
      <c r="S4563" s="239"/>
      <c r="T4563" s="239"/>
      <c r="U4563" s="240"/>
      <c r="V4563" s="240"/>
      <c r="W4563" s="240"/>
      <c r="X4563" s="278"/>
      <c r="Y4563" s="237"/>
      <c r="Z4563" s="237"/>
      <c r="AA4563" s="279"/>
      <c r="AB4563" s="238"/>
      <c r="AC4563" s="196">
        <f t="shared" si="1690"/>
        <v>0</v>
      </c>
      <c r="AD4563" s="196">
        <f t="shared" si="1691"/>
        <v>0</v>
      </c>
      <c r="AE4563" s="196">
        <f t="shared" si="1692"/>
        <v>0</v>
      </c>
      <c r="AF4563" s="2">
        <f t="shared" si="1693"/>
        <v>0</v>
      </c>
      <c r="AG4563" s="2">
        <f t="shared" si="1694"/>
        <v>0</v>
      </c>
    </row>
    <row r="4564" spans="1:33">
      <c r="A4564" s="20" t="s">
        <v>2990</v>
      </c>
      <c r="B4564" s="150"/>
      <c r="C4564" s="21" t="s">
        <v>697</v>
      </c>
      <c r="D4564" s="109" t="s">
        <v>15161</v>
      </c>
      <c r="E4564" s="109"/>
      <c r="F4564" s="391" t="s">
        <v>16949</v>
      </c>
      <c r="G4564" s="23" t="s">
        <v>13934</v>
      </c>
      <c r="H4564" s="23"/>
      <c r="I4564" s="23"/>
      <c r="J4564" s="23"/>
      <c r="K4564" s="23"/>
      <c r="L4564" s="375" t="s">
        <v>7787</v>
      </c>
      <c r="M4564" s="351"/>
      <c r="N4564" s="267">
        <f t="shared" si="1695"/>
        <v>0</v>
      </c>
      <c r="O4564" s="268">
        <f t="shared" si="1696"/>
        <v>0</v>
      </c>
      <c r="P4564" s="239"/>
      <c r="Q4564" s="239"/>
      <c r="R4564" s="239"/>
      <c r="S4564" s="239"/>
      <c r="T4564" s="239"/>
      <c r="U4564" s="240"/>
      <c r="V4564" s="240"/>
      <c r="W4564" s="240"/>
      <c r="X4564" s="278"/>
      <c r="Y4564" s="237"/>
      <c r="Z4564" s="237"/>
      <c r="AA4564" s="279"/>
      <c r="AB4564" s="238"/>
      <c r="AC4564" s="196">
        <f t="shared" si="1690"/>
        <v>0</v>
      </c>
      <c r="AD4564" s="196">
        <f t="shared" si="1691"/>
        <v>0</v>
      </c>
      <c r="AE4564" s="196">
        <f t="shared" si="1692"/>
        <v>0</v>
      </c>
      <c r="AF4564" s="2">
        <f t="shared" si="1693"/>
        <v>0</v>
      </c>
      <c r="AG4564" s="2">
        <f t="shared" si="1694"/>
        <v>0</v>
      </c>
    </row>
    <row r="4565" spans="1:33">
      <c r="A4565" s="20" t="s">
        <v>2992</v>
      </c>
      <c r="B4565" s="150"/>
      <c r="C4565" s="21" t="s">
        <v>697</v>
      </c>
      <c r="D4565" s="109" t="s">
        <v>15167</v>
      </c>
      <c r="E4565" s="109"/>
      <c r="F4565" s="391" t="s">
        <v>16949</v>
      </c>
      <c r="G4565" s="23" t="s">
        <v>16960</v>
      </c>
      <c r="H4565" s="23"/>
      <c r="I4565" s="23"/>
      <c r="J4565" s="23"/>
      <c r="K4565" s="23"/>
      <c r="L4565" s="350"/>
      <c r="M4565" s="351"/>
      <c r="N4565" s="267">
        <f t="shared" si="1695"/>
        <v>0</v>
      </c>
      <c r="O4565" s="268">
        <f t="shared" si="1696"/>
        <v>0</v>
      </c>
      <c r="P4565" s="239"/>
      <c r="Q4565" s="239"/>
      <c r="R4565" s="248"/>
      <c r="S4565" s="239"/>
      <c r="T4565" s="239"/>
      <c r="U4565" s="240"/>
      <c r="V4565" s="240"/>
      <c r="W4565" s="240"/>
      <c r="X4565" s="278"/>
      <c r="Y4565" s="237"/>
      <c r="Z4565" s="237"/>
      <c r="AA4565" s="279"/>
      <c r="AB4565" s="238"/>
      <c r="AC4565" s="196">
        <f t="shared" si="1690"/>
        <v>0</v>
      </c>
      <c r="AD4565" s="196">
        <f t="shared" si="1691"/>
        <v>0</v>
      </c>
      <c r="AE4565" s="196">
        <f t="shared" si="1692"/>
        <v>0</v>
      </c>
      <c r="AF4565" s="2">
        <f t="shared" si="1693"/>
        <v>0</v>
      </c>
      <c r="AG4565" s="2">
        <f t="shared" si="1694"/>
        <v>0</v>
      </c>
    </row>
    <row r="4566" spans="1:33">
      <c r="A4566" s="20" t="s">
        <v>2993</v>
      </c>
      <c r="B4566" s="150"/>
      <c r="C4566" s="21" t="s">
        <v>697</v>
      </c>
      <c r="D4566" s="109" t="s">
        <v>15167</v>
      </c>
      <c r="E4566" s="109"/>
      <c r="F4566" s="391" t="s">
        <v>16949</v>
      </c>
      <c r="G4566" s="23"/>
      <c r="H4566" s="23"/>
      <c r="I4566" s="23"/>
      <c r="J4566" s="23"/>
      <c r="K4566" s="23"/>
      <c r="L4566" s="350"/>
      <c r="M4566" s="351"/>
      <c r="N4566" s="267">
        <f t="shared" si="1695"/>
        <v>0</v>
      </c>
      <c r="O4566" s="268">
        <f t="shared" si="1696"/>
        <v>0</v>
      </c>
      <c r="P4566" s="239"/>
      <c r="Q4566" s="239"/>
      <c r="R4566" s="239"/>
      <c r="S4566" s="239"/>
      <c r="T4566" s="239"/>
      <c r="U4566" s="240"/>
      <c r="V4566" s="240"/>
      <c r="W4566" s="240"/>
      <c r="X4566" s="278"/>
      <c r="Y4566" s="237"/>
      <c r="Z4566" s="237"/>
      <c r="AA4566" s="279"/>
      <c r="AB4566" s="238"/>
      <c r="AC4566" s="196">
        <f t="shared" si="1690"/>
        <v>0</v>
      </c>
      <c r="AD4566" s="196">
        <f t="shared" si="1691"/>
        <v>0</v>
      </c>
      <c r="AE4566" s="196">
        <f t="shared" si="1692"/>
        <v>0</v>
      </c>
      <c r="AF4566" s="2">
        <f t="shared" si="1693"/>
        <v>0</v>
      </c>
      <c r="AG4566" s="2">
        <f t="shared" si="1694"/>
        <v>0</v>
      </c>
    </row>
    <row r="4567" spans="1:33">
      <c r="A4567" s="20" t="s">
        <v>2999</v>
      </c>
      <c r="B4567" s="162" t="s">
        <v>5896</v>
      </c>
      <c r="C4567" s="21" t="s">
        <v>16961</v>
      </c>
      <c r="D4567" s="109" t="s">
        <v>16795</v>
      </c>
      <c r="E4567" s="109"/>
      <c r="F4567" s="391" t="s">
        <v>16962</v>
      </c>
      <c r="G4567" s="23" t="s">
        <v>16141</v>
      </c>
      <c r="H4567" s="23"/>
      <c r="I4567" s="23"/>
      <c r="J4567" s="23"/>
      <c r="K4567" s="23"/>
      <c r="L4567" s="375" t="s">
        <v>7787</v>
      </c>
      <c r="M4567" s="351" t="s">
        <v>7787</v>
      </c>
      <c r="N4567" s="267">
        <f t="shared" si="1695"/>
        <v>0</v>
      </c>
      <c r="O4567" s="268">
        <f t="shared" si="1696"/>
        <v>0</v>
      </c>
      <c r="P4567" s="239"/>
      <c r="Q4567" s="239"/>
      <c r="R4567" s="239"/>
      <c r="S4567" s="239"/>
      <c r="T4567" s="239"/>
      <c r="U4567" s="240"/>
      <c r="V4567" s="240"/>
      <c r="W4567" s="240">
        <v>0</v>
      </c>
      <c r="X4567" s="278"/>
      <c r="Y4567" s="237"/>
      <c r="Z4567" s="237"/>
      <c r="AA4567" s="279"/>
      <c r="AB4567" s="238"/>
      <c r="AC4567" s="196">
        <f t="shared" si="1690"/>
        <v>0</v>
      </c>
      <c r="AD4567" s="196">
        <f t="shared" si="1691"/>
        <v>0</v>
      </c>
      <c r="AE4567" s="196">
        <f t="shared" si="1692"/>
        <v>0</v>
      </c>
      <c r="AF4567" s="2">
        <f t="shared" si="1693"/>
        <v>0</v>
      </c>
      <c r="AG4567" s="2">
        <f t="shared" si="1694"/>
        <v>0</v>
      </c>
    </row>
    <row r="4568" spans="1:33">
      <c r="A4568" s="20" t="s">
        <v>3000</v>
      </c>
      <c r="B4568" s="150"/>
      <c r="C4568" s="21" t="s">
        <v>868</v>
      </c>
      <c r="D4568" s="109" t="s">
        <v>15161</v>
      </c>
      <c r="E4568" s="109"/>
      <c r="F4568" s="391" t="s">
        <v>16963</v>
      </c>
      <c r="G4568" s="23"/>
      <c r="H4568" s="23"/>
      <c r="I4568" s="23"/>
      <c r="J4568" s="23"/>
      <c r="K4568" s="23"/>
      <c r="L4568" s="350"/>
      <c r="M4568" s="351"/>
      <c r="N4568" s="267">
        <f t="shared" si="1695"/>
        <v>0</v>
      </c>
      <c r="O4568" s="268">
        <f t="shared" si="1696"/>
        <v>0</v>
      </c>
      <c r="P4568" s="239"/>
      <c r="Q4568" s="239"/>
      <c r="R4568" s="239"/>
      <c r="S4568" s="239"/>
      <c r="T4568" s="239"/>
      <c r="U4568" s="240"/>
      <c r="V4568" s="240"/>
      <c r="W4568" s="240"/>
      <c r="X4568" s="278"/>
      <c r="Y4568" s="237"/>
      <c r="Z4568" s="237"/>
      <c r="AA4568" s="279"/>
      <c r="AB4568" s="238"/>
      <c r="AC4568" s="196">
        <f t="shared" si="1690"/>
        <v>0</v>
      </c>
      <c r="AD4568" s="196">
        <f t="shared" si="1691"/>
        <v>0</v>
      </c>
      <c r="AE4568" s="196">
        <f t="shared" si="1692"/>
        <v>0</v>
      </c>
      <c r="AF4568" s="2">
        <f t="shared" si="1693"/>
        <v>0</v>
      </c>
      <c r="AG4568" s="2">
        <f t="shared" si="1694"/>
        <v>0</v>
      </c>
    </row>
    <row r="4569" spans="1:33">
      <c r="A4569" s="20" t="s">
        <v>3001</v>
      </c>
      <c r="B4569" s="150"/>
      <c r="C4569" s="21" t="s">
        <v>868</v>
      </c>
      <c r="D4569" s="109" t="s">
        <v>15167</v>
      </c>
      <c r="E4569" s="109" t="s">
        <v>26646</v>
      </c>
      <c r="F4569" s="391" t="s">
        <v>16963</v>
      </c>
      <c r="G4569" s="23" t="s">
        <v>16964</v>
      </c>
      <c r="H4569" s="23" t="s">
        <v>16192</v>
      </c>
      <c r="I4569" s="23"/>
      <c r="J4569" s="23"/>
      <c r="K4569" s="23"/>
      <c r="L4569" s="375" t="s">
        <v>45</v>
      </c>
      <c r="M4569" s="351" t="s">
        <v>45</v>
      </c>
      <c r="N4569" s="267">
        <f t="shared" si="1695"/>
        <v>0</v>
      </c>
      <c r="O4569" s="268">
        <f t="shared" si="1696"/>
        <v>200</v>
      </c>
      <c r="P4569" s="239">
        <f>1000-500-300</f>
        <v>200</v>
      </c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85"/>
      <c r="AB4569" s="238" t="s">
        <v>27228</v>
      </c>
      <c r="AC4569" s="196">
        <f t="shared" si="1690"/>
        <v>200</v>
      </c>
      <c r="AD4569" s="196">
        <f t="shared" si="1691"/>
        <v>200</v>
      </c>
      <c r="AE4569" s="196">
        <f t="shared" si="1692"/>
        <v>0</v>
      </c>
      <c r="AF4569" s="2">
        <f t="shared" si="1693"/>
        <v>200</v>
      </c>
      <c r="AG4569" s="2">
        <f t="shared" si="1694"/>
        <v>0</v>
      </c>
    </row>
    <row r="4570" spans="1:33">
      <c r="A4570" s="20" t="s">
        <v>3002</v>
      </c>
      <c r="B4570" s="150"/>
      <c r="C4570" s="21" t="s">
        <v>868</v>
      </c>
      <c r="D4570" s="109" t="s">
        <v>16363</v>
      </c>
      <c r="E4570" s="109"/>
      <c r="F4570" s="391" t="s">
        <v>16963</v>
      </c>
      <c r="G4570" s="23"/>
      <c r="H4570" s="23"/>
      <c r="I4570" s="23"/>
      <c r="J4570" s="23"/>
      <c r="K4570" s="23"/>
      <c r="L4570" s="350"/>
      <c r="M4570" s="351"/>
      <c r="N4570" s="267">
        <f t="shared" si="1695"/>
        <v>0</v>
      </c>
      <c r="O4570" s="268">
        <f t="shared" si="1696"/>
        <v>0</v>
      </c>
      <c r="P4570" s="239"/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79"/>
      <c r="AB4570" s="238"/>
      <c r="AC4570" s="196">
        <f t="shared" si="1690"/>
        <v>0</v>
      </c>
      <c r="AD4570" s="196">
        <f t="shared" si="1691"/>
        <v>0</v>
      </c>
      <c r="AE4570" s="196">
        <f t="shared" si="1692"/>
        <v>0</v>
      </c>
      <c r="AF4570" s="2">
        <f t="shared" si="1693"/>
        <v>0</v>
      </c>
      <c r="AG4570" s="2">
        <f t="shared" si="1694"/>
        <v>0</v>
      </c>
    </row>
    <row r="4571" spans="1:33">
      <c r="A4571" s="20" t="s">
        <v>2995</v>
      </c>
      <c r="B4571" s="150"/>
      <c r="C4571" s="21" t="s">
        <v>698</v>
      </c>
      <c r="D4571" s="109" t="s">
        <v>16376</v>
      </c>
      <c r="E4571" s="109" t="s">
        <v>15965</v>
      </c>
      <c r="F4571" s="391" t="s">
        <v>16965</v>
      </c>
      <c r="G4571" s="23" t="s">
        <v>16966</v>
      </c>
      <c r="H4571" s="23"/>
      <c r="I4571" s="23"/>
      <c r="J4571" s="23"/>
      <c r="K4571" s="23"/>
      <c r="L4571" s="350"/>
      <c r="M4571" s="351"/>
      <c r="N4571" s="267">
        <f t="shared" si="1695"/>
        <v>0</v>
      </c>
      <c r="O4571" s="268">
        <f t="shared" si="1696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si="1690"/>
        <v>0</v>
      </c>
      <c r="AD4571" s="196">
        <f t="shared" si="1691"/>
        <v>0</v>
      </c>
      <c r="AE4571" s="196">
        <f t="shared" si="1692"/>
        <v>0</v>
      </c>
      <c r="AF4571" s="2">
        <f t="shared" si="1693"/>
        <v>0</v>
      </c>
      <c r="AG4571" s="2">
        <f t="shared" si="1694"/>
        <v>0</v>
      </c>
    </row>
    <row r="4572" spans="1:33">
      <c r="A4572" s="20" t="s">
        <v>2996</v>
      </c>
      <c r="B4572" s="150"/>
      <c r="C4572" s="21" t="s">
        <v>698</v>
      </c>
      <c r="D4572" s="109" t="s">
        <v>16376</v>
      </c>
      <c r="E4572" s="109" t="s">
        <v>16882</v>
      </c>
      <c r="F4572" s="391" t="s">
        <v>16965</v>
      </c>
      <c r="G4572" s="23" t="s">
        <v>16966</v>
      </c>
      <c r="H4572" s="23"/>
      <c r="I4572" s="23"/>
      <c r="J4572" s="23"/>
      <c r="K4572" s="23"/>
      <c r="L4572" s="350"/>
      <c r="M4572" s="351"/>
      <c r="N4572" s="267">
        <f t="shared" si="1695"/>
        <v>0</v>
      </c>
      <c r="O4572" s="268">
        <f t="shared" si="1696"/>
        <v>0</v>
      </c>
      <c r="P4572" s="239"/>
      <c r="Q4572" s="239"/>
      <c r="R4572" s="239"/>
      <c r="S4572" s="239"/>
      <c r="T4572" s="239"/>
      <c r="U4572" s="240"/>
      <c r="V4572" s="240"/>
      <c r="W4572" s="240"/>
      <c r="X4572" s="278"/>
      <c r="Y4572" s="237"/>
      <c r="Z4572" s="237"/>
      <c r="AA4572" s="279"/>
      <c r="AB4572" s="238"/>
      <c r="AC4572" s="196">
        <f t="shared" si="1690"/>
        <v>0</v>
      </c>
      <c r="AD4572" s="196">
        <f t="shared" si="1691"/>
        <v>0</v>
      </c>
      <c r="AE4572" s="196">
        <f t="shared" si="1692"/>
        <v>0</v>
      </c>
      <c r="AF4572" s="2">
        <f t="shared" si="1693"/>
        <v>0</v>
      </c>
      <c r="AG4572" s="2">
        <f t="shared" si="1694"/>
        <v>0</v>
      </c>
    </row>
    <row r="4573" spans="1:33">
      <c r="A4573" s="20" t="s">
        <v>2997</v>
      </c>
      <c r="B4573" s="150"/>
      <c r="C4573" s="21" t="s">
        <v>698</v>
      </c>
      <c r="D4573" s="109" t="s">
        <v>15167</v>
      </c>
      <c r="E4573" s="109"/>
      <c r="F4573" s="391" t="s">
        <v>16965</v>
      </c>
      <c r="G4573" s="23" t="s">
        <v>16966</v>
      </c>
      <c r="H4573" s="23"/>
      <c r="I4573" s="23"/>
      <c r="J4573" s="23"/>
      <c r="K4573" s="23"/>
      <c r="L4573" s="350"/>
      <c r="M4573" s="351"/>
      <c r="N4573" s="267">
        <f t="shared" si="1695"/>
        <v>0</v>
      </c>
      <c r="O4573" s="268">
        <f t="shared" si="1696"/>
        <v>0</v>
      </c>
      <c r="P4573" s="239"/>
      <c r="Q4573" s="239"/>
      <c r="R4573" s="239"/>
      <c r="S4573" s="239"/>
      <c r="T4573" s="239"/>
      <c r="U4573" s="240"/>
      <c r="V4573" s="240"/>
      <c r="W4573" s="240"/>
      <c r="X4573" s="278"/>
      <c r="Y4573" s="237"/>
      <c r="Z4573" s="237"/>
      <c r="AA4573" s="279"/>
      <c r="AB4573" s="238"/>
      <c r="AC4573" s="196">
        <f t="shared" si="1690"/>
        <v>0</v>
      </c>
      <c r="AD4573" s="196">
        <f t="shared" si="1691"/>
        <v>0</v>
      </c>
      <c r="AE4573" s="196">
        <f t="shared" si="1692"/>
        <v>0</v>
      </c>
      <c r="AF4573" s="2">
        <f t="shared" si="1693"/>
        <v>0</v>
      </c>
      <c r="AG4573" s="2">
        <f t="shared" si="1694"/>
        <v>0</v>
      </c>
    </row>
    <row r="4574" spans="1:33">
      <c r="A4574" s="20" t="s">
        <v>2998</v>
      </c>
      <c r="B4574" s="150"/>
      <c r="C4574" s="21" t="s">
        <v>698</v>
      </c>
      <c r="D4574" s="109" t="s">
        <v>16363</v>
      </c>
      <c r="E4574" s="109"/>
      <c r="F4574" s="391" t="s">
        <v>16965</v>
      </c>
      <c r="G4574" s="23" t="s">
        <v>16966</v>
      </c>
      <c r="H4574" s="23"/>
      <c r="I4574" s="23"/>
      <c r="J4574" s="23"/>
      <c r="K4574" s="23"/>
      <c r="L4574" s="350"/>
      <c r="M4574" s="351"/>
      <c r="N4574" s="267">
        <f t="shared" si="1695"/>
        <v>0</v>
      </c>
      <c r="O4574" s="268">
        <f t="shared" si="1696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ref="AC4574:AC4637" si="1697">SUM(P4574:AA4574)</f>
        <v>0</v>
      </c>
      <c r="AD4574" s="196">
        <f t="shared" ref="AD4574:AD4637" si="1698">SUM(P4574:AB4574)</f>
        <v>0</v>
      </c>
      <c r="AE4574" s="196">
        <f t="shared" ref="AE4574:AE4637" si="1699">SUM(AC4574-AD4574)</f>
        <v>0</v>
      </c>
      <c r="AF4574" s="2">
        <f t="shared" ref="AF4574:AF4637" si="1700">+AC4574</f>
        <v>0</v>
      </c>
      <c r="AG4574" s="2">
        <f t="shared" ref="AG4574:AG4637" si="1701">+AC4574-AF4574</f>
        <v>0</v>
      </c>
    </row>
    <row r="4575" spans="1:33">
      <c r="A4575" s="20" t="s">
        <v>3003</v>
      </c>
      <c r="B4575" s="150"/>
      <c r="C4575" s="21" t="s">
        <v>869</v>
      </c>
      <c r="D4575" s="109" t="s">
        <v>15161</v>
      </c>
      <c r="E4575" s="109"/>
      <c r="F4575" s="391" t="s">
        <v>16967</v>
      </c>
      <c r="G4575" s="23"/>
      <c r="H4575" s="23"/>
      <c r="I4575" s="23"/>
      <c r="J4575" s="23"/>
      <c r="K4575" s="23"/>
      <c r="L4575" s="350"/>
      <c r="M4575" s="351"/>
      <c r="N4575" s="267">
        <f t="shared" si="1695"/>
        <v>0</v>
      </c>
      <c r="O4575" s="268">
        <f t="shared" si="1696"/>
        <v>0</v>
      </c>
      <c r="P4575" s="239"/>
      <c r="Q4575" s="239"/>
      <c r="R4575" s="239"/>
      <c r="S4575" s="239"/>
      <c r="T4575" s="239"/>
      <c r="U4575" s="240"/>
      <c r="V4575" s="240"/>
      <c r="W4575" s="240"/>
      <c r="X4575" s="278"/>
      <c r="Y4575" s="237"/>
      <c r="Z4575" s="237"/>
      <c r="AA4575" s="279"/>
      <c r="AB4575" s="238"/>
      <c r="AC4575" s="196">
        <f t="shared" si="1697"/>
        <v>0</v>
      </c>
      <c r="AD4575" s="196">
        <f t="shared" si="1698"/>
        <v>0</v>
      </c>
      <c r="AE4575" s="196">
        <f t="shared" si="1699"/>
        <v>0</v>
      </c>
      <c r="AF4575" s="2">
        <f t="shared" si="1700"/>
        <v>0</v>
      </c>
      <c r="AG4575" s="2">
        <f t="shared" si="1701"/>
        <v>0</v>
      </c>
    </row>
    <row r="4576" spans="1:33">
      <c r="A4576" s="20" t="s">
        <v>2985</v>
      </c>
      <c r="B4576" s="150"/>
      <c r="C4576" s="21" t="s">
        <v>866</v>
      </c>
      <c r="D4576" s="109" t="s">
        <v>16445</v>
      </c>
      <c r="E4576" s="109"/>
      <c r="F4576" s="391" t="s">
        <v>16849</v>
      </c>
      <c r="G4576" s="23" t="s">
        <v>16968</v>
      </c>
      <c r="H4576" s="23"/>
      <c r="I4576" s="23"/>
      <c r="J4576" s="23"/>
      <c r="K4576" s="23"/>
      <c r="L4576" s="350"/>
      <c r="M4576" s="351"/>
      <c r="N4576" s="267">
        <f t="shared" si="1695"/>
        <v>0</v>
      </c>
      <c r="O4576" s="268">
        <f t="shared" si="1696"/>
        <v>0</v>
      </c>
      <c r="P4576" s="239"/>
      <c r="Q4576" s="239"/>
      <c r="R4576" s="239"/>
      <c r="S4576" s="239"/>
      <c r="T4576" s="239"/>
      <c r="U4576" s="240"/>
      <c r="V4576" s="240"/>
      <c r="W4576" s="240"/>
      <c r="X4576" s="278"/>
      <c r="Y4576" s="237"/>
      <c r="Z4576" s="237"/>
      <c r="AA4576" s="279"/>
      <c r="AB4576" s="238"/>
      <c r="AC4576" s="196">
        <f t="shared" si="1697"/>
        <v>0</v>
      </c>
      <c r="AD4576" s="196">
        <f t="shared" si="1698"/>
        <v>0</v>
      </c>
      <c r="AE4576" s="196">
        <f t="shared" si="1699"/>
        <v>0</v>
      </c>
      <c r="AF4576" s="2">
        <f t="shared" si="1700"/>
        <v>0</v>
      </c>
      <c r="AG4576" s="2">
        <f t="shared" si="1701"/>
        <v>0</v>
      </c>
    </row>
    <row r="4577" spans="1:33">
      <c r="A4577" s="20" t="s">
        <v>2986</v>
      </c>
      <c r="B4577" s="150"/>
      <c r="C4577" s="21" t="s">
        <v>866</v>
      </c>
      <c r="D4577" s="109" t="s">
        <v>15161</v>
      </c>
      <c r="E4577" s="109"/>
      <c r="F4577" s="391" t="s">
        <v>16849</v>
      </c>
      <c r="G4577" s="23"/>
      <c r="H4577" s="23"/>
      <c r="I4577" s="23"/>
      <c r="J4577" s="23"/>
      <c r="K4577" s="23"/>
      <c r="L4577" s="350"/>
      <c r="M4577" s="351"/>
      <c r="N4577" s="267">
        <f t="shared" si="1695"/>
        <v>0</v>
      </c>
      <c r="O4577" s="268">
        <f t="shared" si="1696"/>
        <v>0</v>
      </c>
      <c r="P4577" s="239"/>
      <c r="Q4577" s="239"/>
      <c r="R4577" s="239"/>
      <c r="S4577" s="239"/>
      <c r="T4577" s="239"/>
      <c r="U4577" s="240"/>
      <c r="V4577" s="240"/>
      <c r="W4577" s="240"/>
      <c r="X4577" s="278"/>
      <c r="Y4577" s="237"/>
      <c r="Z4577" s="237"/>
      <c r="AA4577" s="279"/>
      <c r="AB4577" s="238"/>
      <c r="AC4577" s="196">
        <f t="shared" si="1697"/>
        <v>0</v>
      </c>
      <c r="AD4577" s="196">
        <f t="shared" si="1698"/>
        <v>0</v>
      </c>
      <c r="AE4577" s="196">
        <f t="shared" si="1699"/>
        <v>0</v>
      </c>
      <c r="AF4577" s="2">
        <f t="shared" si="1700"/>
        <v>0</v>
      </c>
      <c r="AG4577" s="2">
        <f t="shared" si="1701"/>
        <v>0</v>
      </c>
    </row>
    <row r="4578" spans="1:33">
      <c r="A4578" s="20" t="s">
        <v>2987</v>
      </c>
      <c r="B4578" s="161"/>
      <c r="C4578" s="21" t="s">
        <v>866</v>
      </c>
      <c r="D4578" s="109" t="s">
        <v>15167</v>
      </c>
      <c r="E4578" s="109"/>
      <c r="F4578" s="391" t="s">
        <v>16849</v>
      </c>
      <c r="G4578" s="23"/>
      <c r="H4578" s="23"/>
      <c r="I4578" s="23"/>
      <c r="J4578" s="23"/>
      <c r="K4578" s="23"/>
      <c r="L4578" s="350"/>
      <c r="M4578" s="351"/>
      <c r="N4578" s="267">
        <f t="shared" si="1695"/>
        <v>0</v>
      </c>
      <c r="O4578" s="268">
        <f t="shared" si="1696"/>
        <v>0</v>
      </c>
      <c r="P4578" s="239"/>
      <c r="Q4578" s="239"/>
      <c r="R4578" s="239"/>
      <c r="S4578" s="239"/>
      <c r="T4578" s="239"/>
      <c r="U4578" s="240"/>
      <c r="V4578" s="240"/>
      <c r="W4578" s="240"/>
      <c r="X4578" s="278"/>
      <c r="Y4578" s="237"/>
      <c r="Z4578" s="237"/>
      <c r="AA4578" s="279"/>
      <c r="AB4578" s="238"/>
      <c r="AC4578" s="196">
        <f t="shared" si="1697"/>
        <v>0</v>
      </c>
      <c r="AD4578" s="196">
        <f t="shared" si="1698"/>
        <v>0</v>
      </c>
      <c r="AE4578" s="196">
        <f t="shared" si="1699"/>
        <v>0</v>
      </c>
      <c r="AF4578" s="2">
        <f t="shared" si="1700"/>
        <v>0</v>
      </c>
      <c r="AG4578" s="2">
        <f t="shared" si="1701"/>
        <v>0</v>
      </c>
    </row>
    <row r="4579" spans="1:33">
      <c r="A4579" s="20" t="s">
        <v>2988</v>
      </c>
      <c r="B4579" s="150"/>
      <c r="C4579" s="21" t="s">
        <v>867</v>
      </c>
      <c r="D4579" s="109" t="s">
        <v>15167</v>
      </c>
      <c r="E4579" s="109"/>
      <c r="F4579" s="391" t="s">
        <v>16969</v>
      </c>
      <c r="G4579" s="23" t="s">
        <v>16291</v>
      </c>
      <c r="H4579" s="23"/>
      <c r="I4579" s="23"/>
      <c r="J4579" s="23"/>
      <c r="K4579" s="23"/>
      <c r="L4579" s="350"/>
      <c r="M4579" s="351"/>
      <c r="N4579" s="267">
        <f t="shared" si="1695"/>
        <v>0</v>
      </c>
      <c r="O4579" s="268">
        <f t="shared" si="1696"/>
        <v>0</v>
      </c>
      <c r="P4579" s="239"/>
      <c r="Q4579" s="239"/>
      <c r="R4579" s="239"/>
      <c r="S4579" s="239"/>
      <c r="T4579" s="239"/>
      <c r="U4579" s="240"/>
      <c r="V4579" s="240"/>
      <c r="W4579" s="240"/>
      <c r="X4579" s="278"/>
      <c r="Y4579" s="237"/>
      <c r="Z4579" s="237"/>
      <c r="AA4579" s="279"/>
      <c r="AB4579" s="238"/>
      <c r="AC4579" s="196">
        <f t="shared" si="1697"/>
        <v>0</v>
      </c>
      <c r="AD4579" s="196">
        <f t="shared" si="1698"/>
        <v>0</v>
      </c>
      <c r="AE4579" s="196">
        <f t="shared" si="1699"/>
        <v>0</v>
      </c>
      <c r="AF4579" s="2">
        <f t="shared" si="1700"/>
        <v>0</v>
      </c>
      <c r="AG4579" s="2">
        <f t="shared" si="1701"/>
        <v>0</v>
      </c>
    </row>
    <row r="4580" spans="1:33">
      <c r="A4580" s="20" t="s">
        <v>2989</v>
      </c>
      <c r="B4580" s="150"/>
      <c r="C4580" s="21" t="s">
        <v>16970</v>
      </c>
      <c r="D4580" s="109" t="s">
        <v>16795</v>
      </c>
      <c r="E4580" s="109"/>
      <c r="F4580" s="391" t="s">
        <v>16969</v>
      </c>
      <c r="G4580" s="23" t="s">
        <v>16141</v>
      </c>
      <c r="H4580" s="23"/>
      <c r="I4580" s="23"/>
      <c r="J4580" s="23"/>
      <c r="K4580" s="23"/>
      <c r="L4580" s="375"/>
      <c r="M4580" s="351"/>
      <c r="N4580" s="267">
        <f t="shared" si="1695"/>
        <v>0</v>
      </c>
      <c r="O4580" s="268">
        <f t="shared" si="1696"/>
        <v>0</v>
      </c>
      <c r="P4580" s="239"/>
      <c r="Q4580" s="239"/>
      <c r="R4580" s="239"/>
      <c r="S4580" s="239"/>
      <c r="T4580" s="239"/>
      <c r="U4580" s="240"/>
      <c r="V4580" s="240"/>
      <c r="W4580" s="240">
        <v>0</v>
      </c>
      <c r="X4580" s="278"/>
      <c r="Y4580" s="237"/>
      <c r="Z4580" s="237"/>
      <c r="AA4580" s="279"/>
      <c r="AB4580" s="238"/>
      <c r="AC4580" s="196">
        <f t="shared" si="1697"/>
        <v>0</v>
      </c>
      <c r="AD4580" s="196">
        <f t="shared" si="1698"/>
        <v>0</v>
      </c>
      <c r="AE4580" s="196">
        <f t="shared" si="1699"/>
        <v>0</v>
      </c>
      <c r="AF4580" s="2">
        <f t="shared" si="1700"/>
        <v>0</v>
      </c>
      <c r="AG4580" s="2">
        <f t="shared" si="1701"/>
        <v>0</v>
      </c>
    </row>
    <row r="4581" spans="1:33">
      <c r="A4581" s="20" t="s">
        <v>2957</v>
      </c>
      <c r="B4581" s="162" t="s">
        <v>16971</v>
      </c>
      <c r="C4581" s="21" t="s">
        <v>670</v>
      </c>
      <c r="D4581" s="109" t="s">
        <v>16251</v>
      </c>
      <c r="E4581" s="109"/>
      <c r="F4581" s="391" t="s">
        <v>16972</v>
      </c>
      <c r="G4581" s="23" t="s">
        <v>16188</v>
      </c>
      <c r="H4581" s="23"/>
      <c r="I4581" s="23"/>
      <c r="J4581" s="23"/>
      <c r="K4581" s="23"/>
      <c r="L4581" s="350"/>
      <c r="M4581" s="351"/>
      <c r="N4581" s="267">
        <f t="shared" si="1695"/>
        <v>0</v>
      </c>
      <c r="O4581" s="268">
        <f t="shared" si="1696"/>
        <v>0</v>
      </c>
      <c r="P4581" s="239"/>
      <c r="Q4581" s="239"/>
      <c r="R4581" s="239"/>
      <c r="S4581" s="239"/>
      <c r="T4581" s="239"/>
      <c r="U4581" s="240"/>
      <c r="V4581" s="240"/>
      <c r="W4581" s="240"/>
      <c r="X4581" s="278"/>
      <c r="Y4581" s="237"/>
      <c r="Z4581" s="237"/>
      <c r="AA4581" s="279"/>
      <c r="AB4581" s="238"/>
      <c r="AC4581" s="196">
        <f t="shared" si="1697"/>
        <v>0</v>
      </c>
      <c r="AD4581" s="196">
        <f t="shared" si="1698"/>
        <v>0</v>
      </c>
      <c r="AE4581" s="196">
        <f t="shared" si="1699"/>
        <v>0</v>
      </c>
      <c r="AF4581" s="2">
        <f t="shared" si="1700"/>
        <v>0</v>
      </c>
      <c r="AG4581" s="2">
        <f t="shared" si="1701"/>
        <v>0</v>
      </c>
    </row>
    <row r="4582" spans="1:33">
      <c r="A4582" s="20" t="s">
        <v>3004</v>
      </c>
      <c r="B4582" s="150"/>
      <c r="C4582" s="21" t="s">
        <v>870</v>
      </c>
      <c r="D4582" s="109" t="s">
        <v>15161</v>
      </c>
      <c r="E4582" s="109"/>
      <c r="F4582" s="391" t="s">
        <v>16973</v>
      </c>
      <c r="G4582" s="23"/>
      <c r="H4582" s="23"/>
      <c r="I4582" s="23"/>
      <c r="J4582" s="23"/>
      <c r="K4582" s="23"/>
      <c r="L4582" s="375" t="s">
        <v>7787</v>
      </c>
      <c r="M4582" s="351" t="s">
        <v>7787</v>
      </c>
      <c r="N4582" s="267">
        <f t="shared" si="1695"/>
        <v>0</v>
      </c>
      <c r="O4582" s="268">
        <f t="shared" si="1696"/>
        <v>0</v>
      </c>
      <c r="P4582" s="239"/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97"/>
        <v>0</v>
      </c>
      <c r="AD4582" s="196">
        <f t="shared" si="1698"/>
        <v>0</v>
      </c>
      <c r="AE4582" s="196">
        <f t="shared" si="1699"/>
        <v>0</v>
      </c>
      <c r="AF4582" s="2">
        <f t="shared" si="1700"/>
        <v>0</v>
      </c>
      <c r="AG4582" s="2">
        <f t="shared" si="1701"/>
        <v>0</v>
      </c>
    </row>
    <row r="4583" spans="1:33">
      <c r="A4583" s="20" t="s">
        <v>3006</v>
      </c>
      <c r="B4583" s="162"/>
      <c r="C4583" s="21" t="s">
        <v>870</v>
      </c>
      <c r="D4583" s="109" t="s">
        <v>16869</v>
      </c>
      <c r="E4583" s="109" t="s">
        <v>16838</v>
      </c>
      <c r="F4583" s="391" t="s">
        <v>16973</v>
      </c>
      <c r="G4583" s="23" t="s">
        <v>16183</v>
      </c>
      <c r="H4583" s="23" t="s">
        <v>16454</v>
      </c>
      <c r="I4583" s="23"/>
      <c r="J4583" s="23"/>
      <c r="K4583" s="23"/>
      <c r="L4583" s="375" t="s">
        <v>45</v>
      </c>
      <c r="M4583" s="351" t="s">
        <v>7787</v>
      </c>
      <c r="N4583" s="267">
        <f t="shared" si="1695"/>
        <v>0</v>
      </c>
      <c r="O4583" s="268">
        <f t="shared" si="1696"/>
        <v>950</v>
      </c>
      <c r="P4583" s="239"/>
      <c r="Q4583" s="239">
        <f>200+900-300-300+2900-400-400-300-300-1000-50</f>
        <v>950</v>
      </c>
      <c r="R4583" s="239"/>
      <c r="S4583" s="239"/>
      <c r="T4583" s="239"/>
      <c r="U4583" s="240"/>
      <c r="V4583" s="240"/>
      <c r="W4583" s="240"/>
      <c r="X4583" s="278"/>
      <c r="Y4583" s="239"/>
      <c r="Z4583" s="237"/>
      <c r="AA4583" s="279"/>
      <c r="AB4583" s="238" t="s">
        <v>25176</v>
      </c>
      <c r="AC4583" s="196">
        <f t="shared" si="1697"/>
        <v>950</v>
      </c>
      <c r="AD4583" s="196">
        <f t="shared" si="1698"/>
        <v>950</v>
      </c>
      <c r="AE4583" s="196">
        <f t="shared" si="1699"/>
        <v>0</v>
      </c>
      <c r="AF4583" s="2">
        <f t="shared" si="1700"/>
        <v>950</v>
      </c>
      <c r="AG4583" s="2">
        <f t="shared" si="1701"/>
        <v>0</v>
      </c>
    </row>
    <row r="4584" spans="1:33">
      <c r="A4584" s="20" t="s">
        <v>3005</v>
      </c>
      <c r="B4584" s="151"/>
      <c r="C4584" s="21" t="s">
        <v>870</v>
      </c>
      <c r="D4584" s="109" t="s">
        <v>16869</v>
      </c>
      <c r="E4584" s="109"/>
      <c r="F4584" s="391" t="s">
        <v>16973</v>
      </c>
      <c r="G4584" s="23" t="s">
        <v>16884</v>
      </c>
      <c r="H4584" s="23" t="s">
        <v>16454</v>
      </c>
      <c r="I4584" s="23"/>
      <c r="J4584" s="23"/>
      <c r="K4584" s="23"/>
      <c r="L4584" s="375" t="s">
        <v>7787</v>
      </c>
      <c r="M4584" s="351" t="s">
        <v>7787</v>
      </c>
      <c r="N4584" s="267">
        <f t="shared" si="1695"/>
        <v>0</v>
      </c>
      <c r="O4584" s="268">
        <f t="shared" si="1696"/>
        <v>0</v>
      </c>
      <c r="P4584" s="237"/>
      <c r="Q4584" s="237"/>
      <c r="R4584" s="237"/>
      <c r="S4584" s="237"/>
      <c r="T4584" s="237"/>
      <c r="U4584" s="240"/>
      <c r="V4584" s="240"/>
      <c r="W4584" s="240"/>
      <c r="X4584" s="278"/>
      <c r="Y4584" s="237"/>
      <c r="Z4584" s="237"/>
      <c r="AA4584" s="237"/>
      <c r="AB4584" s="238"/>
      <c r="AC4584" s="196">
        <f t="shared" si="1697"/>
        <v>0</v>
      </c>
      <c r="AD4584" s="196">
        <f t="shared" si="1698"/>
        <v>0</v>
      </c>
      <c r="AE4584" s="196">
        <f t="shared" si="1699"/>
        <v>0</v>
      </c>
      <c r="AF4584" s="2">
        <f t="shared" si="1700"/>
        <v>0</v>
      </c>
      <c r="AG4584" s="2">
        <f t="shared" si="1701"/>
        <v>0</v>
      </c>
    </row>
    <row r="4585" spans="1:33">
      <c r="A4585" s="20" t="s">
        <v>3007</v>
      </c>
      <c r="B4585" s="161"/>
      <c r="C4585" s="21" t="s">
        <v>871</v>
      </c>
      <c r="D4585" s="109" t="s">
        <v>15161</v>
      </c>
      <c r="E4585" s="109"/>
      <c r="F4585" s="391" t="s">
        <v>16912</v>
      </c>
      <c r="G4585" s="23" t="s">
        <v>16968</v>
      </c>
      <c r="H4585" s="23"/>
      <c r="I4585" s="23"/>
      <c r="J4585" s="23"/>
      <c r="K4585" s="23"/>
      <c r="L4585" s="350"/>
      <c r="M4585" s="351" t="s">
        <v>7787</v>
      </c>
      <c r="N4585" s="267">
        <f t="shared" si="1695"/>
        <v>0</v>
      </c>
      <c r="O4585" s="268">
        <f t="shared" si="1696"/>
        <v>0</v>
      </c>
      <c r="P4585" s="239"/>
      <c r="Q4585" s="239"/>
      <c r="R4585" s="239"/>
      <c r="S4585" s="239"/>
      <c r="T4585" s="239"/>
      <c r="U4585" s="240"/>
      <c r="V4585" s="240"/>
      <c r="W4585" s="240"/>
      <c r="X4585" s="278"/>
      <c r="Y4585" s="237"/>
      <c r="Z4585" s="237"/>
      <c r="AA4585" s="279"/>
      <c r="AB4585" s="238"/>
      <c r="AC4585" s="196">
        <f t="shared" si="1697"/>
        <v>0</v>
      </c>
      <c r="AD4585" s="196">
        <f t="shared" si="1698"/>
        <v>0</v>
      </c>
      <c r="AE4585" s="196">
        <f t="shared" si="1699"/>
        <v>0</v>
      </c>
      <c r="AF4585" s="2">
        <f t="shared" si="1700"/>
        <v>0</v>
      </c>
      <c r="AG4585" s="2">
        <f t="shared" si="1701"/>
        <v>0</v>
      </c>
    </row>
    <row r="4586" spans="1:33">
      <c r="A4586" s="20" t="s">
        <v>3008</v>
      </c>
      <c r="B4586" s="150"/>
      <c r="C4586" s="21" t="s">
        <v>871</v>
      </c>
      <c r="D4586" s="109" t="s">
        <v>15161</v>
      </c>
      <c r="E4586" s="109"/>
      <c r="F4586" s="391" t="s">
        <v>16912</v>
      </c>
      <c r="G4586" s="23"/>
      <c r="H4586" s="23"/>
      <c r="I4586" s="23"/>
      <c r="J4586" s="23"/>
      <c r="K4586" s="23"/>
      <c r="L4586" s="350"/>
      <c r="M4586" s="351"/>
      <c r="N4586" s="267">
        <f t="shared" si="1695"/>
        <v>0</v>
      </c>
      <c r="O4586" s="268">
        <f t="shared" si="1696"/>
        <v>0</v>
      </c>
      <c r="P4586" s="239"/>
      <c r="Q4586" s="239"/>
      <c r="R4586" s="239"/>
      <c r="S4586" s="239"/>
      <c r="T4586" s="239"/>
      <c r="U4586" s="240"/>
      <c r="V4586" s="240"/>
      <c r="W4586" s="240"/>
      <c r="X4586" s="278"/>
      <c r="Y4586" s="237"/>
      <c r="Z4586" s="237"/>
      <c r="AA4586" s="279"/>
      <c r="AB4586" s="238"/>
      <c r="AC4586" s="196">
        <f t="shared" si="1697"/>
        <v>0</v>
      </c>
      <c r="AD4586" s="196">
        <f t="shared" si="1698"/>
        <v>0</v>
      </c>
      <c r="AE4586" s="196">
        <f t="shared" si="1699"/>
        <v>0</v>
      </c>
      <c r="AF4586" s="2">
        <f t="shared" si="1700"/>
        <v>0</v>
      </c>
      <c r="AG4586" s="2">
        <f t="shared" si="1701"/>
        <v>0</v>
      </c>
    </row>
    <row r="4587" spans="1:33">
      <c r="A4587" s="20" t="s">
        <v>3009</v>
      </c>
      <c r="B4587" s="150"/>
      <c r="C4587" s="21" t="s">
        <v>872</v>
      </c>
      <c r="D4587" s="109" t="s">
        <v>15161</v>
      </c>
      <c r="E4587" s="109"/>
      <c r="F4587" s="391" t="s">
        <v>19876</v>
      </c>
      <c r="G4587" s="23" t="s">
        <v>16974</v>
      </c>
      <c r="H4587" s="23" t="s">
        <v>16975</v>
      </c>
      <c r="I4587" s="23" t="s">
        <v>16544</v>
      </c>
      <c r="J4587" s="23" t="s">
        <v>25004</v>
      </c>
      <c r="K4587" s="23"/>
      <c r="L4587" s="375" t="s">
        <v>7787</v>
      </c>
      <c r="M4587" s="351" t="s">
        <v>7787</v>
      </c>
      <c r="N4587" s="267">
        <f t="shared" ref="N4587:N4661" si="1702">SUM(L4587:M4587)</f>
        <v>0</v>
      </c>
      <c r="O4587" s="268">
        <f t="shared" ref="O4587:O4661" si="1703">SUM(P4587:Z4587)</f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37"/>
      <c r="Z4587" s="237"/>
      <c r="AA4587" s="279"/>
      <c r="AB4587" s="238"/>
      <c r="AC4587" s="196">
        <f t="shared" si="1697"/>
        <v>0</v>
      </c>
      <c r="AD4587" s="196">
        <f t="shared" si="1698"/>
        <v>0</v>
      </c>
      <c r="AE4587" s="196">
        <f t="shared" si="1699"/>
        <v>0</v>
      </c>
      <c r="AF4587" s="2">
        <f t="shared" si="1700"/>
        <v>0</v>
      </c>
      <c r="AG4587" s="2">
        <f t="shared" si="1701"/>
        <v>0</v>
      </c>
    </row>
    <row r="4588" spans="1:33">
      <c r="A4588" s="20" t="s">
        <v>3010</v>
      </c>
      <c r="B4588" s="150"/>
      <c r="C4588" s="21" t="s">
        <v>872</v>
      </c>
      <c r="D4588" s="109" t="s">
        <v>15167</v>
      </c>
      <c r="E4588" s="109"/>
      <c r="F4588" s="391" t="s">
        <v>16976</v>
      </c>
      <c r="G4588" s="23" t="s">
        <v>16810</v>
      </c>
      <c r="H4588" s="23"/>
      <c r="I4588" s="23"/>
      <c r="J4588" s="23"/>
      <c r="K4588" s="23"/>
      <c r="L4588" s="350"/>
      <c r="M4588" s="351"/>
      <c r="N4588" s="267">
        <f t="shared" si="1702"/>
        <v>0</v>
      </c>
      <c r="O4588" s="268">
        <f t="shared" si="1703"/>
        <v>0</v>
      </c>
      <c r="P4588" s="239"/>
      <c r="Q4588" s="239"/>
      <c r="R4588" s="239"/>
      <c r="S4588" s="239"/>
      <c r="T4588" s="239"/>
      <c r="U4588" s="240"/>
      <c r="V4588" s="240"/>
      <c r="W4588" s="240"/>
      <c r="X4588" s="278"/>
      <c r="Y4588" s="237"/>
      <c r="Z4588" s="237"/>
      <c r="AA4588" s="279"/>
      <c r="AB4588" s="238"/>
      <c r="AC4588" s="196">
        <f t="shared" si="1697"/>
        <v>0</v>
      </c>
      <c r="AD4588" s="196">
        <f t="shared" si="1698"/>
        <v>0</v>
      </c>
      <c r="AE4588" s="196">
        <f t="shared" si="1699"/>
        <v>0</v>
      </c>
      <c r="AF4588" s="2">
        <f t="shared" si="1700"/>
        <v>0</v>
      </c>
      <c r="AG4588" s="2">
        <f t="shared" si="1701"/>
        <v>0</v>
      </c>
    </row>
    <row r="4589" spans="1:33">
      <c r="A4589" s="20" t="s">
        <v>3013</v>
      </c>
      <c r="B4589" s="150"/>
      <c r="C4589" s="21" t="s">
        <v>696</v>
      </c>
      <c r="D4589" s="109" t="s">
        <v>16216</v>
      </c>
      <c r="E4589" s="109" t="s">
        <v>15965</v>
      </c>
      <c r="F4589" s="391" t="s">
        <v>16977</v>
      </c>
      <c r="G4589" s="23" t="s">
        <v>16978</v>
      </c>
      <c r="H4589" s="23"/>
      <c r="I4589" s="23"/>
      <c r="J4589" s="23"/>
      <c r="K4589" s="23"/>
      <c r="L4589" s="350"/>
      <c r="M4589" s="351"/>
      <c r="N4589" s="267">
        <f t="shared" si="1702"/>
        <v>0</v>
      </c>
      <c r="O4589" s="268">
        <f t="shared" si="1703"/>
        <v>0</v>
      </c>
      <c r="P4589" s="239">
        <v>0</v>
      </c>
      <c r="Q4589" s="239"/>
      <c r="R4589" s="239"/>
      <c r="S4589" s="239"/>
      <c r="T4589" s="239"/>
      <c r="U4589" s="240"/>
      <c r="V4589" s="240"/>
      <c r="W4589" s="240"/>
      <c r="X4589" s="278"/>
      <c r="Y4589" s="237"/>
      <c r="Z4589" s="237"/>
      <c r="AA4589" s="279"/>
      <c r="AB4589" s="238"/>
      <c r="AC4589" s="196">
        <f t="shared" si="1697"/>
        <v>0</v>
      </c>
      <c r="AD4589" s="196">
        <f t="shared" si="1698"/>
        <v>0</v>
      </c>
      <c r="AE4589" s="196">
        <f t="shared" si="1699"/>
        <v>0</v>
      </c>
      <c r="AF4589" s="2">
        <f t="shared" si="1700"/>
        <v>0</v>
      </c>
      <c r="AG4589" s="2">
        <f t="shared" si="1701"/>
        <v>0</v>
      </c>
    </row>
    <row r="4590" spans="1:33">
      <c r="A4590" s="20" t="s">
        <v>3011</v>
      </c>
      <c r="B4590" s="150"/>
      <c r="C4590" s="21" t="s">
        <v>696</v>
      </c>
      <c r="D4590" s="109" t="s">
        <v>15161</v>
      </c>
      <c r="E4590" s="109"/>
      <c r="F4590" s="391" t="s">
        <v>16977</v>
      </c>
      <c r="G4590" s="23" t="s">
        <v>16979</v>
      </c>
      <c r="H4590" s="23"/>
      <c r="I4590" s="23"/>
      <c r="J4590" s="23"/>
      <c r="K4590" s="23"/>
      <c r="L4590" s="375" t="s">
        <v>7787</v>
      </c>
      <c r="M4590" s="351" t="s">
        <v>7787</v>
      </c>
      <c r="N4590" s="267">
        <f t="shared" si="1702"/>
        <v>0</v>
      </c>
      <c r="O4590" s="268">
        <f t="shared" si="1703"/>
        <v>0</v>
      </c>
      <c r="P4590" s="239"/>
      <c r="Q4590" s="239"/>
      <c r="R4590" s="239"/>
      <c r="S4590" s="239"/>
      <c r="T4590" s="239"/>
      <c r="U4590" s="240"/>
      <c r="V4590" s="240"/>
      <c r="W4590" s="240"/>
      <c r="X4590" s="278"/>
      <c r="Y4590" s="237"/>
      <c r="Z4590" s="237"/>
      <c r="AA4590" s="279"/>
      <c r="AB4590" s="238"/>
      <c r="AC4590" s="196">
        <f t="shared" si="1697"/>
        <v>0</v>
      </c>
      <c r="AD4590" s="196">
        <f t="shared" si="1698"/>
        <v>0</v>
      </c>
      <c r="AE4590" s="196">
        <f t="shared" si="1699"/>
        <v>0</v>
      </c>
      <c r="AF4590" s="2">
        <f t="shared" si="1700"/>
        <v>0</v>
      </c>
      <c r="AG4590" s="2">
        <f t="shared" si="1701"/>
        <v>0</v>
      </c>
    </row>
    <row r="4591" spans="1:33">
      <c r="A4591" s="20" t="s">
        <v>3012</v>
      </c>
      <c r="B4591" s="150"/>
      <c r="C4591" s="21" t="s">
        <v>696</v>
      </c>
      <c r="D4591" s="109" t="s">
        <v>15167</v>
      </c>
      <c r="E4591" s="109"/>
      <c r="F4591" s="391" t="s">
        <v>16977</v>
      </c>
      <c r="G4591" s="23" t="s">
        <v>17176</v>
      </c>
      <c r="H4591" s="23"/>
      <c r="I4591" s="23"/>
      <c r="J4591" s="23"/>
      <c r="K4591" s="23"/>
      <c r="L4591" s="375" t="s">
        <v>7787</v>
      </c>
      <c r="M4591" s="351" t="s">
        <v>7787</v>
      </c>
      <c r="N4591" s="267">
        <f t="shared" si="1702"/>
        <v>0</v>
      </c>
      <c r="O4591" s="268">
        <f t="shared" si="1703"/>
        <v>0</v>
      </c>
      <c r="P4591" s="239"/>
      <c r="Q4591" s="239"/>
      <c r="R4591" s="239"/>
      <c r="S4591" s="239"/>
      <c r="T4591" s="239"/>
      <c r="U4591" s="240"/>
      <c r="V4591" s="240"/>
      <c r="W4591" s="240"/>
      <c r="X4591" s="278"/>
      <c r="Y4591" s="237"/>
      <c r="Z4591" s="237"/>
      <c r="AA4591" s="279"/>
      <c r="AB4591" s="238"/>
      <c r="AC4591" s="196">
        <f t="shared" si="1697"/>
        <v>0</v>
      </c>
      <c r="AD4591" s="196">
        <f t="shared" si="1698"/>
        <v>0</v>
      </c>
      <c r="AE4591" s="196">
        <f t="shared" si="1699"/>
        <v>0</v>
      </c>
      <c r="AF4591" s="2">
        <f t="shared" si="1700"/>
        <v>0</v>
      </c>
      <c r="AG4591" s="2">
        <f t="shared" si="1701"/>
        <v>0</v>
      </c>
    </row>
    <row r="4592" spans="1:33">
      <c r="A4592" s="20" t="s">
        <v>3015</v>
      </c>
      <c r="B4592" s="150"/>
      <c r="C4592" s="21" t="s">
        <v>695</v>
      </c>
      <c r="D4592" s="109" t="s">
        <v>16376</v>
      </c>
      <c r="E4592" s="109" t="s">
        <v>15965</v>
      </c>
      <c r="F4592" s="391" t="s">
        <v>16980</v>
      </c>
      <c r="G4592" s="23"/>
      <c r="H4592" s="23"/>
      <c r="I4592" s="23"/>
      <c r="J4592" s="23"/>
      <c r="K4592" s="23"/>
      <c r="L4592" s="350"/>
      <c r="M4592" s="351"/>
      <c r="N4592" s="267">
        <f t="shared" si="1702"/>
        <v>0</v>
      </c>
      <c r="O4592" s="268">
        <f t="shared" si="1703"/>
        <v>0</v>
      </c>
      <c r="P4592" s="239"/>
      <c r="Q4592" s="239"/>
      <c r="R4592" s="239"/>
      <c r="S4592" s="239"/>
      <c r="T4592" s="239"/>
      <c r="U4592" s="240"/>
      <c r="V4592" s="240"/>
      <c r="W4592" s="240"/>
      <c r="X4592" s="278"/>
      <c r="Y4592" s="240"/>
      <c r="Z4592" s="237"/>
      <c r="AA4592" s="285"/>
      <c r="AB4592" s="238"/>
      <c r="AC4592" s="196">
        <f t="shared" si="1697"/>
        <v>0</v>
      </c>
      <c r="AD4592" s="196">
        <f t="shared" si="1698"/>
        <v>0</v>
      </c>
      <c r="AE4592" s="196">
        <f t="shared" si="1699"/>
        <v>0</v>
      </c>
      <c r="AF4592" s="2">
        <f t="shared" si="1700"/>
        <v>0</v>
      </c>
      <c r="AG4592" s="2">
        <f t="shared" si="1701"/>
        <v>0</v>
      </c>
    </row>
    <row r="4593" spans="1:33">
      <c r="A4593" s="20" t="s">
        <v>3014</v>
      </c>
      <c r="B4593" s="150"/>
      <c r="C4593" s="21" t="s">
        <v>695</v>
      </c>
      <c r="D4593" s="109" t="s">
        <v>16376</v>
      </c>
      <c r="E4593" s="109" t="s">
        <v>16882</v>
      </c>
      <c r="F4593" s="391" t="s">
        <v>16980</v>
      </c>
      <c r="G4593" s="23"/>
      <c r="H4593" s="23"/>
      <c r="I4593" s="23"/>
      <c r="J4593" s="23"/>
      <c r="K4593" s="23"/>
      <c r="L4593" s="350"/>
      <c r="M4593" s="351"/>
      <c r="N4593" s="267">
        <f t="shared" si="1702"/>
        <v>0</v>
      </c>
      <c r="O4593" s="268">
        <f t="shared" si="1703"/>
        <v>0</v>
      </c>
      <c r="P4593" s="239"/>
      <c r="Q4593" s="239"/>
      <c r="R4593" s="239"/>
      <c r="S4593" s="239"/>
      <c r="T4593" s="239"/>
      <c r="U4593" s="240"/>
      <c r="V4593" s="240"/>
      <c r="W4593" s="240"/>
      <c r="X4593" s="278"/>
      <c r="Y4593" s="240"/>
      <c r="Z4593" s="237"/>
      <c r="AA4593" s="279"/>
      <c r="AB4593" s="238"/>
      <c r="AC4593" s="196">
        <f t="shared" si="1697"/>
        <v>0</v>
      </c>
      <c r="AD4593" s="196">
        <f t="shared" si="1698"/>
        <v>0</v>
      </c>
      <c r="AE4593" s="196">
        <f t="shared" si="1699"/>
        <v>0</v>
      </c>
      <c r="AF4593" s="2">
        <f t="shared" si="1700"/>
        <v>0</v>
      </c>
      <c r="AG4593" s="2">
        <f t="shared" si="1701"/>
        <v>0</v>
      </c>
    </row>
    <row r="4594" spans="1:33">
      <c r="A4594" s="20" t="s">
        <v>3016</v>
      </c>
      <c r="B4594" s="162" t="s">
        <v>5897</v>
      </c>
      <c r="C4594" s="21" t="s">
        <v>695</v>
      </c>
      <c r="D4594" s="109" t="s">
        <v>16869</v>
      </c>
      <c r="E4594" s="109" t="s">
        <v>16838</v>
      </c>
      <c r="F4594" s="391" t="s">
        <v>19562</v>
      </c>
      <c r="G4594" s="23" t="s">
        <v>6133</v>
      </c>
      <c r="H4594" s="23"/>
      <c r="I4594" s="23"/>
      <c r="J4594" s="23"/>
      <c r="K4594" s="23"/>
      <c r="L4594" s="375" t="s">
        <v>7787</v>
      </c>
      <c r="M4594" s="351" t="s">
        <v>7787</v>
      </c>
      <c r="N4594" s="267">
        <f t="shared" si="1702"/>
        <v>0</v>
      </c>
      <c r="O4594" s="268">
        <f t="shared" si="1703"/>
        <v>0</v>
      </c>
      <c r="P4594" s="239"/>
      <c r="Q4594" s="239"/>
      <c r="R4594" s="239"/>
      <c r="S4594" s="239"/>
      <c r="T4594" s="239"/>
      <c r="U4594" s="240"/>
      <c r="V4594" s="240"/>
      <c r="W4594" s="240"/>
      <c r="X4594" s="278"/>
      <c r="Y4594" s="237"/>
      <c r="Z4594" s="237"/>
      <c r="AA4594" s="279"/>
      <c r="AB4594" s="238"/>
      <c r="AC4594" s="196">
        <f t="shared" si="1697"/>
        <v>0</v>
      </c>
      <c r="AD4594" s="196">
        <f t="shared" si="1698"/>
        <v>0</v>
      </c>
      <c r="AE4594" s="196">
        <f t="shared" si="1699"/>
        <v>0</v>
      </c>
      <c r="AF4594" s="2">
        <f t="shared" si="1700"/>
        <v>0</v>
      </c>
      <c r="AG4594" s="2">
        <f t="shared" si="1701"/>
        <v>0</v>
      </c>
    </row>
    <row r="4595" spans="1:33">
      <c r="A4595" s="20" t="s">
        <v>3017</v>
      </c>
      <c r="B4595" s="161"/>
      <c r="C4595" s="21" t="s">
        <v>695</v>
      </c>
      <c r="D4595" s="109" t="s">
        <v>16869</v>
      </c>
      <c r="E4595" s="109"/>
      <c r="F4595" s="391" t="s">
        <v>16980</v>
      </c>
      <c r="G4595" s="23" t="s">
        <v>16884</v>
      </c>
      <c r="H4595" s="23" t="s">
        <v>16981</v>
      </c>
      <c r="I4595" s="23" t="s">
        <v>16982</v>
      </c>
      <c r="J4595" s="23" t="s">
        <v>6133</v>
      </c>
      <c r="K4595" s="23"/>
      <c r="L4595" s="375"/>
      <c r="M4595" s="351" t="s">
        <v>7787</v>
      </c>
      <c r="N4595" s="267">
        <f t="shared" si="1702"/>
        <v>0</v>
      </c>
      <c r="O4595" s="268">
        <f t="shared" si="1703"/>
        <v>0</v>
      </c>
      <c r="P4595" s="239"/>
      <c r="Q4595" s="239"/>
      <c r="R4595" s="239"/>
      <c r="S4595" s="239"/>
      <c r="T4595" s="239"/>
      <c r="U4595" s="240"/>
      <c r="V4595" s="240"/>
      <c r="W4595" s="240"/>
      <c r="X4595" s="278"/>
      <c r="Y4595" s="237"/>
      <c r="Z4595" s="237"/>
      <c r="AA4595" s="279"/>
      <c r="AB4595" s="238"/>
      <c r="AC4595" s="196">
        <f t="shared" si="1697"/>
        <v>0</v>
      </c>
      <c r="AD4595" s="196">
        <f t="shared" si="1698"/>
        <v>0</v>
      </c>
      <c r="AE4595" s="196">
        <f t="shared" si="1699"/>
        <v>0</v>
      </c>
      <c r="AF4595" s="2">
        <f t="shared" si="1700"/>
        <v>0</v>
      </c>
      <c r="AG4595" s="2">
        <f t="shared" si="1701"/>
        <v>0</v>
      </c>
    </row>
    <row r="4596" spans="1:33">
      <c r="A4596" s="20" t="s">
        <v>24200</v>
      </c>
      <c r="B4596" s="150"/>
      <c r="C4596" s="21" t="s">
        <v>695</v>
      </c>
      <c r="D4596" s="109" t="s">
        <v>3136</v>
      </c>
      <c r="E4596" s="109" t="s">
        <v>22402</v>
      </c>
      <c r="F4596" s="391" t="s">
        <v>5275</v>
      </c>
      <c r="G4596" s="23" t="s">
        <v>6133</v>
      </c>
      <c r="H4596" s="23" t="s">
        <v>13377</v>
      </c>
      <c r="I4596" s="23" t="s">
        <v>14348</v>
      </c>
      <c r="J4596" s="23" t="s">
        <v>16982</v>
      </c>
      <c r="K4596" s="23"/>
      <c r="L4596" s="375" t="s">
        <v>7787</v>
      </c>
      <c r="M4596" s="351" t="s">
        <v>7787</v>
      </c>
      <c r="N4596" s="267">
        <f t="shared" ref="N4596" si="1704">SUM(L4596:M4596)</f>
        <v>0</v>
      </c>
      <c r="O4596" s="268">
        <f t="shared" ref="O4596" si="1705">SUM(P4596:Z4596)</f>
        <v>700</v>
      </c>
      <c r="P4596" s="239"/>
      <c r="Q4596" s="239"/>
      <c r="R4596" s="239">
        <f>500-100+950+250-1000+3200+3100-5400-500-300</f>
        <v>700</v>
      </c>
      <c r="S4596" s="239"/>
      <c r="T4596" s="239"/>
      <c r="U4596" s="240"/>
      <c r="V4596" s="240"/>
      <c r="W4596" s="240"/>
      <c r="X4596" s="278"/>
      <c r="Y4596" s="237"/>
      <c r="Z4596" s="237"/>
      <c r="AA4596" s="279"/>
      <c r="AB4596" s="238" t="s">
        <v>24800</v>
      </c>
      <c r="AC4596" s="196">
        <f t="shared" si="1697"/>
        <v>700</v>
      </c>
      <c r="AD4596" s="196">
        <f t="shared" si="1698"/>
        <v>700</v>
      </c>
      <c r="AE4596" s="196">
        <f t="shared" si="1699"/>
        <v>0</v>
      </c>
      <c r="AF4596" s="2">
        <f t="shared" si="1700"/>
        <v>700</v>
      </c>
      <c r="AG4596" s="2">
        <f t="shared" si="1701"/>
        <v>0</v>
      </c>
    </row>
    <row r="4597" spans="1:33">
      <c r="A4597" s="20" t="s">
        <v>12404</v>
      </c>
      <c r="B4597" s="150"/>
      <c r="C4597" s="21" t="s">
        <v>695</v>
      </c>
      <c r="D4597" s="109" t="s">
        <v>16670</v>
      </c>
      <c r="E4597" s="109"/>
      <c r="F4597" s="391" t="s">
        <v>16980</v>
      </c>
      <c r="G4597" s="23" t="s">
        <v>16884</v>
      </c>
      <c r="H4597" s="23"/>
      <c r="I4597" s="23"/>
      <c r="J4597" s="23"/>
      <c r="K4597" s="23"/>
      <c r="L4597" s="375"/>
      <c r="M4597" s="351" t="s">
        <v>7787</v>
      </c>
      <c r="N4597" s="267">
        <f t="shared" si="1702"/>
        <v>0</v>
      </c>
      <c r="O4597" s="268">
        <f t="shared" si="1703"/>
        <v>0</v>
      </c>
      <c r="P4597" s="239"/>
      <c r="Q4597" s="239"/>
      <c r="R4597" s="239"/>
      <c r="S4597" s="239"/>
      <c r="T4597" s="239"/>
      <c r="U4597" s="240"/>
      <c r="V4597" s="240"/>
      <c r="W4597" s="240"/>
      <c r="X4597" s="278"/>
      <c r="Y4597" s="237"/>
      <c r="Z4597" s="237"/>
      <c r="AA4597" s="279"/>
      <c r="AB4597" s="238"/>
      <c r="AC4597" s="196">
        <f t="shared" si="1697"/>
        <v>0</v>
      </c>
      <c r="AD4597" s="196">
        <f t="shared" si="1698"/>
        <v>0</v>
      </c>
      <c r="AE4597" s="196">
        <f t="shared" si="1699"/>
        <v>0</v>
      </c>
      <c r="AF4597" s="2">
        <f t="shared" si="1700"/>
        <v>0</v>
      </c>
      <c r="AG4597" s="2">
        <f t="shared" si="1701"/>
        <v>0</v>
      </c>
    </row>
    <row r="4598" spans="1:33">
      <c r="A4598" s="20" t="s">
        <v>2958</v>
      </c>
      <c r="B4598" s="150"/>
      <c r="C4598" s="21" t="s">
        <v>671</v>
      </c>
      <c r="D4598" s="109" t="s">
        <v>16251</v>
      </c>
      <c r="E4598" s="109"/>
      <c r="F4598" s="391" t="s">
        <v>16983</v>
      </c>
      <c r="G4598" s="23"/>
      <c r="H4598" s="23"/>
      <c r="I4598" s="23"/>
      <c r="J4598" s="23"/>
      <c r="K4598" s="23"/>
      <c r="L4598" s="350"/>
      <c r="M4598" s="351"/>
      <c r="N4598" s="267">
        <f t="shared" si="1702"/>
        <v>0</v>
      </c>
      <c r="O4598" s="268">
        <f t="shared" si="1703"/>
        <v>0</v>
      </c>
      <c r="P4598" s="239"/>
      <c r="Q4598" s="239"/>
      <c r="R4598" s="239"/>
      <c r="S4598" s="239"/>
      <c r="T4598" s="239"/>
      <c r="U4598" s="240"/>
      <c r="V4598" s="240"/>
      <c r="W4598" s="240"/>
      <c r="X4598" s="278"/>
      <c r="Y4598" s="278"/>
      <c r="Z4598" s="237"/>
      <c r="AA4598" s="279"/>
      <c r="AB4598" s="238"/>
      <c r="AC4598" s="196">
        <f t="shared" si="1697"/>
        <v>0</v>
      </c>
      <c r="AD4598" s="196">
        <f t="shared" si="1698"/>
        <v>0</v>
      </c>
      <c r="AE4598" s="196">
        <f t="shared" si="1699"/>
        <v>0</v>
      </c>
      <c r="AF4598" s="2">
        <f t="shared" si="1700"/>
        <v>0</v>
      </c>
      <c r="AG4598" s="2">
        <f t="shared" si="1701"/>
        <v>0</v>
      </c>
    </row>
    <row r="4599" spans="1:33">
      <c r="A4599" s="20" t="s">
        <v>3018</v>
      </c>
      <c r="B4599" s="152" t="s">
        <v>5898</v>
      </c>
      <c r="C4599" s="21" t="s">
        <v>873</v>
      </c>
      <c r="D4599" s="109" t="s">
        <v>15161</v>
      </c>
      <c r="E4599" s="109"/>
      <c r="F4599" s="391" t="s">
        <v>16962</v>
      </c>
      <c r="G4599" s="23" t="s">
        <v>23705</v>
      </c>
      <c r="H4599" s="23" t="s">
        <v>15168</v>
      </c>
      <c r="I4599" s="23" t="s">
        <v>16221</v>
      </c>
      <c r="J4599" s="23" t="s">
        <v>22265</v>
      </c>
      <c r="K4599" s="23"/>
      <c r="L4599" s="375" t="s">
        <v>45</v>
      </c>
      <c r="M4599" s="351"/>
      <c r="N4599" s="267">
        <f t="shared" si="1702"/>
        <v>0</v>
      </c>
      <c r="O4599" s="268">
        <f t="shared" si="1703"/>
        <v>450</v>
      </c>
      <c r="P4599" s="239"/>
      <c r="Q4599" s="239">
        <f>2450-1500-400+2550-1250-150-50-200-100-50-350-400-100</f>
        <v>450</v>
      </c>
      <c r="R4599" s="239"/>
      <c r="S4599" s="239"/>
      <c r="T4599" s="239"/>
      <c r="U4599" s="240"/>
      <c r="V4599" s="240"/>
      <c r="W4599" s="240"/>
      <c r="X4599" s="278"/>
      <c r="Y4599" s="237"/>
      <c r="Z4599" s="237"/>
      <c r="AA4599" s="279"/>
      <c r="AB4599" s="238" t="s">
        <v>25464</v>
      </c>
      <c r="AC4599" s="196">
        <f t="shared" si="1697"/>
        <v>450</v>
      </c>
      <c r="AD4599" s="196">
        <f t="shared" si="1698"/>
        <v>450</v>
      </c>
      <c r="AE4599" s="196">
        <f t="shared" si="1699"/>
        <v>0</v>
      </c>
      <c r="AF4599" s="2">
        <f t="shared" si="1700"/>
        <v>450</v>
      </c>
      <c r="AG4599" s="2">
        <f t="shared" si="1701"/>
        <v>0</v>
      </c>
    </row>
    <row r="4600" spans="1:33">
      <c r="A4600" s="20" t="s">
        <v>3019</v>
      </c>
      <c r="B4600" s="150"/>
      <c r="C4600" s="21" t="s">
        <v>873</v>
      </c>
      <c r="D4600" s="109" t="s">
        <v>15167</v>
      </c>
      <c r="E4600" s="109"/>
      <c r="F4600" s="391" t="s">
        <v>5268</v>
      </c>
      <c r="G4600" s="23" t="s">
        <v>23705</v>
      </c>
      <c r="H4600" s="23"/>
      <c r="I4600" s="23"/>
      <c r="J4600" s="23"/>
      <c r="K4600" s="23"/>
      <c r="L4600" s="375" t="s">
        <v>45</v>
      </c>
      <c r="M4600" s="351" t="s">
        <v>7787</v>
      </c>
      <c r="N4600" s="267">
        <f t="shared" si="1702"/>
        <v>0</v>
      </c>
      <c r="O4600" s="268">
        <f t="shared" si="1703"/>
        <v>0</v>
      </c>
      <c r="P4600" s="239"/>
      <c r="Q4600" s="239"/>
      <c r="R4600" s="239"/>
      <c r="S4600" s="239"/>
      <c r="T4600" s="239"/>
      <c r="U4600" s="240"/>
      <c r="V4600" s="240"/>
      <c r="W4600" s="240"/>
      <c r="X4600" s="278"/>
      <c r="Y4600" s="237"/>
      <c r="Z4600" s="237"/>
      <c r="AA4600" s="279"/>
      <c r="AB4600" s="238"/>
      <c r="AC4600" s="196">
        <f t="shared" si="1697"/>
        <v>0</v>
      </c>
      <c r="AD4600" s="196">
        <f t="shared" si="1698"/>
        <v>0</v>
      </c>
      <c r="AE4600" s="196">
        <f t="shared" si="1699"/>
        <v>0</v>
      </c>
      <c r="AF4600" s="2">
        <f t="shared" si="1700"/>
        <v>0</v>
      </c>
      <c r="AG4600" s="2">
        <f t="shared" si="1701"/>
        <v>0</v>
      </c>
    </row>
    <row r="4601" spans="1:33">
      <c r="A4601" s="20" t="s">
        <v>3021</v>
      </c>
      <c r="B4601" s="152"/>
      <c r="C4601" s="21" t="s">
        <v>874</v>
      </c>
      <c r="D4601" s="109" t="s">
        <v>15161</v>
      </c>
      <c r="E4601" s="109" t="s">
        <v>26321</v>
      </c>
      <c r="F4601" s="391" t="s">
        <v>16984</v>
      </c>
      <c r="G4601" s="23" t="s">
        <v>23705</v>
      </c>
      <c r="H4601" s="23" t="s">
        <v>16379</v>
      </c>
      <c r="I4601" s="23" t="s">
        <v>16544</v>
      </c>
      <c r="J4601" s="23"/>
      <c r="K4601" s="23"/>
      <c r="L4601" s="375" t="s">
        <v>45</v>
      </c>
      <c r="M4601" s="351" t="s">
        <v>45</v>
      </c>
      <c r="N4601" s="267">
        <f t="shared" si="1702"/>
        <v>0</v>
      </c>
      <c r="O4601" s="268">
        <f t="shared" si="1703"/>
        <v>0</v>
      </c>
      <c r="P4601" s="239"/>
      <c r="Q4601" s="239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79"/>
      <c r="AB4601" s="238"/>
      <c r="AC4601" s="196">
        <f t="shared" si="1697"/>
        <v>0</v>
      </c>
      <c r="AD4601" s="196">
        <f t="shared" si="1698"/>
        <v>0</v>
      </c>
      <c r="AE4601" s="196">
        <f t="shared" si="1699"/>
        <v>0</v>
      </c>
      <c r="AF4601" s="2">
        <f t="shared" si="1700"/>
        <v>0</v>
      </c>
      <c r="AG4601" s="2">
        <f t="shared" si="1701"/>
        <v>0</v>
      </c>
    </row>
    <row r="4602" spans="1:33">
      <c r="A4602" s="20" t="s">
        <v>3020</v>
      </c>
      <c r="B4602" s="151"/>
      <c r="C4602" s="21" t="s">
        <v>874</v>
      </c>
      <c r="D4602" s="109" t="s">
        <v>15161</v>
      </c>
      <c r="E4602" s="109" t="s">
        <v>26466</v>
      </c>
      <c r="F4602" s="391" t="s">
        <v>16984</v>
      </c>
      <c r="G4602" s="23" t="s">
        <v>14144</v>
      </c>
      <c r="H4602" s="23" t="s">
        <v>16379</v>
      </c>
      <c r="I4602" s="23" t="s">
        <v>16544</v>
      </c>
      <c r="J4602" s="23"/>
      <c r="K4602" s="23"/>
      <c r="L4602" s="375" t="s">
        <v>7787</v>
      </c>
      <c r="M4602" s="351"/>
      <c r="N4602" s="267">
        <f t="shared" si="1702"/>
        <v>0</v>
      </c>
      <c r="O4602" s="268">
        <f>SUM(P4602:Z4602)</f>
        <v>400</v>
      </c>
      <c r="P4602" s="239"/>
      <c r="Q4602" s="239">
        <f>1800-300-500-300-300</f>
        <v>400</v>
      </c>
      <c r="R4602" s="239"/>
      <c r="S4602" s="241"/>
      <c r="T4602" s="241"/>
      <c r="U4602" s="240"/>
      <c r="V4602" s="240"/>
      <c r="W4602" s="240"/>
      <c r="X4602" s="278"/>
      <c r="Y4602" s="237"/>
      <c r="Z4602" s="237"/>
      <c r="AA4602" s="279"/>
      <c r="AB4602" s="238"/>
      <c r="AC4602" s="196">
        <f t="shared" si="1697"/>
        <v>400</v>
      </c>
      <c r="AD4602" s="196">
        <f t="shared" si="1698"/>
        <v>400</v>
      </c>
      <c r="AE4602" s="196">
        <f t="shared" si="1699"/>
        <v>0</v>
      </c>
      <c r="AF4602" s="2">
        <f t="shared" si="1700"/>
        <v>400</v>
      </c>
      <c r="AG4602" s="2">
        <f t="shared" si="1701"/>
        <v>0</v>
      </c>
    </row>
    <row r="4603" spans="1:33">
      <c r="A4603" s="20" t="s">
        <v>26720</v>
      </c>
      <c r="B4603" s="156"/>
      <c r="C4603" s="21" t="s">
        <v>874</v>
      </c>
      <c r="D4603" s="109" t="s">
        <v>4064</v>
      </c>
      <c r="E4603" s="109" t="s">
        <v>26467</v>
      </c>
      <c r="F4603" s="391" t="s">
        <v>6940</v>
      </c>
      <c r="G4603" s="23" t="s">
        <v>6774</v>
      </c>
      <c r="H4603" s="23" t="s">
        <v>27147</v>
      </c>
      <c r="I4603" s="23"/>
      <c r="J4603" s="23"/>
      <c r="K4603" s="23"/>
      <c r="L4603" s="375" t="s">
        <v>7787</v>
      </c>
      <c r="M4603" s="351"/>
      <c r="N4603" s="267">
        <f t="shared" ref="N4603" si="1706">SUM(L4603:M4603)</f>
        <v>0</v>
      </c>
      <c r="O4603" s="268">
        <f>SUM(P4603:Z4603)</f>
        <v>4550</v>
      </c>
      <c r="P4603" s="239"/>
      <c r="Q4603" s="239"/>
      <c r="R4603" s="241"/>
      <c r="S4603" s="241"/>
      <c r="T4603" s="241">
        <f>500+2500+3000-2300-100-3200+3700+6300-2000-200-50-1800-1800</f>
        <v>4550</v>
      </c>
      <c r="U4603" s="240"/>
      <c r="V4603" s="240"/>
      <c r="W4603" s="240"/>
      <c r="X4603" s="278"/>
      <c r="Y4603" s="237"/>
      <c r="Z4603" s="237"/>
      <c r="AA4603" s="279"/>
      <c r="AB4603" s="238" t="s">
        <v>27257</v>
      </c>
      <c r="AC4603" s="196">
        <f t="shared" si="1697"/>
        <v>4550</v>
      </c>
      <c r="AD4603" s="196">
        <f t="shared" si="1698"/>
        <v>4550</v>
      </c>
      <c r="AE4603" s="196">
        <f t="shared" si="1699"/>
        <v>0</v>
      </c>
      <c r="AF4603" s="2">
        <f t="shared" si="1700"/>
        <v>4550</v>
      </c>
      <c r="AG4603" s="2">
        <f t="shared" si="1701"/>
        <v>0</v>
      </c>
    </row>
    <row r="4604" spans="1:33">
      <c r="A4604" s="20" t="s">
        <v>6903</v>
      </c>
      <c r="B4604" s="156" t="s">
        <v>16985</v>
      </c>
      <c r="C4604" s="21" t="s">
        <v>874</v>
      </c>
      <c r="D4604" s="109" t="s">
        <v>15167</v>
      </c>
      <c r="E4604" s="109" t="s">
        <v>16351</v>
      </c>
      <c r="F4604" s="391" t="s">
        <v>16984</v>
      </c>
      <c r="G4604" s="23" t="s">
        <v>23705</v>
      </c>
      <c r="H4604" s="23"/>
      <c r="I4604" s="23"/>
      <c r="J4604" s="23"/>
      <c r="K4604" s="23"/>
      <c r="L4604" s="375" t="s">
        <v>7787</v>
      </c>
      <c r="M4604" s="351"/>
      <c r="N4604" s="267">
        <f t="shared" si="1702"/>
        <v>0</v>
      </c>
      <c r="O4604" s="268">
        <f t="shared" si="1703"/>
        <v>0</v>
      </c>
      <c r="P4604" s="239"/>
      <c r="Q4604" s="239"/>
      <c r="R4604" s="239"/>
      <c r="S4604" s="239"/>
      <c r="T4604" s="239"/>
      <c r="U4604" s="240"/>
      <c r="V4604" s="240"/>
      <c r="W4604" s="240"/>
      <c r="X4604" s="278"/>
      <c r="Y4604" s="237"/>
      <c r="Z4604" s="237"/>
      <c r="AA4604" s="279"/>
      <c r="AB4604" s="238"/>
      <c r="AC4604" s="196">
        <f t="shared" si="1697"/>
        <v>0</v>
      </c>
      <c r="AD4604" s="196">
        <f t="shared" si="1698"/>
        <v>0</v>
      </c>
      <c r="AE4604" s="196">
        <f t="shared" si="1699"/>
        <v>0</v>
      </c>
      <c r="AF4604" s="2">
        <f t="shared" si="1700"/>
        <v>0</v>
      </c>
      <c r="AG4604" s="2">
        <f t="shared" si="1701"/>
        <v>0</v>
      </c>
    </row>
    <row r="4605" spans="1:33">
      <c r="A4605" s="20" t="s">
        <v>3022</v>
      </c>
      <c r="B4605" s="150"/>
      <c r="C4605" s="21" t="s">
        <v>875</v>
      </c>
      <c r="D4605" s="109" t="s">
        <v>16376</v>
      </c>
      <c r="E4605" s="109" t="s">
        <v>15965</v>
      </c>
      <c r="F4605" s="391" t="s">
        <v>16986</v>
      </c>
      <c r="G4605" s="23" t="s">
        <v>16378</v>
      </c>
      <c r="H4605" s="23"/>
      <c r="I4605" s="23"/>
      <c r="J4605" s="23"/>
      <c r="K4605" s="23"/>
      <c r="L4605" s="350"/>
      <c r="M4605" s="351"/>
      <c r="N4605" s="267">
        <f t="shared" si="1702"/>
        <v>0</v>
      </c>
      <c r="O4605" s="268">
        <f t="shared" si="1703"/>
        <v>0</v>
      </c>
      <c r="P4605" s="239"/>
      <c r="Q4605" s="239"/>
      <c r="R4605" s="239"/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/>
      <c r="AC4605" s="196">
        <f t="shared" si="1697"/>
        <v>0</v>
      </c>
      <c r="AD4605" s="196">
        <f t="shared" si="1698"/>
        <v>0</v>
      </c>
      <c r="AE4605" s="196">
        <f t="shared" si="1699"/>
        <v>0</v>
      </c>
      <c r="AF4605" s="2">
        <f t="shared" si="1700"/>
        <v>0</v>
      </c>
      <c r="AG4605" s="2">
        <f t="shared" si="1701"/>
        <v>0</v>
      </c>
    </row>
    <row r="4606" spans="1:33">
      <c r="A4606" s="20" t="s">
        <v>3023</v>
      </c>
      <c r="B4606" s="152" t="s">
        <v>5961</v>
      </c>
      <c r="C4606" s="21" t="s">
        <v>875</v>
      </c>
      <c r="D4606" s="109" t="s">
        <v>15161</v>
      </c>
      <c r="E4606" s="109"/>
      <c r="F4606" s="391" t="s">
        <v>16986</v>
      </c>
      <c r="G4606" s="23" t="s">
        <v>13934</v>
      </c>
      <c r="H4606" s="23" t="s">
        <v>16864</v>
      </c>
      <c r="I4606" s="23"/>
      <c r="J4606" s="23"/>
      <c r="K4606" s="23"/>
      <c r="L4606" s="375" t="s">
        <v>7787</v>
      </c>
      <c r="M4606" s="351" t="s">
        <v>7787</v>
      </c>
      <c r="N4606" s="267">
        <f t="shared" si="1702"/>
        <v>0</v>
      </c>
      <c r="O4606" s="268">
        <f t="shared" si="1703"/>
        <v>0</v>
      </c>
      <c r="P4606" s="239"/>
      <c r="Q4606" s="239"/>
      <c r="R4606" s="239"/>
      <c r="S4606" s="239"/>
      <c r="T4606" s="239"/>
      <c r="U4606" s="240"/>
      <c r="V4606" s="240"/>
      <c r="W4606" s="240"/>
      <c r="X4606" s="278"/>
      <c r="Y4606" s="237"/>
      <c r="Z4606" s="237"/>
      <c r="AA4606" s="239"/>
      <c r="AB4606" s="238"/>
      <c r="AC4606" s="196">
        <f t="shared" si="1697"/>
        <v>0</v>
      </c>
      <c r="AD4606" s="196">
        <f t="shared" si="1698"/>
        <v>0</v>
      </c>
      <c r="AE4606" s="196">
        <f t="shared" si="1699"/>
        <v>0</v>
      </c>
      <c r="AF4606" s="2">
        <f t="shared" si="1700"/>
        <v>0</v>
      </c>
      <c r="AG4606" s="2">
        <f t="shared" si="1701"/>
        <v>0</v>
      </c>
    </row>
    <row r="4607" spans="1:33">
      <c r="A4607" s="20" t="s">
        <v>3024</v>
      </c>
      <c r="B4607" s="151" t="s">
        <v>16987</v>
      </c>
      <c r="C4607" s="21" t="s">
        <v>875</v>
      </c>
      <c r="D4607" s="109" t="s">
        <v>15167</v>
      </c>
      <c r="E4607" s="109"/>
      <c r="F4607" s="391" t="s">
        <v>16986</v>
      </c>
      <c r="G4607" s="23" t="s">
        <v>16378</v>
      </c>
      <c r="H4607" s="23"/>
      <c r="I4607" s="23"/>
      <c r="J4607" s="23"/>
      <c r="K4607" s="23"/>
      <c r="L4607" s="350"/>
      <c r="M4607" s="351"/>
      <c r="N4607" s="267">
        <f t="shared" si="1702"/>
        <v>0</v>
      </c>
      <c r="O4607" s="268">
        <f t="shared" si="1703"/>
        <v>0</v>
      </c>
      <c r="P4607" s="239"/>
      <c r="Q4607" s="239"/>
      <c r="R4607" s="239"/>
      <c r="S4607" s="239"/>
      <c r="T4607" s="239"/>
      <c r="U4607" s="240"/>
      <c r="V4607" s="240"/>
      <c r="W4607" s="240"/>
      <c r="X4607" s="278"/>
      <c r="Y4607" s="237"/>
      <c r="Z4607" s="237"/>
      <c r="AA4607" s="279"/>
      <c r="AB4607" s="238"/>
      <c r="AC4607" s="196">
        <f t="shared" si="1697"/>
        <v>0</v>
      </c>
      <c r="AD4607" s="196">
        <f t="shared" si="1698"/>
        <v>0</v>
      </c>
      <c r="AE4607" s="196">
        <f t="shared" si="1699"/>
        <v>0</v>
      </c>
      <c r="AF4607" s="2">
        <f t="shared" si="1700"/>
        <v>0</v>
      </c>
      <c r="AG4607" s="2">
        <f t="shared" si="1701"/>
        <v>0</v>
      </c>
    </row>
    <row r="4608" spans="1:33">
      <c r="A4608" s="20" t="s">
        <v>3025</v>
      </c>
      <c r="B4608" s="152" t="s">
        <v>5899</v>
      </c>
      <c r="C4608" s="21" t="s">
        <v>876</v>
      </c>
      <c r="D4608" s="109" t="s">
        <v>16216</v>
      </c>
      <c r="E4608" s="109" t="s">
        <v>16988</v>
      </c>
      <c r="F4608" s="391" t="s">
        <v>16986</v>
      </c>
      <c r="G4608" s="23" t="s">
        <v>16141</v>
      </c>
      <c r="H4608" s="23"/>
      <c r="I4608" s="23"/>
      <c r="J4608" s="23"/>
      <c r="K4608" s="23"/>
      <c r="L4608" s="375" t="s">
        <v>7787</v>
      </c>
      <c r="M4608" s="360" t="s">
        <v>7787</v>
      </c>
      <c r="N4608" s="267">
        <f t="shared" si="1702"/>
        <v>0</v>
      </c>
      <c r="O4608" s="268">
        <f t="shared" si="1703"/>
        <v>0</v>
      </c>
      <c r="P4608" s="239"/>
      <c r="Q4608" s="237"/>
      <c r="R4608" s="239"/>
      <c r="S4608" s="239"/>
      <c r="T4608" s="239"/>
      <c r="U4608" s="240"/>
      <c r="V4608" s="240"/>
      <c r="W4608" s="240"/>
      <c r="X4608" s="278"/>
      <c r="Y4608" s="237"/>
      <c r="Z4608" s="237"/>
      <c r="AA4608" s="279"/>
      <c r="AB4608" s="238"/>
      <c r="AC4608" s="196">
        <f t="shared" si="1697"/>
        <v>0</v>
      </c>
      <c r="AD4608" s="196">
        <f t="shared" si="1698"/>
        <v>0</v>
      </c>
      <c r="AE4608" s="196">
        <f t="shared" si="1699"/>
        <v>0</v>
      </c>
      <c r="AF4608" s="2">
        <f t="shared" si="1700"/>
        <v>0</v>
      </c>
      <c r="AG4608" s="2">
        <f t="shared" si="1701"/>
        <v>0</v>
      </c>
    </row>
    <row r="4609" spans="1:33">
      <c r="A4609" s="20" t="s">
        <v>3026</v>
      </c>
      <c r="B4609" s="150"/>
      <c r="C4609" s="21" t="s">
        <v>694</v>
      </c>
      <c r="D4609" s="109" t="s">
        <v>16766</v>
      </c>
      <c r="E4609" s="109" t="s">
        <v>15965</v>
      </c>
      <c r="F4609" s="391" t="s">
        <v>16989</v>
      </c>
      <c r="G4609" s="23"/>
      <c r="H4609" s="23"/>
      <c r="I4609" s="23"/>
      <c r="J4609" s="23"/>
      <c r="K4609" s="23"/>
      <c r="L4609" s="350"/>
      <c r="M4609" s="351"/>
      <c r="N4609" s="267">
        <f t="shared" si="1702"/>
        <v>0</v>
      </c>
      <c r="O4609" s="268">
        <f t="shared" si="1703"/>
        <v>0</v>
      </c>
      <c r="P4609" s="239"/>
      <c r="Q4609" s="239"/>
      <c r="R4609" s="239"/>
      <c r="S4609" s="239"/>
      <c r="T4609" s="239"/>
      <c r="U4609" s="240"/>
      <c r="V4609" s="240"/>
      <c r="W4609" s="240"/>
      <c r="X4609" s="278"/>
      <c r="Y4609" s="237"/>
      <c r="Z4609" s="237"/>
      <c r="AA4609" s="279"/>
      <c r="AB4609" s="238"/>
      <c r="AC4609" s="196">
        <f t="shared" si="1697"/>
        <v>0</v>
      </c>
      <c r="AD4609" s="196">
        <f t="shared" si="1698"/>
        <v>0</v>
      </c>
      <c r="AE4609" s="196">
        <f t="shared" si="1699"/>
        <v>0</v>
      </c>
      <c r="AF4609" s="2">
        <f t="shared" si="1700"/>
        <v>0</v>
      </c>
      <c r="AG4609" s="2">
        <f t="shared" si="1701"/>
        <v>0</v>
      </c>
    </row>
    <row r="4610" spans="1:33">
      <c r="A4610" s="20" t="s">
        <v>3027</v>
      </c>
      <c r="B4610" s="150"/>
      <c r="C4610" s="21" t="s">
        <v>694</v>
      </c>
      <c r="D4610" s="109" t="s">
        <v>15161</v>
      </c>
      <c r="E4610" s="109"/>
      <c r="F4610" s="391" t="s">
        <v>16989</v>
      </c>
      <c r="G4610" s="23"/>
      <c r="H4610" s="23"/>
      <c r="I4610" s="23"/>
      <c r="J4610" s="23"/>
      <c r="K4610" s="23"/>
      <c r="L4610" s="350"/>
      <c r="M4610" s="351"/>
      <c r="N4610" s="267">
        <f t="shared" si="1702"/>
        <v>0</v>
      </c>
      <c r="O4610" s="268">
        <f t="shared" si="1703"/>
        <v>0</v>
      </c>
      <c r="P4610" s="239"/>
      <c r="Q4610" s="239"/>
      <c r="R4610" s="239"/>
      <c r="S4610" s="239"/>
      <c r="T4610" s="239"/>
      <c r="U4610" s="240"/>
      <c r="V4610" s="240"/>
      <c r="W4610" s="240"/>
      <c r="X4610" s="278"/>
      <c r="Y4610" s="237"/>
      <c r="Z4610" s="237"/>
      <c r="AA4610" s="279"/>
      <c r="AB4610" s="238"/>
      <c r="AC4610" s="196">
        <f t="shared" si="1697"/>
        <v>0</v>
      </c>
      <c r="AD4610" s="196">
        <f t="shared" si="1698"/>
        <v>0</v>
      </c>
      <c r="AE4610" s="196">
        <f t="shared" si="1699"/>
        <v>0</v>
      </c>
      <c r="AF4610" s="2">
        <f t="shared" si="1700"/>
        <v>0</v>
      </c>
      <c r="AG4610" s="2">
        <f t="shared" si="1701"/>
        <v>0</v>
      </c>
    </row>
    <row r="4611" spans="1:33">
      <c r="A4611" s="20" t="s">
        <v>3028</v>
      </c>
      <c r="B4611" s="150"/>
      <c r="C4611" s="21" t="s">
        <v>694</v>
      </c>
      <c r="D4611" s="109" t="s">
        <v>15167</v>
      </c>
      <c r="E4611" s="109"/>
      <c r="F4611" s="391" t="s">
        <v>16989</v>
      </c>
      <c r="G4611" s="23"/>
      <c r="H4611" s="23"/>
      <c r="I4611" s="23"/>
      <c r="J4611" s="23"/>
      <c r="K4611" s="23"/>
      <c r="L4611" s="350"/>
      <c r="M4611" s="351"/>
      <c r="N4611" s="267">
        <f t="shared" si="1702"/>
        <v>0</v>
      </c>
      <c r="O4611" s="268">
        <f t="shared" si="1703"/>
        <v>0</v>
      </c>
      <c r="P4611" s="239"/>
      <c r="Q4611" s="239"/>
      <c r="R4611" s="239"/>
      <c r="S4611" s="239"/>
      <c r="T4611" s="239"/>
      <c r="U4611" s="240"/>
      <c r="V4611" s="240"/>
      <c r="W4611" s="240"/>
      <c r="X4611" s="278"/>
      <c r="Y4611" s="237"/>
      <c r="Z4611" s="237"/>
      <c r="AA4611" s="279"/>
      <c r="AB4611" s="238"/>
      <c r="AC4611" s="196">
        <f t="shared" si="1697"/>
        <v>0</v>
      </c>
      <c r="AD4611" s="196">
        <f t="shared" si="1698"/>
        <v>0</v>
      </c>
      <c r="AE4611" s="196">
        <f t="shared" si="1699"/>
        <v>0</v>
      </c>
      <c r="AF4611" s="2">
        <f t="shared" si="1700"/>
        <v>0</v>
      </c>
      <c r="AG4611" s="2">
        <f t="shared" si="1701"/>
        <v>0</v>
      </c>
    </row>
    <row r="4612" spans="1:33">
      <c r="A4612" s="20" t="s">
        <v>19953</v>
      </c>
      <c r="B4612" s="150"/>
      <c r="C4612" s="21" t="s">
        <v>19836</v>
      </c>
      <c r="D4612" s="109" t="s">
        <v>3137</v>
      </c>
      <c r="E4612" s="109"/>
      <c r="F4612" s="391" t="s">
        <v>19870</v>
      </c>
      <c r="G4612" s="23" t="s">
        <v>6133</v>
      </c>
      <c r="H4612" s="23" t="s">
        <v>17522</v>
      </c>
      <c r="I4612" s="23"/>
      <c r="J4612" s="23"/>
      <c r="K4612" s="23"/>
      <c r="L4612" s="375" t="s">
        <v>7787</v>
      </c>
      <c r="M4612" s="351" t="s">
        <v>7787</v>
      </c>
      <c r="N4612" s="267">
        <f t="shared" si="1702"/>
        <v>0</v>
      </c>
      <c r="O4612" s="268">
        <f t="shared" si="1703"/>
        <v>1200</v>
      </c>
      <c r="P4612" s="239"/>
      <c r="Q4612" s="239"/>
      <c r="R4612" s="239">
        <f>2490-60+300-1800-300+1320+870-1800-90-630-120+3000-90-90-1800</f>
        <v>1200</v>
      </c>
      <c r="S4612" s="239"/>
      <c r="T4612" s="239"/>
      <c r="U4612" s="240"/>
      <c r="V4612" s="240"/>
      <c r="W4612" s="240"/>
      <c r="X4612" s="278"/>
      <c r="Y4612" s="237"/>
      <c r="Z4612" s="237"/>
      <c r="AA4612" s="279"/>
      <c r="AB4612" s="238" t="s">
        <v>24970</v>
      </c>
      <c r="AC4612" s="196">
        <f t="shared" si="1697"/>
        <v>1200</v>
      </c>
      <c r="AD4612" s="196">
        <f t="shared" si="1698"/>
        <v>1200</v>
      </c>
      <c r="AE4612" s="196">
        <f t="shared" si="1699"/>
        <v>0</v>
      </c>
      <c r="AF4612" s="2">
        <f t="shared" si="1700"/>
        <v>1200</v>
      </c>
      <c r="AG4612" s="2">
        <f t="shared" si="1701"/>
        <v>0</v>
      </c>
    </row>
    <row r="4613" spans="1:33">
      <c r="A4613" s="20" t="s">
        <v>19954</v>
      </c>
      <c r="B4613" s="150"/>
      <c r="C4613" s="21" t="s">
        <v>19353</v>
      </c>
      <c r="D4613" s="109" t="s">
        <v>3137</v>
      </c>
      <c r="E4613" s="109"/>
      <c r="F4613" s="391" t="s">
        <v>19360</v>
      </c>
      <c r="G4613" s="23" t="s">
        <v>6133</v>
      </c>
      <c r="H4613" s="23"/>
      <c r="I4613" s="23"/>
      <c r="J4613" s="23"/>
      <c r="K4613" s="23"/>
      <c r="L4613" s="375" t="s">
        <v>7787</v>
      </c>
      <c r="M4613" s="351" t="s">
        <v>7787</v>
      </c>
      <c r="N4613" s="267">
        <f t="shared" si="1702"/>
        <v>0</v>
      </c>
      <c r="O4613" s="268">
        <f t="shared" si="1703"/>
        <v>0</v>
      </c>
      <c r="P4613" s="239"/>
      <c r="Q4613" s="239"/>
      <c r="R4613" s="239"/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/>
      <c r="AC4613" s="196">
        <f t="shared" si="1697"/>
        <v>0</v>
      </c>
      <c r="AD4613" s="196">
        <f t="shared" si="1698"/>
        <v>0</v>
      </c>
      <c r="AE4613" s="196">
        <f t="shared" si="1699"/>
        <v>0</v>
      </c>
      <c r="AF4613" s="2">
        <f t="shared" si="1700"/>
        <v>0</v>
      </c>
      <c r="AG4613" s="2">
        <f t="shared" si="1701"/>
        <v>0</v>
      </c>
    </row>
    <row r="4614" spans="1:33">
      <c r="A4614" s="20" t="s">
        <v>19955</v>
      </c>
      <c r="B4614" s="150"/>
      <c r="C4614" s="21" t="s">
        <v>19858</v>
      </c>
      <c r="D4614" s="109" t="s">
        <v>3137</v>
      </c>
      <c r="E4614" s="109" t="s">
        <v>24940</v>
      </c>
      <c r="F4614" s="391" t="s">
        <v>19868</v>
      </c>
      <c r="G4614" s="23" t="s">
        <v>13531</v>
      </c>
      <c r="H4614" s="23" t="s">
        <v>24887</v>
      </c>
      <c r="I4614" s="23" t="s">
        <v>26785</v>
      </c>
      <c r="J4614" s="23"/>
      <c r="K4614" s="23"/>
      <c r="L4614" s="375" t="s">
        <v>45</v>
      </c>
      <c r="M4614" s="351" t="s">
        <v>45</v>
      </c>
      <c r="N4614" s="267">
        <f t="shared" si="1702"/>
        <v>0</v>
      </c>
      <c r="O4614" s="268">
        <f t="shared" si="1703"/>
        <v>240</v>
      </c>
      <c r="P4614" s="239"/>
      <c r="Q4614" s="239"/>
      <c r="R4614" s="241">
        <f>100+3260-3280+1120+1340+1560-3000+1480-1080+180-1440</f>
        <v>240</v>
      </c>
      <c r="S4614" s="239"/>
      <c r="T4614" s="239"/>
      <c r="U4614" s="240"/>
      <c r="V4614" s="240"/>
      <c r="W4614" s="240"/>
      <c r="X4614" s="278"/>
      <c r="Y4614" s="239"/>
      <c r="Z4614" s="237"/>
      <c r="AA4614" s="279"/>
      <c r="AB4614" s="238" t="s">
        <v>27031</v>
      </c>
      <c r="AC4614" s="196">
        <f t="shared" si="1697"/>
        <v>240</v>
      </c>
      <c r="AD4614" s="196">
        <f t="shared" si="1698"/>
        <v>240</v>
      </c>
      <c r="AE4614" s="196">
        <f t="shared" si="1699"/>
        <v>0</v>
      </c>
      <c r="AF4614" s="2">
        <f t="shared" si="1700"/>
        <v>240</v>
      </c>
      <c r="AG4614" s="2">
        <f t="shared" si="1701"/>
        <v>0</v>
      </c>
    </row>
    <row r="4615" spans="1:33">
      <c r="A4615" s="20" t="s">
        <v>26719</v>
      </c>
      <c r="B4615" s="150"/>
      <c r="C4615" s="21" t="s">
        <v>26639</v>
      </c>
      <c r="D4615" s="109" t="s">
        <v>4070</v>
      </c>
      <c r="E4615" s="109" t="s">
        <v>26643</v>
      </c>
      <c r="F4615" s="391" t="s">
        <v>26640</v>
      </c>
      <c r="G4615" s="23" t="s">
        <v>26641</v>
      </c>
      <c r="H4615" s="23" t="s">
        <v>26642</v>
      </c>
      <c r="I4615" s="23"/>
      <c r="J4615" s="23"/>
      <c r="K4615" s="23"/>
      <c r="L4615" s="375" t="s">
        <v>45</v>
      </c>
      <c r="M4615" s="351" t="s">
        <v>7787</v>
      </c>
      <c r="N4615" s="267">
        <f t="shared" ref="N4615" si="1707">SUM(L4615:M4615)</f>
        <v>0</v>
      </c>
      <c r="O4615" s="268">
        <f t="shared" ref="O4615" si="1708">SUM(P4615:Z4615)</f>
        <v>0</v>
      </c>
      <c r="P4615" s="239"/>
      <c r="Q4615" s="239"/>
      <c r="R4615" s="239"/>
      <c r="S4615" s="239"/>
      <c r="T4615" s="239"/>
      <c r="U4615" s="240"/>
      <c r="V4615" s="240"/>
      <c r="W4615" s="240"/>
      <c r="X4615" s="278"/>
      <c r="Y4615" s="239"/>
      <c r="Z4615" s="237"/>
      <c r="AA4615" s="279"/>
      <c r="AB4615" s="238"/>
      <c r="AC4615" s="196">
        <f t="shared" si="1697"/>
        <v>0</v>
      </c>
      <c r="AD4615" s="196">
        <f t="shared" si="1698"/>
        <v>0</v>
      </c>
      <c r="AE4615" s="196">
        <f t="shared" si="1699"/>
        <v>0</v>
      </c>
      <c r="AF4615" s="2">
        <f t="shared" si="1700"/>
        <v>0</v>
      </c>
      <c r="AG4615" s="2">
        <f t="shared" si="1701"/>
        <v>0</v>
      </c>
    </row>
    <row r="4616" spans="1:33">
      <c r="A4616" s="20" t="s">
        <v>24832</v>
      </c>
      <c r="B4616" s="150"/>
      <c r="C4616" s="21" t="s">
        <v>19858</v>
      </c>
      <c r="D4616" s="109" t="s">
        <v>3133</v>
      </c>
      <c r="E4616" s="109" t="s">
        <v>23617</v>
      </c>
      <c r="F4616" s="391" t="s">
        <v>19868</v>
      </c>
      <c r="G4616" s="23" t="s">
        <v>21185</v>
      </c>
      <c r="H4616" s="23"/>
      <c r="I4616" s="23"/>
      <c r="J4616" s="23"/>
      <c r="K4616" s="23"/>
      <c r="L4616" s="375" t="s">
        <v>7787</v>
      </c>
      <c r="M4616" s="351" t="s">
        <v>7787</v>
      </c>
      <c r="N4616" s="267">
        <f t="shared" ref="N4616:N4617" si="1709">SUM(L4616:M4616)</f>
        <v>0</v>
      </c>
      <c r="O4616" s="268">
        <f t="shared" ref="O4616:O4617" si="1710">SUM(P4616:Z4616)</f>
        <v>0</v>
      </c>
      <c r="P4616" s="239"/>
      <c r="Q4616" s="239"/>
      <c r="R4616" s="239"/>
      <c r="S4616" s="239"/>
      <c r="T4616" s="239"/>
      <c r="U4616" s="240"/>
      <c r="V4616" s="240"/>
      <c r="W4616" s="240"/>
      <c r="X4616" s="278"/>
      <c r="Y4616" s="237"/>
      <c r="Z4616" s="237"/>
      <c r="AA4616" s="279"/>
      <c r="AB4616" s="238"/>
      <c r="AC4616" s="196">
        <f t="shared" si="1697"/>
        <v>0</v>
      </c>
      <c r="AD4616" s="196">
        <f t="shared" si="1698"/>
        <v>0</v>
      </c>
      <c r="AE4616" s="196">
        <f t="shared" si="1699"/>
        <v>0</v>
      </c>
      <c r="AF4616" s="2">
        <f t="shared" si="1700"/>
        <v>0</v>
      </c>
      <c r="AG4616" s="2">
        <f t="shared" si="1701"/>
        <v>0</v>
      </c>
    </row>
    <row r="4617" spans="1:33">
      <c r="A4617" s="20" t="s">
        <v>24833</v>
      </c>
      <c r="B4617" s="150"/>
      <c r="C4617" s="21" t="s">
        <v>19858</v>
      </c>
      <c r="D4617" s="109" t="s">
        <v>3133</v>
      </c>
      <c r="E4617" s="109" t="s">
        <v>23618</v>
      </c>
      <c r="F4617" s="391" t="s">
        <v>19868</v>
      </c>
      <c r="G4617" s="23" t="s">
        <v>21185</v>
      </c>
      <c r="H4617" s="23"/>
      <c r="I4617" s="23"/>
      <c r="J4617" s="23"/>
      <c r="K4617" s="23"/>
      <c r="L4617" s="375" t="s">
        <v>7787</v>
      </c>
      <c r="M4617" s="351" t="s">
        <v>7787</v>
      </c>
      <c r="N4617" s="267">
        <f t="shared" si="1709"/>
        <v>0</v>
      </c>
      <c r="O4617" s="268">
        <f t="shared" si="1710"/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97"/>
        <v>0</v>
      </c>
      <c r="AD4617" s="196">
        <f t="shared" si="1698"/>
        <v>0</v>
      </c>
      <c r="AE4617" s="196">
        <f t="shared" si="1699"/>
        <v>0</v>
      </c>
      <c r="AF4617" s="2">
        <f t="shared" si="1700"/>
        <v>0</v>
      </c>
      <c r="AG4617" s="2">
        <f t="shared" si="1701"/>
        <v>0</v>
      </c>
    </row>
    <row r="4618" spans="1:33">
      <c r="A4618" s="20" t="s">
        <v>20195</v>
      </c>
      <c r="B4618" s="150"/>
      <c r="C4618" s="21" t="s">
        <v>20102</v>
      </c>
      <c r="D4618" s="109" t="s">
        <v>3137</v>
      </c>
      <c r="E4618" s="109"/>
      <c r="F4618" s="391" t="s">
        <v>20134</v>
      </c>
      <c r="G4618" s="23" t="s">
        <v>20103</v>
      </c>
      <c r="H4618" s="23"/>
      <c r="I4618" s="23"/>
      <c r="J4618" s="23"/>
      <c r="K4618" s="23"/>
      <c r="L4618" s="375"/>
      <c r="M4618" s="351"/>
      <c r="N4618" s="267">
        <f t="shared" si="1702"/>
        <v>0</v>
      </c>
      <c r="O4618" s="268">
        <f t="shared" si="1703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97"/>
        <v>0</v>
      </c>
      <c r="AD4618" s="196">
        <f t="shared" si="1698"/>
        <v>0</v>
      </c>
      <c r="AE4618" s="196">
        <f t="shared" si="1699"/>
        <v>0</v>
      </c>
      <c r="AF4618" s="2">
        <f t="shared" si="1700"/>
        <v>0</v>
      </c>
      <c r="AG4618" s="2">
        <f t="shared" si="1701"/>
        <v>0</v>
      </c>
    </row>
    <row r="4619" spans="1:33">
      <c r="A4619" s="20" t="s">
        <v>21784</v>
      </c>
      <c r="B4619" s="150"/>
      <c r="C4619" s="21" t="s">
        <v>20102</v>
      </c>
      <c r="D4619" s="109" t="s">
        <v>21828</v>
      </c>
      <c r="E4619" s="109" t="s">
        <v>25503</v>
      </c>
      <c r="F4619" s="391" t="s">
        <v>20134</v>
      </c>
      <c r="G4619" s="23" t="s">
        <v>13531</v>
      </c>
      <c r="H4619" s="23" t="s">
        <v>19108</v>
      </c>
      <c r="I4619" s="23" t="s">
        <v>22982</v>
      </c>
      <c r="J4619" s="23" t="s">
        <v>27038</v>
      </c>
      <c r="K4619" s="23"/>
      <c r="L4619" s="375" t="s">
        <v>45</v>
      </c>
      <c r="M4619" s="351" t="s">
        <v>45</v>
      </c>
      <c r="N4619" s="267">
        <f t="shared" si="1702"/>
        <v>0</v>
      </c>
      <c r="O4619" s="268">
        <f t="shared" si="1703"/>
        <v>1560</v>
      </c>
      <c r="P4619" s="239"/>
      <c r="Q4619" s="239"/>
      <c r="R4619" s="239">
        <f>2400-990-30-90+570-510-1290+1080-960+840-510+1440-510+1680-1050-300-210</f>
        <v>1560</v>
      </c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 t="s">
        <v>25549</v>
      </c>
      <c r="AC4619" s="196">
        <f t="shared" si="1697"/>
        <v>1560</v>
      </c>
      <c r="AD4619" s="196">
        <f t="shared" si="1698"/>
        <v>1560</v>
      </c>
      <c r="AE4619" s="196">
        <f t="shared" si="1699"/>
        <v>0</v>
      </c>
      <c r="AF4619" s="2">
        <f t="shared" si="1700"/>
        <v>1560</v>
      </c>
      <c r="AG4619" s="2">
        <f t="shared" si="1701"/>
        <v>0</v>
      </c>
    </row>
    <row r="4620" spans="1:33">
      <c r="A4620" s="20" t="s">
        <v>23641</v>
      </c>
      <c r="B4620" s="150"/>
      <c r="C4620" s="21" t="s">
        <v>20102</v>
      </c>
      <c r="D4620" s="109" t="s">
        <v>3133</v>
      </c>
      <c r="E4620" s="109" t="s">
        <v>23617</v>
      </c>
      <c r="F4620" s="391" t="s">
        <v>20134</v>
      </c>
      <c r="G4620" s="23" t="s">
        <v>21185</v>
      </c>
      <c r="H4620" s="23"/>
      <c r="I4620" s="23"/>
      <c r="J4620" s="23"/>
      <c r="K4620" s="23"/>
      <c r="L4620" s="375" t="s">
        <v>7787</v>
      </c>
      <c r="M4620" s="351"/>
      <c r="N4620" s="267">
        <f t="shared" si="1702"/>
        <v>0</v>
      </c>
      <c r="O4620" s="268">
        <f t="shared" si="1703"/>
        <v>0</v>
      </c>
      <c r="P4620" s="239"/>
      <c r="Q4620" s="239"/>
      <c r="R4620" s="239"/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/>
      <c r="AC4620" s="196">
        <f t="shared" si="1697"/>
        <v>0</v>
      </c>
      <c r="AD4620" s="196">
        <f t="shared" si="1698"/>
        <v>0</v>
      </c>
      <c r="AE4620" s="196">
        <f t="shared" si="1699"/>
        <v>0</v>
      </c>
      <c r="AF4620" s="2">
        <f t="shared" si="1700"/>
        <v>0</v>
      </c>
      <c r="AG4620" s="2">
        <f t="shared" si="1701"/>
        <v>0</v>
      </c>
    </row>
    <row r="4621" spans="1:33">
      <c r="A4621" s="20" t="s">
        <v>23672</v>
      </c>
      <c r="B4621" s="150"/>
      <c r="C4621" s="21" t="s">
        <v>20102</v>
      </c>
      <c r="D4621" s="109" t="s">
        <v>3133</v>
      </c>
      <c r="E4621" s="109" t="s">
        <v>23618</v>
      </c>
      <c r="F4621" s="391" t="s">
        <v>20134</v>
      </c>
      <c r="G4621" s="23" t="s">
        <v>21185</v>
      </c>
      <c r="H4621" s="23"/>
      <c r="I4621" s="23"/>
      <c r="J4621" s="23"/>
      <c r="K4621" s="23"/>
      <c r="L4621" s="375" t="s">
        <v>7787</v>
      </c>
      <c r="M4621" s="351"/>
      <c r="N4621" s="267">
        <f t="shared" si="1702"/>
        <v>0</v>
      </c>
      <c r="O4621" s="268">
        <f t="shared" si="1703"/>
        <v>0</v>
      </c>
      <c r="P4621" s="239"/>
      <c r="Q4621" s="239"/>
      <c r="R4621" s="239"/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/>
      <c r="AC4621" s="196">
        <f t="shared" si="1697"/>
        <v>0</v>
      </c>
      <c r="AD4621" s="196">
        <f t="shared" si="1698"/>
        <v>0</v>
      </c>
      <c r="AE4621" s="196">
        <f t="shared" si="1699"/>
        <v>0</v>
      </c>
      <c r="AF4621" s="2">
        <f t="shared" si="1700"/>
        <v>0</v>
      </c>
      <c r="AG4621" s="2">
        <f t="shared" si="1701"/>
        <v>0</v>
      </c>
    </row>
    <row r="4622" spans="1:33">
      <c r="A4622" s="20" t="s">
        <v>20487</v>
      </c>
      <c r="B4622" s="150"/>
      <c r="C4622" s="21" t="s">
        <v>20301</v>
      </c>
      <c r="D4622" s="109" t="s">
        <v>3137</v>
      </c>
      <c r="E4622" s="109" t="s">
        <v>3128</v>
      </c>
      <c r="F4622" s="391" t="s">
        <v>20313</v>
      </c>
      <c r="G4622" s="23" t="s">
        <v>21185</v>
      </c>
      <c r="H4622" s="23"/>
      <c r="I4622" s="23"/>
      <c r="J4622" s="23"/>
      <c r="K4622" s="23"/>
      <c r="L4622" s="375"/>
      <c r="M4622" s="351"/>
      <c r="N4622" s="267">
        <f t="shared" si="1702"/>
        <v>0</v>
      </c>
      <c r="O4622" s="268">
        <f t="shared" si="1703"/>
        <v>0</v>
      </c>
      <c r="P4622" s="239"/>
      <c r="Q4622" s="239"/>
      <c r="R4622" s="239"/>
      <c r="S4622" s="239"/>
      <c r="T4622" s="239"/>
      <c r="U4622" s="240"/>
      <c r="V4622" s="240"/>
      <c r="W4622" s="240"/>
      <c r="X4622" s="278"/>
      <c r="Y4622" s="237"/>
      <c r="Z4622" s="237"/>
      <c r="AA4622" s="279"/>
      <c r="AB4622" s="238"/>
      <c r="AC4622" s="196">
        <f t="shared" si="1697"/>
        <v>0</v>
      </c>
      <c r="AD4622" s="196">
        <f t="shared" si="1698"/>
        <v>0</v>
      </c>
      <c r="AE4622" s="196">
        <f t="shared" si="1699"/>
        <v>0</v>
      </c>
      <c r="AF4622" s="2">
        <f t="shared" si="1700"/>
        <v>0</v>
      </c>
      <c r="AG4622" s="2">
        <f t="shared" si="1701"/>
        <v>0</v>
      </c>
    </row>
    <row r="4623" spans="1:33">
      <c r="A4623" s="20" t="s">
        <v>23673</v>
      </c>
      <c r="B4623" s="150"/>
      <c r="C4623" s="21" t="s">
        <v>20301</v>
      </c>
      <c r="D4623" s="109" t="s">
        <v>3133</v>
      </c>
      <c r="E4623" s="109" t="s">
        <v>23617</v>
      </c>
      <c r="F4623" s="391" t="s">
        <v>20313</v>
      </c>
      <c r="G4623" s="23" t="s">
        <v>21185</v>
      </c>
      <c r="H4623" s="23"/>
      <c r="I4623" s="23"/>
      <c r="J4623" s="23"/>
      <c r="K4623" s="23"/>
      <c r="L4623" s="375" t="s">
        <v>7787</v>
      </c>
      <c r="M4623" s="351"/>
      <c r="N4623" s="267">
        <f t="shared" si="1702"/>
        <v>0</v>
      </c>
      <c r="O4623" s="268">
        <f t="shared" si="1703"/>
        <v>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/>
      <c r="Z4623" s="237"/>
      <c r="AA4623" s="279"/>
      <c r="AB4623" s="238"/>
      <c r="AC4623" s="196">
        <f t="shared" si="1697"/>
        <v>0</v>
      </c>
      <c r="AD4623" s="196">
        <f t="shared" si="1698"/>
        <v>0</v>
      </c>
      <c r="AE4623" s="196">
        <f t="shared" si="1699"/>
        <v>0</v>
      </c>
      <c r="AF4623" s="2">
        <f t="shared" si="1700"/>
        <v>0</v>
      </c>
      <c r="AG4623" s="2">
        <f t="shared" si="1701"/>
        <v>0</v>
      </c>
    </row>
    <row r="4624" spans="1:33">
      <c r="A4624" s="20" t="s">
        <v>23674</v>
      </c>
      <c r="B4624" s="150"/>
      <c r="C4624" s="21" t="s">
        <v>20301</v>
      </c>
      <c r="D4624" s="109" t="s">
        <v>3133</v>
      </c>
      <c r="E4624" s="109" t="s">
        <v>23618</v>
      </c>
      <c r="F4624" s="391" t="s">
        <v>20313</v>
      </c>
      <c r="G4624" s="23" t="s">
        <v>21185</v>
      </c>
      <c r="H4624" s="23"/>
      <c r="I4624" s="23"/>
      <c r="J4624" s="23"/>
      <c r="K4624" s="23"/>
      <c r="L4624" s="375" t="s">
        <v>7787</v>
      </c>
      <c r="M4624" s="351"/>
      <c r="N4624" s="267">
        <f t="shared" si="1702"/>
        <v>0</v>
      </c>
      <c r="O4624" s="268">
        <f t="shared" si="1703"/>
        <v>0</v>
      </c>
      <c r="P4624" s="239"/>
      <c r="Q4624" s="239"/>
      <c r="R4624" s="239"/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/>
      <c r="AC4624" s="196">
        <f t="shared" si="1697"/>
        <v>0</v>
      </c>
      <c r="AD4624" s="196">
        <f t="shared" si="1698"/>
        <v>0</v>
      </c>
      <c r="AE4624" s="196">
        <f t="shared" si="1699"/>
        <v>0</v>
      </c>
      <c r="AF4624" s="2">
        <f t="shared" si="1700"/>
        <v>0</v>
      </c>
      <c r="AG4624" s="2">
        <f t="shared" si="1701"/>
        <v>0</v>
      </c>
    </row>
    <row r="4625" spans="1:33">
      <c r="A4625" s="20" t="s">
        <v>20490</v>
      </c>
      <c r="B4625" s="150"/>
      <c r="C4625" s="21" t="s">
        <v>20341</v>
      </c>
      <c r="D4625" s="109" t="s">
        <v>20342</v>
      </c>
      <c r="E4625" s="109"/>
      <c r="F4625" s="391" t="s">
        <v>20343</v>
      </c>
      <c r="G4625" s="23"/>
      <c r="H4625" s="23"/>
      <c r="I4625" s="23"/>
      <c r="J4625" s="23"/>
      <c r="K4625" s="23"/>
      <c r="L4625" s="375" t="s">
        <v>7787</v>
      </c>
      <c r="M4625" s="351" t="s">
        <v>7787</v>
      </c>
      <c r="N4625" s="267">
        <f t="shared" si="1702"/>
        <v>0</v>
      </c>
      <c r="O4625" s="268">
        <f t="shared" si="1703"/>
        <v>0</v>
      </c>
      <c r="P4625" s="239"/>
      <c r="Q4625" s="239"/>
      <c r="R4625" s="239"/>
      <c r="S4625" s="239"/>
      <c r="T4625" s="239"/>
      <c r="U4625" s="240"/>
      <c r="V4625" s="240"/>
      <c r="W4625" s="240"/>
      <c r="X4625" s="278"/>
      <c r="Y4625" s="237"/>
      <c r="Z4625" s="237"/>
      <c r="AA4625" s="279"/>
      <c r="AB4625" s="238"/>
      <c r="AC4625" s="196">
        <f t="shared" si="1697"/>
        <v>0</v>
      </c>
      <c r="AD4625" s="196">
        <f t="shared" si="1698"/>
        <v>0</v>
      </c>
      <c r="AE4625" s="196">
        <f t="shared" si="1699"/>
        <v>0</v>
      </c>
      <c r="AF4625" s="2">
        <f t="shared" si="1700"/>
        <v>0</v>
      </c>
      <c r="AG4625" s="2">
        <f t="shared" si="1701"/>
        <v>0</v>
      </c>
    </row>
    <row r="4626" spans="1:33">
      <c r="A4626" s="20" t="s">
        <v>3029</v>
      </c>
      <c r="B4626" s="150"/>
      <c r="C4626" s="21" t="s">
        <v>877</v>
      </c>
      <c r="D4626" s="109" t="s">
        <v>15161</v>
      </c>
      <c r="E4626" s="109"/>
      <c r="F4626" s="391" t="s">
        <v>16990</v>
      </c>
      <c r="G4626" s="23"/>
      <c r="H4626" s="23"/>
      <c r="I4626" s="23"/>
      <c r="J4626" s="23"/>
      <c r="K4626" s="23"/>
      <c r="L4626" s="350"/>
      <c r="M4626" s="351"/>
      <c r="N4626" s="267">
        <f t="shared" si="1702"/>
        <v>0</v>
      </c>
      <c r="O4626" s="268">
        <f t="shared" si="1703"/>
        <v>0</v>
      </c>
      <c r="P4626" s="239"/>
      <c r="Q4626" s="239"/>
      <c r="R4626" s="239"/>
      <c r="S4626" s="239"/>
      <c r="T4626" s="239"/>
      <c r="U4626" s="240"/>
      <c r="V4626" s="240"/>
      <c r="W4626" s="240"/>
      <c r="X4626" s="278"/>
      <c r="Y4626" s="237"/>
      <c r="Z4626" s="237"/>
      <c r="AA4626" s="279"/>
      <c r="AB4626" s="238"/>
      <c r="AC4626" s="196">
        <f t="shared" si="1697"/>
        <v>0</v>
      </c>
      <c r="AD4626" s="196">
        <f t="shared" si="1698"/>
        <v>0</v>
      </c>
      <c r="AE4626" s="196">
        <f t="shared" si="1699"/>
        <v>0</v>
      </c>
      <c r="AF4626" s="2">
        <f t="shared" si="1700"/>
        <v>0</v>
      </c>
      <c r="AG4626" s="2">
        <f t="shared" si="1701"/>
        <v>0</v>
      </c>
    </row>
    <row r="4627" spans="1:33">
      <c r="A4627" s="20" t="s">
        <v>20488</v>
      </c>
      <c r="B4627" s="150"/>
      <c r="C4627" s="21" t="s">
        <v>20400</v>
      </c>
      <c r="D4627" s="109" t="s">
        <v>9855</v>
      </c>
      <c r="E4627" s="109"/>
      <c r="F4627" s="391" t="s">
        <v>20412</v>
      </c>
      <c r="G4627" s="23" t="s">
        <v>20401</v>
      </c>
      <c r="H4627" s="23"/>
      <c r="I4627" s="23"/>
      <c r="J4627" s="23"/>
      <c r="K4627" s="23"/>
      <c r="L4627" s="375" t="s">
        <v>7787</v>
      </c>
      <c r="M4627" s="351"/>
      <c r="N4627" s="267">
        <f t="shared" si="1702"/>
        <v>0</v>
      </c>
      <c r="O4627" s="268">
        <f t="shared" si="1703"/>
        <v>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/>
      <c r="Z4627" s="237"/>
      <c r="AA4627" s="279"/>
      <c r="AB4627" s="238"/>
      <c r="AC4627" s="196">
        <f t="shared" si="1697"/>
        <v>0</v>
      </c>
      <c r="AD4627" s="196">
        <f t="shared" si="1698"/>
        <v>0</v>
      </c>
      <c r="AE4627" s="196">
        <f t="shared" si="1699"/>
        <v>0</v>
      </c>
      <c r="AF4627" s="2">
        <f t="shared" si="1700"/>
        <v>0</v>
      </c>
      <c r="AG4627" s="2">
        <f t="shared" si="1701"/>
        <v>0</v>
      </c>
    </row>
    <row r="4628" spans="1:33">
      <c r="A4628" s="20" t="s">
        <v>20489</v>
      </c>
      <c r="B4628" s="150"/>
      <c r="C4628" s="21" t="s">
        <v>20398</v>
      </c>
      <c r="D4628" s="109" t="s">
        <v>20399</v>
      </c>
      <c r="E4628" s="109"/>
      <c r="F4628" s="391" t="s">
        <v>20407</v>
      </c>
      <c r="G4628" s="23" t="s">
        <v>20039</v>
      </c>
      <c r="H4628" s="23"/>
      <c r="I4628" s="23"/>
      <c r="J4628" s="23"/>
      <c r="K4628" s="23"/>
      <c r="L4628" s="375" t="s">
        <v>7787</v>
      </c>
      <c r="M4628" s="351"/>
      <c r="N4628" s="267">
        <f t="shared" si="1702"/>
        <v>0</v>
      </c>
      <c r="O4628" s="268">
        <f t="shared" si="1703"/>
        <v>0</v>
      </c>
      <c r="P4628" s="239"/>
      <c r="Q4628" s="239"/>
      <c r="R4628" s="239"/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/>
      <c r="AC4628" s="196">
        <f t="shared" si="1697"/>
        <v>0</v>
      </c>
      <c r="AD4628" s="196">
        <f t="shared" si="1698"/>
        <v>0</v>
      </c>
      <c r="AE4628" s="196">
        <f t="shared" si="1699"/>
        <v>0</v>
      </c>
      <c r="AF4628" s="2">
        <f t="shared" si="1700"/>
        <v>0</v>
      </c>
      <c r="AG4628" s="2">
        <f t="shared" si="1701"/>
        <v>0</v>
      </c>
    </row>
    <row r="4629" spans="1:33">
      <c r="A4629" s="20" t="s">
        <v>21555</v>
      </c>
      <c r="B4629" s="150"/>
      <c r="C4629" s="21" t="s">
        <v>20616</v>
      </c>
      <c r="D4629" s="109" t="s">
        <v>9855</v>
      </c>
      <c r="E4629" s="109"/>
      <c r="F4629" s="391" t="s">
        <v>20626</v>
      </c>
      <c r="G4629" s="23" t="s">
        <v>20666</v>
      </c>
      <c r="H4629" s="23" t="s">
        <v>20834</v>
      </c>
      <c r="I4629" s="23" t="s">
        <v>23464</v>
      </c>
      <c r="J4629" s="23" t="s">
        <v>26160</v>
      </c>
      <c r="K4629" s="23"/>
      <c r="L4629" s="375"/>
      <c r="M4629" s="351" t="s">
        <v>45</v>
      </c>
      <c r="N4629" s="267">
        <f t="shared" si="1702"/>
        <v>0</v>
      </c>
      <c r="O4629" s="268">
        <f t="shared" si="1703"/>
        <v>180</v>
      </c>
      <c r="P4629" s="239"/>
      <c r="Q4629" s="239"/>
      <c r="R4629" s="239">
        <f>2250-90-930-420-60+900-750-750-90+900+210-990+990-990+990-990+990-990</f>
        <v>180</v>
      </c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 t="s">
        <v>26897</v>
      </c>
      <c r="AC4629" s="196">
        <f t="shared" si="1697"/>
        <v>180</v>
      </c>
      <c r="AD4629" s="196">
        <f t="shared" si="1698"/>
        <v>180</v>
      </c>
      <c r="AE4629" s="196">
        <f t="shared" si="1699"/>
        <v>0</v>
      </c>
      <c r="AF4629" s="2">
        <f t="shared" si="1700"/>
        <v>180</v>
      </c>
      <c r="AG4629" s="2">
        <f t="shared" si="1701"/>
        <v>0</v>
      </c>
    </row>
    <row r="4630" spans="1:33">
      <c r="A4630" s="20" t="s">
        <v>21553</v>
      </c>
      <c r="B4630" s="150"/>
      <c r="C4630" s="21" t="s">
        <v>26243</v>
      </c>
      <c r="D4630" s="109" t="s">
        <v>24785</v>
      </c>
      <c r="E4630" s="109"/>
      <c r="F4630" s="391" t="s">
        <v>26244</v>
      </c>
      <c r="G4630" s="23" t="s">
        <v>10645</v>
      </c>
      <c r="H4630" s="23" t="s">
        <v>21255</v>
      </c>
      <c r="I4630" s="23"/>
      <c r="J4630" s="23"/>
      <c r="K4630" s="23"/>
      <c r="L4630" s="375" t="s">
        <v>45</v>
      </c>
      <c r="M4630" s="351" t="s">
        <v>7787</v>
      </c>
      <c r="N4630" s="267">
        <f t="shared" ref="N4630:N4631" si="1711">SUM(L4630:M4630)</f>
        <v>0</v>
      </c>
      <c r="O4630" s="268">
        <f t="shared" ref="O4630:O4631" si="1712">SUM(P4630:Z4630)</f>
        <v>1020</v>
      </c>
      <c r="P4630" s="239"/>
      <c r="Q4630" s="239"/>
      <c r="R4630" s="239"/>
      <c r="S4630" s="239"/>
      <c r="T4630" s="239"/>
      <c r="U4630" s="240"/>
      <c r="V4630" s="240"/>
      <c r="W4630" s="240"/>
      <c r="X4630" s="278"/>
      <c r="Y4630" s="237">
        <v>1020</v>
      </c>
      <c r="Z4630" s="237"/>
      <c r="AA4630" s="279"/>
      <c r="AB4630" s="238"/>
      <c r="AC4630" s="196">
        <f t="shared" si="1697"/>
        <v>1020</v>
      </c>
      <c r="AD4630" s="196">
        <f t="shared" si="1698"/>
        <v>1020</v>
      </c>
      <c r="AE4630" s="196">
        <f t="shared" si="1699"/>
        <v>0</v>
      </c>
      <c r="AF4630" s="2">
        <f t="shared" si="1700"/>
        <v>1020</v>
      </c>
      <c r="AG4630" s="2">
        <f t="shared" si="1701"/>
        <v>0</v>
      </c>
    </row>
    <row r="4631" spans="1:33">
      <c r="A4631" s="20" t="s">
        <v>21554</v>
      </c>
      <c r="B4631" s="150"/>
      <c r="C4631" s="21" t="s">
        <v>26245</v>
      </c>
      <c r="D4631" s="109" t="s">
        <v>24785</v>
      </c>
      <c r="E4631" s="109"/>
      <c r="F4631" s="391" t="s">
        <v>26246</v>
      </c>
      <c r="G4631" s="23" t="s">
        <v>21255</v>
      </c>
      <c r="H4631" s="23" t="s">
        <v>26247</v>
      </c>
      <c r="I4631" s="23"/>
      <c r="J4631" s="23"/>
      <c r="K4631" s="23"/>
      <c r="L4631" s="375" t="s">
        <v>7787</v>
      </c>
      <c r="M4631" s="351"/>
      <c r="N4631" s="267">
        <f t="shared" si="1711"/>
        <v>0</v>
      </c>
      <c r="O4631" s="268">
        <f t="shared" si="1712"/>
        <v>0</v>
      </c>
      <c r="P4631" s="239"/>
      <c r="Q4631" s="239"/>
      <c r="R4631" s="239"/>
      <c r="S4631" s="239"/>
      <c r="T4631" s="239"/>
      <c r="U4631" s="240"/>
      <c r="V4631" s="240"/>
      <c r="W4631" s="240"/>
      <c r="X4631" s="278"/>
      <c r="Y4631" s="237"/>
      <c r="Z4631" s="237"/>
      <c r="AA4631" s="279"/>
      <c r="AB4631" s="238"/>
      <c r="AC4631" s="196">
        <f t="shared" si="1697"/>
        <v>0</v>
      </c>
      <c r="AD4631" s="196">
        <f t="shared" si="1698"/>
        <v>0</v>
      </c>
      <c r="AE4631" s="196">
        <f t="shared" si="1699"/>
        <v>0</v>
      </c>
      <c r="AF4631" s="2">
        <f t="shared" si="1700"/>
        <v>0</v>
      </c>
      <c r="AG4631" s="2">
        <f t="shared" si="1701"/>
        <v>0</v>
      </c>
    </row>
    <row r="4632" spans="1:33">
      <c r="A4632" s="20" t="s">
        <v>21556</v>
      </c>
      <c r="B4632" s="150"/>
      <c r="C4632" s="21" t="s">
        <v>21356</v>
      </c>
      <c r="D4632" s="109" t="s">
        <v>9855</v>
      </c>
      <c r="E4632" s="109" t="s">
        <v>3128</v>
      </c>
      <c r="F4632" s="391" t="s">
        <v>21368</v>
      </c>
      <c r="G4632" s="23" t="s">
        <v>21185</v>
      </c>
      <c r="H4632" s="23" t="s">
        <v>21203</v>
      </c>
      <c r="I4632" s="23"/>
      <c r="J4632" s="23"/>
      <c r="K4632" s="23"/>
      <c r="L4632" s="375"/>
      <c r="M4632" s="351" t="s">
        <v>7787</v>
      </c>
      <c r="N4632" s="267">
        <f t="shared" si="1702"/>
        <v>0</v>
      </c>
      <c r="O4632" s="268">
        <f t="shared" si="1703"/>
        <v>0</v>
      </c>
      <c r="P4632" s="239"/>
      <c r="Q4632" s="239"/>
      <c r="R4632" s="239"/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/>
      <c r="AC4632" s="196">
        <f t="shared" si="1697"/>
        <v>0</v>
      </c>
      <c r="AD4632" s="196">
        <f t="shared" si="1698"/>
        <v>0</v>
      </c>
      <c r="AE4632" s="196">
        <f t="shared" si="1699"/>
        <v>0</v>
      </c>
      <c r="AF4632" s="2">
        <f t="shared" si="1700"/>
        <v>0</v>
      </c>
      <c r="AG4632" s="2">
        <f t="shared" si="1701"/>
        <v>0</v>
      </c>
    </row>
    <row r="4633" spans="1:33">
      <c r="A4633" s="20" t="s">
        <v>27111</v>
      </c>
      <c r="B4633" s="150"/>
      <c r="C4633" s="21" t="s">
        <v>21356</v>
      </c>
      <c r="D4633" s="109" t="s">
        <v>9855</v>
      </c>
      <c r="E4633" s="109" t="s">
        <v>26820</v>
      </c>
      <c r="F4633" s="391" t="s">
        <v>21368</v>
      </c>
      <c r="G4633" s="23" t="s">
        <v>26816</v>
      </c>
      <c r="H4633" s="23" t="s">
        <v>21203</v>
      </c>
      <c r="I4633" s="23"/>
      <c r="J4633" s="23"/>
      <c r="K4633" s="23"/>
      <c r="L4633" s="375"/>
      <c r="M4633" s="351"/>
      <c r="N4633" s="267">
        <f t="shared" ref="N4633" si="1713">SUM(L4633:M4633)</f>
        <v>0</v>
      </c>
      <c r="O4633" s="268">
        <f t="shared" ref="O4633" si="1714">SUM(P4633:Z4633)</f>
        <v>630</v>
      </c>
      <c r="P4633" s="239"/>
      <c r="Q4633" s="239"/>
      <c r="R4633" s="239">
        <f>600+540-510</f>
        <v>630</v>
      </c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 t="s">
        <v>26923</v>
      </c>
      <c r="AC4633" s="196">
        <f t="shared" si="1697"/>
        <v>630</v>
      </c>
      <c r="AD4633" s="196">
        <f t="shared" si="1698"/>
        <v>630</v>
      </c>
      <c r="AE4633" s="196">
        <f t="shared" si="1699"/>
        <v>0</v>
      </c>
      <c r="AF4633" s="2">
        <f t="shared" si="1700"/>
        <v>630</v>
      </c>
      <c r="AG4633" s="2">
        <f t="shared" si="1701"/>
        <v>0</v>
      </c>
    </row>
    <row r="4634" spans="1:33">
      <c r="A4634" s="20" t="s">
        <v>21557</v>
      </c>
      <c r="B4634" s="150"/>
      <c r="C4634" s="21" t="s">
        <v>21325</v>
      </c>
      <c r="D4634" s="109" t="s">
        <v>7957</v>
      </c>
      <c r="E4634" s="109" t="s">
        <v>19998</v>
      </c>
      <c r="F4634" s="391" t="s">
        <v>22346</v>
      </c>
      <c r="G4634" s="23" t="s">
        <v>21326</v>
      </c>
      <c r="H4634" s="23"/>
      <c r="I4634" s="23"/>
      <c r="J4634" s="23"/>
      <c r="K4634" s="23"/>
      <c r="L4634" s="375" t="s">
        <v>7787</v>
      </c>
      <c r="M4634" s="351" t="s">
        <v>7787</v>
      </c>
      <c r="N4634" s="267">
        <f t="shared" si="1702"/>
        <v>0</v>
      </c>
      <c r="O4634" s="268">
        <f t="shared" si="1703"/>
        <v>0</v>
      </c>
      <c r="P4634" s="239"/>
      <c r="Q4634" s="239"/>
      <c r="R4634" s="239"/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/>
      <c r="AC4634" s="196">
        <f t="shared" si="1697"/>
        <v>0</v>
      </c>
      <c r="AD4634" s="196">
        <f t="shared" si="1698"/>
        <v>0</v>
      </c>
      <c r="AE4634" s="196">
        <f t="shared" si="1699"/>
        <v>0</v>
      </c>
      <c r="AF4634" s="2">
        <f t="shared" si="1700"/>
        <v>0</v>
      </c>
      <c r="AG4634" s="2">
        <f t="shared" si="1701"/>
        <v>0</v>
      </c>
    </row>
    <row r="4635" spans="1:33">
      <c r="A4635" s="20" t="s">
        <v>22219</v>
      </c>
      <c r="B4635" s="150"/>
      <c r="C4635" s="21" t="s">
        <v>22332</v>
      </c>
      <c r="D4635" s="109" t="s">
        <v>7957</v>
      </c>
      <c r="E4635" s="109" t="s">
        <v>22333</v>
      </c>
      <c r="F4635" s="391" t="s">
        <v>22345</v>
      </c>
      <c r="G4635" s="23" t="s">
        <v>22334</v>
      </c>
      <c r="H4635" s="23"/>
      <c r="I4635" s="23"/>
      <c r="J4635" s="23"/>
      <c r="K4635" s="23"/>
      <c r="L4635" s="375" t="s">
        <v>7787</v>
      </c>
      <c r="M4635" s="351"/>
      <c r="N4635" s="267">
        <f t="shared" si="1702"/>
        <v>0</v>
      </c>
      <c r="O4635" s="268">
        <f t="shared" si="1703"/>
        <v>0</v>
      </c>
      <c r="P4635" s="239"/>
      <c r="Q4635" s="239"/>
      <c r="R4635" s="239"/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/>
      <c r="AC4635" s="196">
        <f t="shared" si="1697"/>
        <v>0</v>
      </c>
      <c r="AD4635" s="196">
        <f t="shared" si="1698"/>
        <v>0</v>
      </c>
      <c r="AE4635" s="196">
        <f t="shared" si="1699"/>
        <v>0</v>
      </c>
      <c r="AF4635" s="2">
        <f t="shared" si="1700"/>
        <v>0</v>
      </c>
      <c r="AG4635" s="2">
        <f t="shared" si="1701"/>
        <v>0</v>
      </c>
    </row>
    <row r="4636" spans="1:33">
      <c r="A4636" s="20" t="s">
        <v>21913</v>
      </c>
      <c r="B4636" s="150"/>
      <c r="C4636" s="21" t="s">
        <v>21900</v>
      </c>
      <c r="D4636" s="109" t="s">
        <v>3096</v>
      </c>
      <c r="E4636" s="109" t="s">
        <v>21930</v>
      </c>
      <c r="F4636" s="391" t="s">
        <v>21932</v>
      </c>
      <c r="G4636" s="23" t="s">
        <v>21901</v>
      </c>
      <c r="H4636" s="23"/>
      <c r="I4636" s="23"/>
      <c r="J4636" s="23"/>
      <c r="K4636" s="23"/>
      <c r="L4636" s="375" t="s">
        <v>7787</v>
      </c>
      <c r="M4636" s="351" t="s">
        <v>7787</v>
      </c>
      <c r="N4636" s="267">
        <f t="shared" si="1702"/>
        <v>0</v>
      </c>
      <c r="O4636" s="268">
        <f t="shared" si="1703"/>
        <v>0</v>
      </c>
      <c r="P4636" s="239"/>
      <c r="Q4636" s="239"/>
      <c r="R4636" s="239"/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/>
      <c r="AC4636" s="196">
        <f t="shared" si="1697"/>
        <v>0</v>
      </c>
      <c r="AD4636" s="196">
        <f t="shared" si="1698"/>
        <v>0</v>
      </c>
      <c r="AE4636" s="196">
        <f t="shared" si="1699"/>
        <v>0</v>
      </c>
      <c r="AF4636" s="2">
        <f t="shared" si="1700"/>
        <v>0</v>
      </c>
      <c r="AG4636" s="2">
        <f t="shared" si="1701"/>
        <v>0</v>
      </c>
    </row>
    <row r="4637" spans="1:33">
      <c r="A4637" s="20" t="s">
        <v>21845</v>
      </c>
      <c r="B4637" s="150"/>
      <c r="C4637" s="21" t="s">
        <v>21889</v>
      </c>
      <c r="D4637" s="109" t="s">
        <v>21890</v>
      </c>
      <c r="E4637" s="109" t="s">
        <v>21935</v>
      </c>
      <c r="F4637" s="391" t="s">
        <v>21934</v>
      </c>
      <c r="G4637" s="23" t="s">
        <v>21891</v>
      </c>
      <c r="H4637" s="23"/>
      <c r="I4637" s="23"/>
      <c r="J4637" s="23"/>
      <c r="K4637" s="23"/>
      <c r="L4637" s="375" t="s">
        <v>45</v>
      </c>
      <c r="M4637" s="351"/>
      <c r="N4637" s="267">
        <f t="shared" si="1702"/>
        <v>0</v>
      </c>
      <c r="O4637" s="268">
        <f t="shared" si="1703"/>
        <v>960</v>
      </c>
      <c r="P4637" s="239"/>
      <c r="Q4637" s="239"/>
      <c r="R4637" s="239">
        <f>420-300+1240-1000+600</f>
        <v>960</v>
      </c>
      <c r="S4637" s="239"/>
      <c r="T4637" s="239"/>
      <c r="U4637" s="240"/>
      <c r="V4637" s="240"/>
      <c r="W4637" s="240"/>
      <c r="X4637" s="278"/>
      <c r="Y4637" s="237"/>
      <c r="Z4637" s="237"/>
      <c r="AA4637" s="279"/>
      <c r="AB4637" s="238" t="s">
        <v>26652</v>
      </c>
      <c r="AC4637" s="196">
        <f t="shared" si="1697"/>
        <v>960</v>
      </c>
      <c r="AD4637" s="196">
        <f t="shared" si="1698"/>
        <v>960</v>
      </c>
      <c r="AE4637" s="196">
        <f t="shared" si="1699"/>
        <v>0</v>
      </c>
      <c r="AF4637" s="2">
        <f t="shared" si="1700"/>
        <v>960</v>
      </c>
      <c r="AG4637" s="2">
        <f t="shared" si="1701"/>
        <v>0</v>
      </c>
    </row>
    <row r="4638" spans="1:33">
      <c r="A4638" s="20" t="s">
        <v>27112</v>
      </c>
      <c r="B4638" s="150"/>
      <c r="C4638" s="21" t="s">
        <v>21889</v>
      </c>
      <c r="D4638" s="109" t="s">
        <v>3096</v>
      </c>
      <c r="E4638" s="109"/>
      <c r="F4638" s="391" t="s">
        <v>21934</v>
      </c>
      <c r="G4638" s="23" t="s">
        <v>26816</v>
      </c>
      <c r="H4638" s="23"/>
      <c r="I4638" s="23"/>
      <c r="J4638" s="23"/>
      <c r="K4638" s="23"/>
      <c r="L4638" s="375" t="s">
        <v>45</v>
      </c>
      <c r="M4638" s="351"/>
      <c r="N4638" s="267">
        <f t="shared" ref="N4638" si="1715">SUM(L4638:M4638)</f>
        <v>0</v>
      </c>
      <c r="O4638" s="268">
        <f t="shared" ref="O4638" si="1716">SUM(P4638:Z4638)</f>
        <v>40</v>
      </c>
      <c r="P4638" s="239"/>
      <c r="Q4638" s="239"/>
      <c r="R4638" s="239">
        <f>540-500</f>
        <v>40</v>
      </c>
      <c r="S4638" s="239"/>
      <c r="T4638" s="239"/>
      <c r="U4638" s="240"/>
      <c r="V4638" s="240"/>
      <c r="W4638" s="240"/>
      <c r="X4638" s="278"/>
      <c r="Y4638" s="237"/>
      <c r="Z4638" s="237"/>
      <c r="AA4638" s="279"/>
      <c r="AB4638" s="238" t="s">
        <v>27198</v>
      </c>
      <c r="AC4638" s="196">
        <f t="shared" ref="AC4638:AC4701" si="1717">SUM(P4638:AA4638)</f>
        <v>40</v>
      </c>
      <c r="AD4638" s="196">
        <f t="shared" ref="AD4638:AD4701" si="1718">SUM(P4638:AB4638)</f>
        <v>40</v>
      </c>
      <c r="AE4638" s="196">
        <f t="shared" ref="AE4638:AE4701" si="1719">SUM(AC4638-AD4638)</f>
        <v>0</v>
      </c>
      <c r="AF4638" s="2">
        <f t="shared" ref="AF4638:AF4701" si="1720">+AC4638</f>
        <v>40</v>
      </c>
      <c r="AG4638" s="2">
        <f t="shared" ref="AG4638:AG4701" si="1721">+AC4638-AF4638</f>
        <v>0</v>
      </c>
    </row>
    <row r="4639" spans="1:33">
      <c r="A4639" s="20" t="s">
        <v>22199</v>
      </c>
      <c r="B4639" s="150"/>
      <c r="C4639" s="21" t="s">
        <v>22242</v>
      </c>
      <c r="D4639" s="109" t="s">
        <v>9855</v>
      </c>
      <c r="E4639" s="109"/>
      <c r="F4639" s="391" t="s">
        <v>22246</v>
      </c>
      <c r="G4639" s="23" t="s">
        <v>22243</v>
      </c>
      <c r="H4639" s="23"/>
      <c r="I4639" s="23"/>
      <c r="J4639" s="23"/>
      <c r="K4639" s="23"/>
      <c r="L4639" s="375" t="s">
        <v>45</v>
      </c>
      <c r="M4639" s="351" t="s">
        <v>7787</v>
      </c>
      <c r="N4639" s="267">
        <f t="shared" si="1702"/>
        <v>0</v>
      </c>
      <c r="O4639" s="268">
        <f t="shared" si="1703"/>
        <v>60</v>
      </c>
      <c r="P4639" s="239"/>
      <c r="Q4639" s="239"/>
      <c r="R4639" s="239">
        <f>450-390</f>
        <v>60</v>
      </c>
      <c r="S4639" s="239"/>
      <c r="T4639" s="239"/>
      <c r="U4639" s="240"/>
      <c r="V4639" s="240"/>
      <c r="W4639" s="240"/>
      <c r="X4639" s="278"/>
      <c r="Y4639" s="237"/>
      <c r="Z4639" s="237"/>
      <c r="AA4639" s="279"/>
      <c r="AB4639" s="238" t="s">
        <v>25279</v>
      </c>
      <c r="AC4639" s="196">
        <f t="shared" si="1717"/>
        <v>60</v>
      </c>
      <c r="AD4639" s="196">
        <f t="shared" si="1718"/>
        <v>60</v>
      </c>
      <c r="AE4639" s="196">
        <f t="shared" si="1719"/>
        <v>0</v>
      </c>
      <c r="AF4639" s="2">
        <f t="shared" si="1720"/>
        <v>60</v>
      </c>
      <c r="AG4639" s="2">
        <f t="shared" si="1721"/>
        <v>0</v>
      </c>
    </row>
    <row r="4640" spans="1:33">
      <c r="A4640" s="20" t="s">
        <v>22350</v>
      </c>
      <c r="B4640" s="150"/>
      <c r="C4640" s="21" t="s">
        <v>22394</v>
      </c>
      <c r="D4640" s="109" t="s">
        <v>9855</v>
      </c>
      <c r="E4640" s="109"/>
      <c r="F4640" s="391" t="s">
        <v>22435</v>
      </c>
      <c r="G4640" s="23" t="s">
        <v>22395</v>
      </c>
      <c r="H4640" s="23"/>
      <c r="I4640" s="23"/>
      <c r="J4640" s="23"/>
      <c r="K4640" s="23"/>
      <c r="L4640" s="375"/>
      <c r="M4640" s="351"/>
      <c r="N4640" s="267">
        <f t="shared" si="1702"/>
        <v>0</v>
      </c>
      <c r="O4640" s="268">
        <f t="shared" si="1703"/>
        <v>0</v>
      </c>
      <c r="P4640" s="239"/>
      <c r="Q4640" s="239"/>
      <c r="R4640" s="239"/>
      <c r="S4640" s="239"/>
      <c r="T4640" s="239"/>
      <c r="U4640" s="240"/>
      <c r="V4640" s="240"/>
      <c r="W4640" s="240"/>
      <c r="X4640" s="278"/>
      <c r="Y4640" s="237"/>
      <c r="Z4640" s="237"/>
      <c r="AA4640" s="279"/>
      <c r="AB4640" s="238"/>
      <c r="AC4640" s="196">
        <f t="shared" si="1717"/>
        <v>0</v>
      </c>
      <c r="AD4640" s="196">
        <f t="shared" si="1718"/>
        <v>0</v>
      </c>
      <c r="AE4640" s="196">
        <f t="shared" si="1719"/>
        <v>0</v>
      </c>
      <c r="AF4640" s="2">
        <f t="shared" si="1720"/>
        <v>0</v>
      </c>
      <c r="AG4640" s="2">
        <f t="shared" si="1721"/>
        <v>0</v>
      </c>
    </row>
    <row r="4641" spans="1:33">
      <c r="A4641" s="20" t="s">
        <v>5454</v>
      </c>
      <c r="B4641" s="150"/>
      <c r="C4641" s="21" t="s">
        <v>878</v>
      </c>
      <c r="D4641" s="109" t="s">
        <v>16851</v>
      </c>
      <c r="E4641" s="109"/>
      <c r="F4641" s="391" t="s">
        <v>16991</v>
      </c>
      <c r="G4641" s="23"/>
      <c r="H4641" s="23"/>
      <c r="I4641" s="23"/>
      <c r="J4641" s="23"/>
      <c r="K4641" s="23"/>
      <c r="L4641" s="350"/>
      <c r="M4641" s="351"/>
      <c r="N4641" s="267">
        <f t="shared" si="1702"/>
        <v>0</v>
      </c>
      <c r="O4641" s="268">
        <f t="shared" si="1703"/>
        <v>0</v>
      </c>
      <c r="P4641" s="239"/>
      <c r="Q4641" s="239"/>
      <c r="R4641" s="239"/>
      <c r="S4641" s="239"/>
      <c r="T4641" s="239"/>
      <c r="U4641" s="240"/>
      <c r="V4641" s="240"/>
      <c r="W4641" s="240"/>
      <c r="X4641" s="278"/>
      <c r="Y4641" s="237"/>
      <c r="Z4641" s="237"/>
      <c r="AA4641" s="279"/>
      <c r="AB4641" s="238"/>
      <c r="AC4641" s="196">
        <f t="shared" si="1717"/>
        <v>0</v>
      </c>
      <c r="AD4641" s="196">
        <f t="shared" si="1718"/>
        <v>0</v>
      </c>
      <c r="AE4641" s="196">
        <f t="shared" si="1719"/>
        <v>0</v>
      </c>
      <c r="AF4641" s="2">
        <f t="shared" si="1720"/>
        <v>0</v>
      </c>
      <c r="AG4641" s="2">
        <f t="shared" si="1721"/>
        <v>0</v>
      </c>
    </row>
    <row r="4642" spans="1:33">
      <c r="A4642" s="20" t="s">
        <v>3030</v>
      </c>
      <c r="B4642" s="150"/>
      <c r="C4642" s="21" t="s">
        <v>878</v>
      </c>
      <c r="D4642" s="109" t="s">
        <v>15161</v>
      </c>
      <c r="E4642" s="109"/>
      <c r="F4642" s="391" t="s">
        <v>16991</v>
      </c>
      <c r="G4642" s="23"/>
      <c r="H4642" s="23"/>
      <c r="I4642" s="23"/>
      <c r="J4642" s="23"/>
      <c r="K4642" s="23"/>
      <c r="L4642" s="350"/>
      <c r="M4642" s="351"/>
      <c r="N4642" s="267">
        <f t="shared" si="1702"/>
        <v>0</v>
      </c>
      <c r="O4642" s="268">
        <f t="shared" si="1703"/>
        <v>0</v>
      </c>
      <c r="P4642" s="239"/>
      <c r="Q4642" s="239"/>
      <c r="R4642" s="239"/>
      <c r="S4642" s="239"/>
      <c r="T4642" s="239"/>
      <c r="U4642" s="240"/>
      <c r="V4642" s="240"/>
      <c r="W4642" s="240"/>
      <c r="X4642" s="278"/>
      <c r="Y4642" s="237"/>
      <c r="Z4642" s="237"/>
      <c r="AA4642" s="279"/>
      <c r="AB4642" s="238"/>
      <c r="AC4642" s="196">
        <f t="shared" si="1717"/>
        <v>0</v>
      </c>
      <c r="AD4642" s="196">
        <f t="shared" si="1718"/>
        <v>0</v>
      </c>
      <c r="AE4642" s="196">
        <f t="shared" si="1719"/>
        <v>0</v>
      </c>
      <c r="AF4642" s="2">
        <f t="shared" si="1720"/>
        <v>0</v>
      </c>
      <c r="AG4642" s="2">
        <f t="shared" si="1721"/>
        <v>0</v>
      </c>
    </row>
    <row r="4643" spans="1:33">
      <c r="A4643" s="20" t="s">
        <v>22351</v>
      </c>
      <c r="B4643" s="150"/>
      <c r="C4643" s="21" t="s">
        <v>22404</v>
      </c>
      <c r="D4643" s="109" t="s">
        <v>3096</v>
      </c>
      <c r="E4643" s="109"/>
      <c r="F4643" s="391" t="s">
        <v>22434</v>
      </c>
      <c r="G4643" s="23" t="s">
        <v>22405</v>
      </c>
      <c r="H4643" s="23"/>
      <c r="I4643" s="23"/>
      <c r="J4643" s="23"/>
      <c r="K4643" s="23"/>
      <c r="L4643" s="375" t="s">
        <v>7787</v>
      </c>
      <c r="M4643" s="351"/>
      <c r="N4643" s="267">
        <f t="shared" si="1702"/>
        <v>0</v>
      </c>
      <c r="O4643" s="268">
        <f t="shared" si="1703"/>
        <v>120</v>
      </c>
      <c r="P4643" s="239"/>
      <c r="Q4643" s="239"/>
      <c r="R4643" s="239">
        <f>1140-700-300-20</f>
        <v>120</v>
      </c>
      <c r="S4643" s="239"/>
      <c r="T4643" s="239"/>
      <c r="U4643" s="240"/>
      <c r="V4643" s="240"/>
      <c r="W4643" s="240"/>
      <c r="X4643" s="278"/>
      <c r="Y4643" s="237"/>
      <c r="Z4643" s="237"/>
      <c r="AA4643" s="279"/>
      <c r="AB4643" s="238" t="s">
        <v>22406</v>
      </c>
      <c r="AC4643" s="196">
        <f t="shared" si="1717"/>
        <v>120</v>
      </c>
      <c r="AD4643" s="196">
        <f t="shared" si="1718"/>
        <v>120</v>
      </c>
      <c r="AE4643" s="196">
        <f t="shared" si="1719"/>
        <v>0</v>
      </c>
      <c r="AF4643" s="2">
        <f t="shared" si="1720"/>
        <v>120</v>
      </c>
      <c r="AG4643" s="2">
        <f t="shared" si="1721"/>
        <v>0</v>
      </c>
    </row>
    <row r="4644" spans="1:33">
      <c r="A4644" s="20" t="s">
        <v>22367</v>
      </c>
      <c r="B4644" s="150"/>
      <c r="C4644" s="21" t="s">
        <v>22443</v>
      </c>
      <c r="D4644" s="109" t="s">
        <v>3137</v>
      </c>
      <c r="E4644" s="109"/>
      <c r="F4644" s="391" t="s">
        <v>22658</v>
      </c>
      <c r="G4644" s="23" t="s">
        <v>13731</v>
      </c>
      <c r="H4644" s="23"/>
      <c r="I4644" s="23"/>
      <c r="J4644" s="23"/>
      <c r="K4644" s="23"/>
      <c r="L4644" s="375" t="s">
        <v>7787</v>
      </c>
      <c r="M4644" s="351" t="s">
        <v>7787</v>
      </c>
      <c r="N4644" s="267">
        <f t="shared" si="1702"/>
        <v>0</v>
      </c>
      <c r="O4644" s="268">
        <f t="shared" si="1703"/>
        <v>0</v>
      </c>
      <c r="P4644" s="239"/>
      <c r="Q4644" s="239"/>
      <c r="R4644" s="239"/>
      <c r="S4644" s="239"/>
      <c r="T4644" s="239"/>
      <c r="U4644" s="240"/>
      <c r="V4644" s="240"/>
      <c r="W4644" s="240"/>
      <c r="X4644" s="278"/>
      <c r="Y4644" s="237"/>
      <c r="Z4644" s="237"/>
      <c r="AA4644" s="279"/>
      <c r="AB4644" s="238"/>
      <c r="AC4644" s="196">
        <f t="shared" si="1717"/>
        <v>0</v>
      </c>
      <c r="AD4644" s="196">
        <f t="shared" si="1718"/>
        <v>0</v>
      </c>
      <c r="AE4644" s="196">
        <f t="shared" si="1719"/>
        <v>0</v>
      </c>
      <c r="AF4644" s="2">
        <f t="shared" si="1720"/>
        <v>0</v>
      </c>
      <c r="AG4644" s="2">
        <f t="shared" si="1721"/>
        <v>0</v>
      </c>
    </row>
    <row r="4645" spans="1:33">
      <c r="A4645" s="20" t="s">
        <v>22467</v>
      </c>
      <c r="B4645" s="150"/>
      <c r="C4645" s="21" t="s">
        <v>22486</v>
      </c>
      <c r="D4645" s="109" t="s">
        <v>22484</v>
      </c>
      <c r="E4645" s="109" t="s">
        <v>22559</v>
      </c>
      <c r="F4645" s="391" t="s">
        <v>22558</v>
      </c>
      <c r="G4645" s="23" t="s">
        <v>22485</v>
      </c>
      <c r="H4645" s="23"/>
      <c r="I4645" s="23"/>
      <c r="J4645" s="23"/>
      <c r="K4645" s="23"/>
      <c r="L4645" s="375" t="s">
        <v>27904</v>
      </c>
      <c r="M4645" s="351"/>
      <c r="N4645" s="267">
        <f t="shared" si="1702"/>
        <v>0</v>
      </c>
      <c r="O4645" s="268">
        <f t="shared" si="1703"/>
        <v>288</v>
      </c>
      <c r="P4645" s="239"/>
      <c r="Q4645" s="239"/>
      <c r="R4645" s="239">
        <v>288</v>
      </c>
      <c r="S4645" s="239"/>
      <c r="T4645" s="239"/>
      <c r="U4645" s="240"/>
      <c r="V4645" s="240"/>
      <c r="W4645" s="240"/>
      <c r="X4645" s="278"/>
      <c r="Y4645" s="239"/>
      <c r="Z4645" s="237"/>
      <c r="AA4645" s="279"/>
      <c r="AB4645" s="238" t="s">
        <v>27900</v>
      </c>
      <c r="AC4645" s="196">
        <f t="shared" si="1717"/>
        <v>288</v>
      </c>
      <c r="AD4645" s="196">
        <f t="shared" si="1718"/>
        <v>288</v>
      </c>
      <c r="AE4645" s="196">
        <f t="shared" si="1719"/>
        <v>0</v>
      </c>
      <c r="AF4645" s="2">
        <f t="shared" si="1720"/>
        <v>288</v>
      </c>
      <c r="AG4645" s="2">
        <f t="shared" si="1721"/>
        <v>0</v>
      </c>
    </row>
    <row r="4646" spans="1:33">
      <c r="A4646" s="20" t="s">
        <v>26404</v>
      </c>
      <c r="B4646" s="150"/>
      <c r="C4646" s="21" t="s">
        <v>26635</v>
      </c>
      <c r="D4646" s="109" t="s">
        <v>4059</v>
      </c>
      <c r="E4646" s="109" t="s">
        <v>26638</v>
      </c>
      <c r="F4646" s="391" t="s">
        <v>26636</v>
      </c>
      <c r="G4646" s="23" t="s">
        <v>26637</v>
      </c>
      <c r="H4646" s="23"/>
      <c r="I4646" s="23"/>
      <c r="J4646" s="23"/>
      <c r="K4646" s="23"/>
      <c r="L4646" s="375" t="s">
        <v>45</v>
      </c>
      <c r="M4646" s="351"/>
      <c r="N4646" s="267">
        <f t="shared" ref="N4646" si="1722">SUM(L4646:M4646)</f>
        <v>0</v>
      </c>
      <c r="O4646" s="268">
        <f t="shared" ref="O4646" si="1723">SUM(P4646:Z4646)</f>
        <v>0</v>
      </c>
      <c r="P4646" s="239"/>
      <c r="Q4646" s="239"/>
      <c r="R4646" s="239"/>
      <c r="S4646" s="239"/>
      <c r="T4646" s="239"/>
      <c r="U4646" s="240"/>
      <c r="V4646" s="240"/>
      <c r="W4646" s="240"/>
      <c r="X4646" s="278"/>
      <c r="Y4646" s="239"/>
      <c r="Z4646" s="237"/>
      <c r="AA4646" s="279"/>
      <c r="AB4646" s="238"/>
      <c r="AC4646" s="196">
        <f t="shared" si="1717"/>
        <v>0</v>
      </c>
      <c r="AD4646" s="196">
        <f t="shared" si="1718"/>
        <v>0</v>
      </c>
      <c r="AE4646" s="196">
        <f t="shared" si="1719"/>
        <v>0</v>
      </c>
      <c r="AF4646" s="2">
        <f t="shared" si="1720"/>
        <v>0</v>
      </c>
      <c r="AG4646" s="2">
        <f t="shared" si="1721"/>
        <v>0</v>
      </c>
    </row>
    <row r="4647" spans="1:33">
      <c r="A4647" s="20" t="s">
        <v>22769</v>
      </c>
      <c r="B4647" s="150"/>
      <c r="C4647" s="21" t="s">
        <v>22802</v>
      </c>
      <c r="D4647" s="109" t="s">
        <v>3096</v>
      </c>
      <c r="E4647" s="109" t="s">
        <v>25397</v>
      </c>
      <c r="F4647" s="391" t="s">
        <v>22822</v>
      </c>
      <c r="G4647" s="23" t="s">
        <v>21185</v>
      </c>
      <c r="H4647" s="23"/>
      <c r="I4647" s="23"/>
      <c r="J4647" s="23"/>
      <c r="K4647" s="23"/>
      <c r="L4647" s="375" t="s">
        <v>45</v>
      </c>
      <c r="M4647" s="351" t="s">
        <v>7787</v>
      </c>
      <c r="N4647" s="267">
        <f t="shared" si="1702"/>
        <v>0</v>
      </c>
      <c r="O4647" s="268">
        <f t="shared" si="1703"/>
        <v>40</v>
      </c>
      <c r="P4647" s="239"/>
      <c r="Q4647" s="239"/>
      <c r="R4647" s="239"/>
      <c r="S4647" s="239">
        <f>180-140</f>
        <v>40</v>
      </c>
      <c r="T4647" s="239"/>
      <c r="U4647" s="240"/>
      <c r="V4647" s="240"/>
      <c r="W4647" s="240"/>
      <c r="X4647" s="278"/>
      <c r="Y4647" s="239"/>
      <c r="Z4647" s="237"/>
      <c r="AA4647" s="279"/>
      <c r="AB4647" s="238" t="s">
        <v>25396</v>
      </c>
      <c r="AC4647" s="196">
        <f t="shared" si="1717"/>
        <v>40</v>
      </c>
      <c r="AD4647" s="196">
        <f t="shared" si="1718"/>
        <v>40</v>
      </c>
      <c r="AE4647" s="196">
        <f t="shared" si="1719"/>
        <v>0</v>
      </c>
      <c r="AF4647" s="2">
        <f t="shared" si="1720"/>
        <v>40</v>
      </c>
      <c r="AG4647" s="2">
        <f t="shared" si="1721"/>
        <v>0</v>
      </c>
    </row>
    <row r="4648" spans="1:33">
      <c r="A4648" s="20" t="s">
        <v>22768</v>
      </c>
      <c r="B4648" s="150"/>
      <c r="C4648" s="21" t="s">
        <v>22816</v>
      </c>
      <c r="D4648" s="109" t="s">
        <v>9855</v>
      </c>
      <c r="E4648" s="109"/>
      <c r="F4648" s="391" t="s">
        <v>22819</v>
      </c>
      <c r="G4648" s="23" t="s">
        <v>13215</v>
      </c>
      <c r="H4648" s="23"/>
      <c r="I4648" s="23"/>
      <c r="J4648" s="23"/>
      <c r="K4648" s="23"/>
      <c r="L4648" s="375" t="s">
        <v>7787</v>
      </c>
      <c r="M4648" s="351" t="s">
        <v>7787</v>
      </c>
      <c r="N4648" s="267">
        <f t="shared" si="1702"/>
        <v>0</v>
      </c>
      <c r="O4648" s="268">
        <f t="shared" si="1703"/>
        <v>0</v>
      </c>
      <c r="P4648" s="239"/>
      <c r="Q4648" s="239"/>
      <c r="R4648" s="239"/>
      <c r="S4648" s="239"/>
      <c r="T4648" s="239"/>
      <c r="U4648" s="240"/>
      <c r="V4648" s="240"/>
      <c r="W4648" s="240"/>
      <c r="X4648" s="278"/>
      <c r="Y4648" s="239"/>
      <c r="Z4648" s="237"/>
      <c r="AA4648" s="279"/>
      <c r="AB4648" s="238"/>
      <c r="AC4648" s="196">
        <f t="shared" si="1717"/>
        <v>0</v>
      </c>
      <c r="AD4648" s="196">
        <f t="shared" si="1718"/>
        <v>0</v>
      </c>
      <c r="AE4648" s="196">
        <f t="shared" si="1719"/>
        <v>0</v>
      </c>
      <c r="AF4648" s="2">
        <f t="shared" si="1720"/>
        <v>0</v>
      </c>
      <c r="AG4648" s="2">
        <f t="shared" si="1721"/>
        <v>0</v>
      </c>
    </row>
    <row r="4649" spans="1:33">
      <c r="A4649" s="20" t="s">
        <v>24663</v>
      </c>
      <c r="B4649" s="150"/>
      <c r="C4649" s="21" t="s">
        <v>24627</v>
      </c>
      <c r="D4649" s="109" t="s">
        <v>24628</v>
      </c>
      <c r="E4649" s="109" t="s">
        <v>23714</v>
      </c>
      <c r="F4649" s="391" t="s">
        <v>24630</v>
      </c>
      <c r="G4649" s="23" t="s">
        <v>24629</v>
      </c>
      <c r="H4649" s="23"/>
      <c r="I4649" s="23"/>
      <c r="J4649" s="23"/>
      <c r="K4649" s="23"/>
      <c r="L4649" s="375" t="s">
        <v>27989</v>
      </c>
      <c r="M4649" s="351" t="s">
        <v>45</v>
      </c>
      <c r="N4649" s="267">
        <f t="shared" ref="N4649" si="1724">SUM(L4649:M4649)</f>
        <v>0</v>
      </c>
      <c r="O4649" s="268">
        <f t="shared" ref="O4649" si="1725">SUM(P4649:Z4649)</f>
        <v>1120</v>
      </c>
      <c r="P4649" s="239"/>
      <c r="Q4649" s="239"/>
      <c r="R4649" s="239"/>
      <c r="S4649" s="239"/>
      <c r="T4649" s="239"/>
      <c r="U4649" s="240"/>
      <c r="V4649" s="240">
        <f>1360+1600+80-800-1600+1600+1360+1840-520-480-2880-440-480+160+3360-1120-480-480+400-2400+2480+2800-2880-1120+2240-1600-640-80+3120-2880-480+320-240</f>
        <v>1120</v>
      </c>
      <c r="W4649" s="240"/>
      <c r="X4649" s="278"/>
      <c r="Y4649" s="240"/>
      <c r="Z4649" s="237"/>
      <c r="AA4649" s="279"/>
      <c r="AB4649" s="238" t="s">
        <v>28005</v>
      </c>
      <c r="AC4649" s="196">
        <f t="shared" si="1717"/>
        <v>1120</v>
      </c>
      <c r="AD4649" s="196">
        <f t="shared" si="1718"/>
        <v>1120</v>
      </c>
      <c r="AE4649" s="196">
        <f t="shared" si="1719"/>
        <v>0</v>
      </c>
      <c r="AF4649" s="2">
        <f t="shared" si="1720"/>
        <v>1120</v>
      </c>
      <c r="AG4649" s="2">
        <f t="shared" si="1721"/>
        <v>0</v>
      </c>
    </row>
    <row r="4650" spans="1:33">
      <c r="A4650" s="20" t="s">
        <v>23206</v>
      </c>
      <c r="B4650" s="150"/>
      <c r="C4650" s="21" t="s">
        <v>23241</v>
      </c>
      <c r="D4650" s="109" t="s">
        <v>7957</v>
      </c>
      <c r="E4650" s="109" t="s">
        <v>19998</v>
      </c>
      <c r="F4650" s="391" t="s">
        <v>23251</v>
      </c>
      <c r="G4650" s="23" t="s">
        <v>23250</v>
      </c>
      <c r="H4650" s="23"/>
      <c r="I4650" s="23"/>
      <c r="J4650" s="23"/>
      <c r="K4650" s="23"/>
      <c r="L4650" s="375" t="s">
        <v>27396</v>
      </c>
      <c r="M4650" s="351"/>
      <c r="N4650" s="267">
        <f t="shared" si="1702"/>
        <v>0</v>
      </c>
      <c r="O4650" s="268">
        <f t="shared" si="1703"/>
        <v>0</v>
      </c>
      <c r="P4650" s="239"/>
      <c r="Q4650" s="239"/>
      <c r="R4650" s="239"/>
      <c r="S4650" s="239"/>
      <c r="T4650" s="239"/>
      <c r="U4650" s="240"/>
      <c r="V4650" s="240"/>
      <c r="W4650" s="240"/>
      <c r="X4650" s="278"/>
      <c r="Y4650" s="240"/>
      <c r="Z4650" s="237"/>
      <c r="AA4650" s="279"/>
      <c r="AB4650" s="238"/>
      <c r="AC4650" s="196">
        <f t="shared" si="1717"/>
        <v>0</v>
      </c>
      <c r="AD4650" s="196">
        <f t="shared" si="1718"/>
        <v>0</v>
      </c>
      <c r="AE4650" s="196">
        <f t="shared" si="1719"/>
        <v>0</v>
      </c>
      <c r="AF4650" s="2">
        <f t="shared" si="1720"/>
        <v>0</v>
      </c>
      <c r="AG4650" s="2">
        <f t="shared" si="1721"/>
        <v>0</v>
      </c>
    </row>
    <row r="4651" spans="1:33">
      <c r="A4651" s="20" t="s">
        <v>23812</v>
      </c>
      <c r="B4651" s="150"/>
      <c r="C4651" s="21" t="s">
        <v>23841</v>
      </c>
      <c r="D4651" s="109" t="s">
        <v>9855</v>
      </c>
      <c r="E4651" s="109"/>
      <c r="F4651" s="391" t="s">
        <v>23847</v>
      </c>
      <c r="G4651" s="23" t="s">
        <v>23842</v>
      </c>
      <c r="H4651" s="23"/>
      <c r="I4651" s="23"/>
      <c r="J4651" s="23"/>
      <c r="K4651" s="23"/>
      <c r="L4651" s="375"/>
      <c r="M4651" s="351"/>
      <c r="N4651" s="267">
        <f t="shared" si="1702"/>
        <v>0</v>
      </c>
      <c r="O4651" s="268">
        <f t="shared" si="1703"/>
        <v>0</v>
      </c>
      <c r="P4651" s="239"/>
      <c r="Q4651" s="239"/>
      <c r="R4651" s="239"/>
      <c r="S4651" s="239"/>
      <c r="T4651" s="239"/>
      <c r="U4651" s="240"/>
      <c r="V4651" s="240"/>
      <c r="W4651" s="240"/>
      <c r="X4651" s="278"/>
      <c r="Y4651" s="239"/>
      <c r="Z4651" s="237"/>
      <c r="AA4651" s="279"/>
      <c r="AB4651" s="238"/>
      <c r="AC4651" s="196">
        <f t="shared" si="1717"/>
        <v>0</v>
      </c>
      <c r="AD4651" s="196">
        <f t="shared" si="1718"/>
        <v>0</v>
      </c>
      <c r="AE4651" s="196">
        <f t="shared" si="1719"/>
        <v>0</v>
      </c>
      <c r="AF4651" s="2">
        <f t="shared" si="1720"/>
        <v>0</v>
      </c>
      <c r="AG4651" s="2">
        <f t="shared" si="1721"/>
        <v>0</v>
      </c>
    </row>
    <row r="4652" spans="1:33">
      <c r="A4652" s="20" t="s">
        <v>22904</v>
      </c>
      <c r="B4652" s="150"/>
      <c r="C4652" s="21" t="s">
        <v>22986</v>
      </c>
      <c r="D4652" s="109" t="s">
        <v>9855</v>
      </c>
      <c r="E4652" s="109" t="s">
        <v>22989</v>
      </c>
      <c r="F4652" s="391" t="s">
        <v>22988</v>
      </c>
      <c r="G4652" s="23" t="s">
        <v>22987</v>
      </c>
      <c r="H4652" s="23"/>
      <c r="I4652" s="23"/>
      <c r="J4652" s="23"/>
      <c r="K4652" s="23"/>
      <c r="L4652" s="375" t="s">
        <v>7787</v>
      </c>
      <c r="M4652" s="351"/>
      <c r="N4652" s="267">
        <f t="shared" si="1702"/>
        <v>0</v>
      </c>
      <c r="O4652" s="268">
        <f t="shared" si="1703"/>
        <v>0</v>
      </c>
      <c r="P4652" s="239"/>
      <c r="Q4652" s="239"/>
      <c r="R4652" s="239"/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/>
      <c r="AC4652" s="196">
        <f t="shared" si="1717"/>
        <v>0</v>
      </c>
      <c r="AD4652" s="196">
        <f t="shared" si="1718"/>
        <v>0</v>
      </c>
      <c r="AE4652" s="196">
        <f t="shared" si="1719"/>
        <v>0</v>
      </c>
      <c r="AF4652" s="2">
        <f t="shared" si="1720"/>
        <v>0</v>
      </c>
      <c r="AG4652" s="2">
        <f t="shared" si="1721"/>
        <v>0</v>
      </c>
    </row>
    <row r="4653" spans="1:33">
      <c r="A4653" s="20" t="s">
        <v>23631</v>
      </c>
      <c r="B4653" s="150"/>
      <c r="C4653" s="21" t="s">
        <v>23575</v>
      </c>
      <c r="D4653" s="109" t="s">
        <v>3096</v>
      </c>
      <c r="E4653" s="109" t="s">
        <v>3128</v>
      </c>
      <c r="F4653" s="391" t="s">
        <v>23654</v>
      </c>
      <c r="G4653" s="23" t="s">
        <v>21185</v>
      </c>
      <c r="H4653" s="23"/>
      <c r="I4653" s="23"/>
      <c r="J4653" s="23"/>
      <c r="K4653" s="23"/>
      <c r="L4653" s="375"/>
      <c r="M4653" s="351"/>
      <c r="N4653" s="267">
        <f t="shared" si="1702"/>
        <v>0</v>
      </c>
      <c r="O4653" s="268">
        <f t="shared" si="1703"/>
        <v>0</v>
      </c>
      <c r="P4653" s="239"/>
      <c r="Q4653" s="239"/>
      <c r="R4653" s="239"/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/>
      <c r="AC4653" s="196">
        <f t="shared" si="1717"/>
        <v>0</v>
      </c>
      <c r="AD4653" s="196">
        <f t="shared" si="1718"/>
        <v>0</v>
      </c>
      <c r="AE4653" s="196">
        <f t="shared" si="1719"/>
        <v>0</v>
      </c>
      <c r="AF4653" s="2">
        <f t="shared" si="1720"/>
        <v>0</v>
      </c>
      <c r="AG4653" s="2">
        <f t="shared" si="1721"/>
        <v>0</v>
      </c>
    </row>
    <row r="4654" spans="1:33">
      <c r="A4654" s="20" t="s">
        <v>23170</v>
      </c>
      <c r="B4654" s="150"/>
      <c r="C4654" s="21" t="s">
        <v>23197</v>
      </c>
      <c r="D4654" s="109" t="s">
        <v>3096</v>
      </c>
      <c r="E4654" s="109" t="s">
        <v>23217</v>
      </c>
      <c r="F4654" s="391" t="s">
        <v>23216</v>
      </c>
      <c r="G4654" s="23" t="s">
        <v>21185</v>
      </c>
      <c r="H4654" s="23" t="s">
        <v>25901</v>
      </c>
      <c r="I4654" s="23"/>
      <c r="J4654" s="23"/>
      <c r="K4654" s="23"/>
      <c r="L4654" s="375"/>
      <c r="M4654" s="351"/>
      <c r="N4654" s="267">
        <f t="shared" si="1702"/>
        <v>0</v>
      </c>
      <c r="O4654" s="268">
        <f t="shared" si="1703"/>
        <v>120</v>
      </c>
      <c r="P4654" s="239"/>
      <c r="Q4654" s="239"/>
      <c r="R4654" s="239">
        <f>360+264-504+480-504+1032-24-72-912</f>
        <v>120</v>
      </c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 t="s">
        <v>26168</v>
      </c>
      <c r="AC4654" s="196">
        <f t="shared" si="1717"/>
        <v>120</v>
      </c>
      <c r="AD4654" s="196">
        <f t="shared" si="1718"/>
        <v>120</v>
      </c>
      <c r="AE4654" s="196">
        <f t="shared" si="1719"/>
        <v>0</v>
      </c>
      <c r="AF4654" s="2">
        <f t="shared" si="1720"/>
        <v>120</v>
      </c>
      <c r="AG4654" s="2">
        <f t="shared" si="1721"/>
        <v>0</v>
      </c>
    </row>
    <row r="4655" spans="1:33">
      <c r="A4655" s="20" t="s">
        <v>24834</v>
      </c>
      <c r="B4655" s="150"/>
      <c r="C4655" s="21" t="s">
        <v>23197</v>
      </c>
      <c r="D4655" s="109" t="s">
        <v>3133</v>
      </c>
      <c r="E4655" s="109" t="s">
        <v>23617</v>
      </c>
      <c r="F4655" s="391" t="s">
        <v>22558</v>
      </c>
      <c r="G4655" s="23" t="s">
        <v>21185</v>
      </c>
      <c r="H4655" s="23"/>
      <c r="I4655" s="23"/>
      <c r="J4655" s="23"/>
      <c r="K4655" s="23"/>
      <c r="L4655" s="375" t="s">
        <v>7787</v>
      </c>
      <c r="M4655" s="351" t="s">
        <v>7787</v>
      </c>
      <c r="N4655" s="267">
        <f t="shared" ref="N4655:N4656" si="1726">SUM(L4655:M4655)</f>
        <v>0</v>
      </c>
      <c r="O4655" s="268">
        <f t="shared" ref="O4655:O4656" si="1727">SUM(P4655:Z4655)</f>
        <v>0</v>
      </c>
      <c r="P4655" s="239"/>
      <c r="Q4655" s="239"/>
      <c r="R4655" s="239"/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/>
      <c r="AC4655" s="196">
        <f t="shared" si="1717"/>
        <v>0</v>
      </c>
      <c r="AD4655" s="196">
        <f t="shared" si="1718"/>
        <v>0</v>
      </c>
      <c r="AE4655" s="196">
        <f t="shared" si="1719"/>
        <v>0</v>
      </c>
      <c r="AF4655" s="2">
        <f t="shared" si="1720"/>
        <v>0</v>
      </c>
      <c r="AG4655" s="2">
        <f t="shared" si="1721"/>
        <v>0</v>
      </c>
    </row>
    <row r="4656" spans="1:33">
      <c r="A4656" s="20" t="s">
        <v>24835</v>
      </c>
      <c r="B4656" s="150"/>
      <c r="C4656" s="21" t="s">
        <v>23197</v>
      </c>
      <c r="D4656" s="109" t="s">
        <v>3133</v>
      </c>
      <c r="E4656" s="109" t="s">
        <v>23618</v>
      </c>
      <c r="F4656" s="391" t="s">
        <v>22558</v>
      </c>
      <c r="G4656" s="23" t="s">
        <v>21185</v>
      </c>
      <c r="H4656" s="23"/>
      <c r="I4656" s="23"/>
      <c r="J4656" s="23"/>
      <c r="K4656" s="23"/>
      <c r="L4656" s="375" t="s">
        <v>7787</v>
      </c>
      <c r="M4656" s="351" t="s">
        <v>7787</v>
      </c>
      <c r="N4656" s="267">
        <f t="shared" si="1726"/>
        <v>0</v>
      </c>
      <c r="O4656" s="268">
        <f t="shared" si="1727"/>
        <v>0</v>
      </c>
      <c r="P4656" s="239"/>
      <c r="Q4656" s="239"/>
      <c r="R4656" s="239"/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/>
      <c r="AC4656" s="196">
        <f t="shared" si="1717"/>
        <v>0</v>
      </c>
      <c r="AD4656" s="196">
        <f t="shared" si="1718"/>
        <v>0</v>
      </c>
      <c r="AE4656" s="196">
        <f t="shared" si="1719"/>
        <v>0</v>
      </c>
      <c r="AF4656" s="2">
        <f t="shared" si="1720"/>
        <v>0</v>
      </c>
      <c r="AG4656" s="2">
        <f t="shared" si="1721"/>
        <v>0</v>
      </c>
    </row>
    <row r="4657" spans="1:33">
      <c r="A4657" s="20" t="s">
        <v>23163</v>
      </c>
      <c r="B4657" s="150"/>
      <c r="C4657" s="21" t="s">
        <v>23198</v>
      </c>
      <c r="D4657" s="109" t="s">
        <v>9855</v>
      </c>
      <c r="E4657" s="109"/>
      <c r="F4657" s="391" t="s">
        <v>23201</v>
      </c>
      <c r="G4657" s="23" t="s">
        <v>23215</v>
      </c>
      <c r="H4657" s="23" t="s">
        <v>23441</v>
      </c>
      <c r="I4657" s="23"/>
      <c r="J4657" s="23"/>
      <c r="K4657" s="23"/>
      <c r="L4657" s="375" t="s">
        <v>7787</v>
      </c>
      <c r="M4657" s="351"/>
      <c r="N4657" s="267">
        <f t="shared" si="1702"/>
        <v>0</v>
      </c>
      <c r="O4657" s="268">
        <f t="shared" si="1703"/>
        <v>0</v>
      </c>
      <c r="P4657" s="239"/>
      <c r="Q4657" s="239"/>
      <c r="R4657" s="239"/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/>
      <c r="AC4657" s="196">
        <f t="shared" si="1717"/>
        <v>0</v>
      </c>
      <c r="AD4657" s="196">
        <f t="shared" si="1718"/>
        <v>0</v>
      </c>
      <c r="AE4657" s="196">
        <f t="shared" si="1719"/>
        <v>0</v>
      </c>
      <c r="AF4657" s="2">
        <f t="shared" si="1720"/>
        <v>0</v>
      </c>
      <c r="AG4657" s="2">
        <f t="shared" si="1721"/>
        <v>0</v>
      </c>
    </row>
    <row r="4658" spans="1:33">
      <c r="A4658" s="20" t="s">
        <v>23161</v>
      </c>
      <c r="B4658" s="150"/>
      <c r="C4658" s="21" t="s">
        <v>23154</v>
      </c>
      <c r="D4658" s="109" t="s">
        <v>9855</v>
      </c>
      <c r="E4658" s="109"/>
      <c r="F4658" s="391" t="s">
        <v>23183</v>
      </c>
      <c r="G4658" s="23" t="s">
        <v>23184</v>
      </c>
      <c r="H4658" s="23"/>
      <c r="I4658" s="23"/>
      <c r="J4658" s="23"/>
      <c r="K4658" s="23"/>
      <c r="L4658" s="375"/>
      <c r="M4658" s="351"/>
      <c r="N4658" s="267">
        <f t="shared" si="1702"/>
        <v>0</v>
      </c>
      <c r="O4658" s="268">
        <f t="shared" si="1703"/>
        <v>0</v>
      </c>
      <c r="P4658" s="239"/>
      <c r="Q4658" s="239"/>
      <c r="R4658" s="239"/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/>
      <c r="AC4658" s="196">
        <f t="shared" si="1717"/>
        <v>0</v>
      </c>
      <c r="AD4658" s="196">
        <f t="shared" si="1718"/>
        <v>0</v>
      </c>
      <c r="AE4658" s="196">
        <f t="shared" si="1719"/>
        <v>0</v>
      </c>
      <c r="AF4658" s="2">
        <f t="shared" si="1720"/>
        <v>0</v>
      </c>
      <c r="AG4658" s="2">
        <f t="shared" si="1721"/>
        <v>0</v>
      </c>
    </row>
    <row r="4659" spans="1:33">
      <c r="A4659" s="20" t="s">
        <v>23746</v>
      </c>
      <c r="B4659" s="150"/>
      <c r="C4659" s="21" t="s">
        <v>23772</v>
      </c>
      <c r="D4659" s="109" t="s">
        <v>9855</v>
      </c>
      <c r="E4659" s="109" t="s">
        <v>23777</v>
      </c>
      <c r="F4659" s="391" t="s">
        <v>23776</v>
      </c>
      <c r="G4659" s="23" t="s">
        <v>23787</v>
      </c>
      <c r="H4659" s="23"/>
      <c r="I4659" s="23"/>
      <c r="J4659" s="23"/>
      <c r="K4659" s="23"/>
      <c r="L4659" s="375"/>
      <c r="M4659" s="351"/>
      <c r="N4659" s="267">
        <f t="shared" si="1702"/>
        <v>0</v>
      </c>
      <c r="O4659" s="268">
        <f t="shared" si="1703"/>
        <v>0</v>
      </c>
      <c r="P4659" s="239"/>
      <c r="Q4659" s="239"/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/>
      <c r="AC4659" s="196">
        <f t="shared" si="1717"/>
        <v>0</v>
      </c>
      <c r="AD4659" s="196">
        <f t="shared" si="1718"/>
        <v>0</v>
      </c>
      <c r="AE4659" s="196">
        <f t="shared" si="1719"/>
        <v>0</v>
      </c>
      <c r="AF4659" s="2">
        <f t="shared" si="1720"/>
        <v>0</v>
      </c>
      <c r="AG4659" s="2">
        <f t="shared" si="1721"/>
        <v>0</v>
      </c>
    </row>
    <row r="4660" spans="1:33">
      <c r="A4660" s="20" t="s">
        <v>23352</v>
      </c>
      <c r="B4660" s="150"/>
      <c r="C4660" s="21" t="s">
        <v>23335</v>
      </c>
      <c r="D4660" s="109" t="s">
        <v>9855</v>
      </c>
      <c r="E4660" s="109" t="s">
        <v>23336</v>
      </c>
      <c r="F4660" s="391" t="s">
        <v>21151</v>
      </c>
      <c r="G4660" s="23" t="s">
        <v>17522</v>
      </c>
      <c r="H4660" s="23" t="s">
        <v>24147</v>
      </c>
      <c r="I4660" s="23"/>
      <c r="J4660" s="23"/>
      <c r="K4660" s="23"/>
      <c r="L4660" s="375" t="s">
        <v>7787</v>
      </c>
      <c r="M4660" s="351" t="s">
        <v>7787</v>
      </c>
      <c r="N4660" s="267">
        <f t="shared" si="1702"/>
        <v>0</v>
      </c>
      <c r="O4660" s="268">
        <f t="shared" si="1703"/>
        <v>6480</v>
      </c>
      <c r="P4660" s="239"/>
      <c r="Q4660" s="239"/>
      <c r="R4660" s="239">
        <f>2610-1560+5400+2700+2700+2550-8400+780-120-30-120-30</f>
        <v>6480</v>
      </c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 t="s">
        <v>24289</v>
      </c>
      <c r="AC4660" s="196">
        <f t="shared" si="1717"/>
        <v>6480</v>
      </c>
      <c r="AD4660" s="196">
        <f t="shared" si="1718"/>
        <v>6480</v>
      </c>
      <c r="AE4660" s="196">
        <f t="shared" si="1719"/>
        <v>0</v>
      </c>
      <c r="AF4660" s="2">
        <f t="shared" si="1720"/>
        <v>6480</v>
      </c>
      <c r="AG4660" s="2">
        <f t="shared" si="1721"/>
        <v>0</v>
      </c>
    </row>
    <row r="4661" spans="1:33">
      <c r="A4661" s="20" t="s">
        <v>23361</v>
      </c>
      <c r="B4661" s="150"/>
      <c r="C4661" s="21" t="s">
        <v>23414</v>
      </c>
      <c r="D4661" s="109" t="s">
        <v>9855</v>
      </c>
      <c r="E4661" s="109"/>
      <c r="F4661" s="391" t="s">
        <v>21151</v>
      </c>
      <c r="G4661" s="23" t="s">
        <v>17522</v>
      </c>
      <c r="H4661" s="23" t="s">
        <v>23505</v>
      </c>
      <c r="I4661" s="23" t="s">
        <v>25268</v>
      </c>
      <c r="J4661" s="23"/>
      <c r="K4661" s="23"/>
      <c r="L4661" s="375" t="s">
        <v>7787</v>
      </c>
      <c r="M4661" s="351"/>
      <c r="N4661" s="267">
        <f t="shared" si="1702"/>
        <v>0</v>
      </c>
      <c r="O4661" s="268">
        <f t="shared" si="1703"/>
        <v>1170</v>
      </c>
      <c r="P4661" s="239"/>
      <c r="Q4661" s="239"/>
      <c r="R4661" s="239">
        <f>4200-1800-1020-90-60-60</f>
        <v>1170</v>
      </c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238" t="s">
        <v>25118</v>
      </c>
      <c r="AC4661" s="196">
        <f t="shared" si="1717"/>
        <v>1170</v>
      </c>
      <c r="AD4661" s="196">
        <f t="shared" si="1718"/>
        <v>1170</v>
      </c>
      <c r="AE4661" s="196">
        <f t="shared" si="1719"/>
        <v>0</v>
      </c>
      <c r="AF4661" s="2">
        <f t="shared" si="1720"/>
        <v>1170</v>
      </c>
      <c r="AG4661" s="2">
        <f t="shared" si="1721"/>
        <v>0</v>
      </c>
    </row>
    <row r="4662" spans="1:33">
      <c r="A4662" s="20" t="s">
        <v>23536</v>
      </c>
      <c r="B4662" s="150"/>
      <c r="C4662" s="21" t="s">
        <v>23526</v>
      </c>
      <c r="D4662" s="109" t="s">
        <v>9855</v>
      </c>
      <c r="E4662" s="109"/>
      <c r="F4662" s="391" t="s">
        <v>23551</v>
      </c>
      <c r="G4662" s="23" t="s">
        <v>23527</v>
      </c>
      <c r="H4662" s="23" t="s">
        <v>23529</v>
      </c>
      <c r="I4662" s="23"/>
      <c r="J4662" s="23"/>
      <c r="K4662" s="23"/>
      <c r="L4662" s="375" t="s">
        <v>7787</v>
      </c>
      <c r="M4662" s="351" t="s">
        <v>7787</v>
      </c>
      <c r="N4662" s="267">
        <f t="shared" ref="N4662:N4794" si="1728">SUM(L4662:M4662)</f>
        <v>0</v>
      </c>
      <c r="O4662" s="268">
        <f t="shared" ref="O4662:O4794" si="1729">SUM(P4662:Z4662)</f>
        <v>0</v>
      </c>
      <c r="P4662" s="239"/>
      <c r="Q4662" s="239"/>
      <c r="R4662" s="239"/>
      <c r="S4662" s="239"/>
      <c r="T4662" s="239"/>
      <c r="U4662" s="240"/>
      <c r="V4662" s="240"/>
      <c r="W4662" s="240"/>
      <c r="X4662" s="278"/>
      <c r="Y4662" s="239"/>
      <c r="Z4662" s="237"/>
      <c r="AA4662" s="279"/>
      <c r="AB4662" s="238"/>
      <c r="AC4662" s="196">
        <f t="shared" si="1717"/>
        <v>0</v>
      </c>
      <c r="AD4662" s="196">
        <f t="shared" si="1718"/>
        <v>0</v>
      </c>
      <c r="AE4662" s="196">
        <f t="shared" si="1719"/>
        <v>0</v>
      </c>
      <c r="AF4662" s="2">
        <f t="shared" si="1720"/>
        <v>0</v>
      </c>
      <c r="AG4662" s="2">
        <f t="shared" si="1721"/>
        <v>0</v>
      </c>
    </row>
    <row r="4663" spans="1:33">
      <c r="A4663" s="20" t="s">
        <v>23546</v>
      </c>
      <c r="B4663" s="150"/>
      <c r="C4663" s="21" t="s">
        <v>23582</v>
      </c>
      <c r="D4663" s="109" t="s">
        <v>9855</v>
      </c>
      <c r="E4663" s="109"/>
      <c r="F4663" s="391" t="s">
        <v>23584</v>
      </c>
      <c r="G4663" s="23" t="s">
        <v>14844</v>
      </c>
      <c r="H4663" s="23"/>
      <c r="I4663" s="23"/>
      <c r="J4663" s="23"/>
      <c r="K4663" s="23"/>
      <c r="L4663" s="375"/>
      <c r="M4663" s="351"/>
      <c r="N4663" s="267">
        <f t="shared" si="1728"/>
        <v>0</v>
      </c>
      <c r="O4663" s="268">
        <f t="shared" si="1729"/>
        <v>0</v>
      </c>
      <c r="P4663" s="239"/>
      <c r="Q4663" s="239"/>
      <c r="R4663" s="239"/>
      <c r="S4663" s="239"/>
      <c r="T4663" s="239"/>
      <c r="U4663" s="240"/>
      <c r="V4663" s="240"/>
      <c r="W4663" s="240"/>
      <c r="X4663" s="278"/>
      <c r="Y4663" s="239"/>
      <c r="Z4663" s="237"/>
      <c r="AA4663" s="279"/>
      <c r="AB4663" s="238"/>
      <c r="AC4663" s="196">
        <f t="shared" si="1717"/>
        <v>0</v>
      </c>
      <c r="AD4663" s="196">
        <f t="shared" si="1718"/>
        <v>0</v>
      </c>
      <c r="AE4663" s="196">
        <f t="shared" si="1719"/>
        <v>0</v>
      </c>
      <c r="AF4663" s="2">
        <f t="shared" si="1720"/>
        <v>0</v>
      </c>
      <c r="AG4663" s="2">
        <f t="shared" si="1721"/>
        <v>0</v>
      </c>
    </row>
    <row r="4664" spans="1:33">
      <c r="A4664" s="20" t="s">
        <v>23537</v>
      </c>
      <c r="B4664" s="150"/>
      <c r="C4664" s="21" t="s">
        <v>23524</v>
      </c>
      <c r="D4664" s="109" t="s">
        <v>9855</v>
      </c>
      <c r="E4664" s="109"/>
      <c r="F4664" s="391" t="s">
        <v>23552</v>
      </c>
      <c r="G4664" s="23" t="s">
        <v>23527</v>
      </c>
      <c r="H4664" s="23" t="s">
        <v>23798</v>
      </c>
      <c r="I4664" s="23" t="s">
        <v>25228</v>
      </c>
      <c r="J4664" s="23"/>
      <c r="K4664" s="23"/>
      <c r="L4664" s="375" t="s">
        <v>45</v>
      </c>
      <c r="M4664" s="351" t="s">
        <v>45</v>
      </c>
      <c r="N4664" s="267">
        <f t="shared" si="1728"/>
        <v>0</v>
      </c>
      <c r="O4664" s="268">
        <f t="shared" si="1729"/>
        <v>60</v>
      </c>
      <c r="P4664" s="239"/>
      <c r="Q4664" s="239">
        <f>270-210+660-630-30</f>
        <v>60</v>
      </c>
      <c r="R4664" s="239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238" t="s">
        <v>25587</v>
      </c>
      <c r="AC4664" s="196">
        <f t="shared" si="1717"/>
        <v>60</v>
      </c>
      <c r="AD4664" s="196">
        <f t="shared" si="1718"/>
        <v>60</v>
      </c>
      <c r="AE4664" s="196">
        <f t="shared" si="1719"/>
        <v>0</v>
      </c>
      <c r="AF4664" s="2">
        <f t="shared" si="1720"/>
        <v>60</v>
      </c>
      <c r="AG4664" s="2">
        <f t="shared" si="1721"/>
        <v>0</v>
      </c>
    </row>
    <row r="4665" spans="1:33">
      <c r="A4665" s="20" t="s">
        <v>23675</v>
      </c>
      <c r="B4665" s="150"/>
      <c r="C4665" s="21" t="s">
        <v>23670</v>
      </c>
      <c r="D4665" s="109" t="s">
        <v>9855</v>
      </c>
      <c r="E4665" s="109"/>
      <c r="F4665" s="391" t="s">
        <v>23691</v>
      </c>
      <c r="G4665" s="23" t="s">
        <v>17522</v>
      </c>
      <c r="H4665" s="23"/>
      <c r="I4665" s="23"/>
      <c r="J4665" s="23"/>
      <c r="K4665" s="23"/>
      <c r="L4665" s="375" t="s">
        <v>7787</v>
      </c>
      <c r="M4665" s="351"/>
      <c r="N4665" s="267">
        <f t="shared" si="1728"/>
        <v>0</v>
      </c>
      <c r="O4665" s="268">
        <f t="shared" si="1729"/>
        <v>0</v>
      </c>
      <c r="P4665" s="239"/>
      <c r="Q4665" s="239"/>
      <c r="R4665" s="239"/>
      <c r="S4665" s="239"/>
      <c r="T4665" s="239"/>
      <c r="U4665" s="240"/>
      <c r="V4665" s="240"/>
      <c r="W4665" s="240"/>
      <c r="X4665" s="278"/>
      <c r="Y4665" s="239"/>
      <c r="Z4665" s="237"/>
      <c r="AA4665" s="279"/>
      <c r="AB4665" s="238"/>
      <c r="AC4665" s="196">
        <f t="shared" si="1717"/>
        <v>0</v>
      </c>
      <c r="AD4665" s="196">
        <f t="shared" si="1718"/>
        <v>0</v>
      </c>
      <c r="AE4665" s="196">
        <f t="shared" si="1719"/>
        <v>0</v>
      </c>
      <c r="AF4665" s="2">
        <f t="shared" si="1720"/>
        <v>0</v>
      </c>
      <c r="AG4665" s="2">
        <f t="shared" si="1721"/>
        <v>0</v>
      </c>
    </row>
    <row r="4666" spans="1:33">
      <c r="A4666" s="20" t="s">
        <v>23682</v>
      </c>
      <c r="B4666" s="150"/>
      <c r="C4666" s="21" t="s">
        <v>23719</v>
      </c>
      <c r="D4666" s="109" t="s">
        <v>3096</v>
      </c>
      <c r="E4666" s="109"/>
      <c r="F4666" s="391" t="s">
        <v>23720</v>
      </c>
      <c r="G4666" s="23" t="s">
        <v>13525</v>
      </c>
      <c r="H4666" s="23"/>
      <c r="I4666" s="23"/>
      <c r="J4666" s="23"/>
      <c r="K4666" s="23"/>
      <c r="L4666" s="375" t="s">
        <v>7787</v>
      </c>
      <c r="M4666" s="351" t="s">
        <v>7787</v>
      </c>
      <c r="N4666" s="267">
        <f t="shared" si="1728"/>
        <v>0</v>
      </c>
      <c r="O4666" s="268">
        <f t="shared" si="1729"/>
        <v>0</v>
      </c>
      <c r="P4666" s="239"/>
      <c r="Q4666" s="239"/>
      <c r="R4666" s="239"/>
      <c r="S4666" s="239"/>
      <c r="T4666" s="239"/>
      <c r="U4666" s="240"/>
      <c r="V4666" s="240"/>
      <c r="W4666" s="240"/>
      <c r="X4666" s="278"/>
      <c r="Y4666" s="239"/>
      <c r="Z4666" s="237"/>
      <c r="AA4666" s="279"/>
      <c r="AB4666" s="238"/>
      <c r="AC4666" s="196">
        <f t="shared" si="1717"/>
        <v>0</v>
      </c>
      <c r="AD4666" s="196">
        <f t="shared" si="1718"/>
        <v>0</v>
      </c>
      <c r="AE4666" s="196">
        <f t="shared" si="1719"/>
        <v>0</v>
      </c>
      <c r="AF4666" s="2">
        <f t="shared" si="1720"/>
        <v>0</v>
      </c>
      <c r="AG4666" s="2">
        <f t="shared" si="1721"/>
        <v>0</v>
      </c>
    </row>
    <row r="4667" spans="1:33">
      <c r="A4667" s="20" t="s">
        <v>23817</v>
      </c>
      <c r="B4667" s="150"/>
      <c r="C4667" s="21" t="s">
        <v>23786</v>
      </c>
      <c r="D4667" s="109" t="s">
        <v>3096</v>
      </c>
      <c r="E4667" s="109"/>
      <c r="F4667" s="437" t="s">
        <v>24787</v>
      </c>
      <c r="G4667" s="23" t="s">
        <v>23836</v>
      </c>
      <c r="H4667" s="23"/>
      <c r="I4667" s="23"/>
      <c r="J4667" s="23"/>
      <c r="K4667" s="23"/>
      <c r="L4667" s="375" t="s">
        <v>7787</v>
      </c>
      <c r="M4667" s="351"/>
      <c r="N4667" s="267">
        <f t="shared" si="1728"/>
        <v>0</v>
      </c>
      <c r="O4667" s="268">
        <f t="shared" si="1729"/>
        <v>0</v>
      </c>
      <c r="P4667" s="239"/>
      <c r="Q4667" s="239"/>
      <c r="R4667" s="239"/>
      <c r="S4667" s="239"/>
      <c r="T4667" s="239"/>
      <c r="U4667" s="240"/>
      <c r="V4667" s="240"/>
      <c r="W4667" s="240"/>
      <c r="X4667" s="278"/>
      <c r="Y4667" s="239"/>
      <c r="Z4667" s="237"/>
      <c r="AA4667" s="279"/>
      <c r="AB4667" s="238"/>
      <c r="AC4667" s="196">
        <f t="shared" si="1717"/>
        <v>0</v>
      </c>
      <c r="AD4667" s="196">
        <f t="shared" si="1718"/>
        <v>0</v>
      </c>
      <c r="AE4667" s="196">
        <f t="shared" si="1719"/>
        <v>0</v>
      </c>
      <c r="AF4667" s="2">
        <f t="shared" si="1720"/>
        <v>0</v>
      </c>
      <c r="AG4667" s="2">
        <f t="shared" si="1721"/>
        <v>0</v>
      </c>
    </row>
    <row r="4668" spans="1:33">
      <c r="A4668" s="20" t="s">
        <v>23747</v>
      </c>
      <c r="B4668" s="150"/>
      <c r="C4668" s="21" t="s">
        <v>23778</v>
      </c>
      <c r="D4668" s="109" t="s">
        <v>23779</v>
      </c>
      <c r="E4668" s="109"/>
      <c r="F4668" s="391" t="s">
        <v>23788</v>
      </c>
      <c r="G4668" s="23" t="s">
        <v>17522</v>
      </c>
      <c r="H4668" s="23"/>
      <c r="I4668" s="23"/>
      <c r="J4668" s="23"/>
      <c r="K4668" s="23"/>
      <c r="L4668" s="375"/>
      <c r="M4668" s="351"/>
      <c r="N4668" s="267">
        <f t="shared" si="1728"/>
        <v>0</v>
      </c>
      <c r="O4668" s="268">
        <f t="shared" si="1729"/>
        <v>0</v>
      </c>
      <c r="P4668" s="239"/>
      <c r="Q4668" s="239"/>
      <c r="R4668" s="239"/>
      <c r="S4668" s="239"/>
      <c r="T4668" s="239"/>
      <c r="U4668" s="240"/>
      <c r="V4668" s="240"/>
      <c r="W4668" s="240"/>
      <c r="X4668" s="278"/>
      <c r="Y4668" s="239"/>
      <c r="Z4668" s="237"/>
      <c r="AA4668" s="279"/>
      <c r="AB4668" s="238"/>
      <c r="AC4668" s="196">
        <f t="shared" si="1717"/>
        <v>0</v>
      </c>
      <c r="AD4668" s="196">
        <f t="shared" si="1718"/>
        <v>0</v>
      </c>
      <c r="AE4668" s="196">
        <f t="shared" si="1719"/>
        <v>0</v>
      </c>
      <c r="AF4668" s="2">
        <f t="shared" si="1720"/>
        <v>0</v>
      </c>
      <c r="AG4668" s="2">
        <f t="shared" si="1721"/>
        <v>0</v>
      </c>
    </row>
    <row r="4669" spans="1:33">
      <c r="A4669" s="20" t="s">
        <v>23676</v>
      </c>
      <c r="B4669" s="150"/>
      <c r="C4669" s="21" t="s">
        <v>23667</v>
      </c>
      <c r="D4669" s="109" t="s">
        <v>9855</v>
      </c>
      <c r="E4669" s="109"/>
      <c r="F4669" s="391" t="s">
        <v>23692</v>
      </c>
      <c r="G4669" s="23" t="s">
        <v>6133</v>
      </c>
      <c r="H4669" s="23" t="s">
        <v>25442</v>
      </c>
      <c r="I4669" s="23"/>
      <c r="J4669" s="23"/>
      <c r="K4669" s="23"/>
      <c r="L4669" s="375" t="s">
        <v>7787</v>
      </c>
      <c r="M4669" s="351"/>
      <c r="N4669" s="267">
        <f t="shared" si="1728"/>
        <v>0</v>
      </c>
      <c r="O4669" s="268">
        <f t="shared" si="1729"/>
        <v>0</v>
      </c>
      <c r="P4669" s="239"/>
      <c r="Q4669" s="239"/>
      <c r="R4669" s="239"/>
      <c r="S4669" s="239"/>
      <c r="T4669" s="239"/>
      <c r="U4669" s="240"/>
      <c r="V4669" s="240"/>
      <c r="W4669" s="240"/>
      <c r="X4669" s="278"/>
      <c r="Y4669" s="239"/>
      <c r="Z4669" s="237"/>
      <c r="AA4669" s="279"/>
      <c r="AB4669" s="342"/>
      <c r="AC4669" s="196">
        <f t="shared" si="1717"/>
        <v>0</v>
      </c>
      <c r="AD4669" s="196">
        <f t="shared" si="1718"/>
        <v>0</v>
      </c>
      <c r="AE4669" s="196">
        <f t="shared" si="1719"/>
        <v>0</v>
      </c>
      <c r="AF4669" s="2">
        <f t="shared" si="1720"/>
        <v>0</v>
      </c>
      <c r="AG4669" s="2">
        <f t="shared" si="1721"/>
        <v>0</v>
      </c>
    </row>
    <row r="4670" spans="1:33">
      <c r="A4670" s="20" t="s">
        <v>23981</v>
      </c>
      <c r="B4670" s="150"/>
      <c r="C4670" s="21" t="s">
        <v>23972</v>
      </c>
      <c r="D4670" s="109" t="s">
        <v>9855</v>
      </c>
      <c r="E4670" s="109"/>
      <c r="F4670" s="391" t="s">
        <v>24017</v>
      </c>
      <c r="G4670" s="23" t="s">
        <v>23978</v>
      </c>
      <c r="H4670" s="23" t="s">
        <v>24309</v>
      </c>
      <c r="I4670" s="23"/>
      <c r="J4670" s="23"/>
      <c r="K4670" s="23"/>
      <c r="L4670" s="375" t="s">
        <v>45</v>
      </c>
      <c r="M4670" s="351" t="s">
        <v>7787</v>
      </c>
      <c r="N4670" s="267">
        <f t="shared" si="1728"/>
        <v>0</v>
      </c>
      <c r="O4670" s="268">
        <f t="shared" si="1729"/>
        <v>180</v>
      </c>
      <c r="P4670" s="239"/>
      <c r="Q4670" s="239"/>
      <c r="R4670" s="239"/>
      <c r="S4670" s="239"/>
      <c r="T4670" s="239"/>
      <c r="U4670" s="239">
        <f>1230-990-60-30+510-480+270+870-480-510-300+330-300+360-300+600-60-480</f>
        <v>180</v>
      </c>
      <c r="V4670" s="240"/>
      <c r="W4670" s="240"/>
      <c r="X4670" s="278"/>
      <c r="Y4670" s="239"/>
      <c r="Z4670" s="237"/>
      <c r="AA4670" s="279"/>
      <c r="AB4670" s="238" t="s">
        <v>26574</v>
      </c>
      <c r="AC4670" s="196">
        <f t="shared" si="1717"/>
        <v>180</v>
      </c>
      <c r="AD4670" s="196">
        <f t="shared" si="1718"/>
        <v>180</v>
      </c>
      <c r="AE4670" s="196">
        <f t="shared" si="1719"/>
        <v>0</v>
      </c>
      <c r="AF4670" s="2">
        <f t="shared" si="1720"/>
        <v>180</v>
      </c>
      <c r="AG4670" s="2">
        <f t="shared" si="1721"/>
        <v>0</v>
      </c>
    </row>
    <row r="4671" spans="1:33">
      <c r="A4671" s="20" t="s">
        <v>23816</v>
      </c>
      <c r="B4671" s="150"/>
      <c r="C4671" s="21" t="s">
        <v>23859</v>
      </c>
      <c r="D4671" s="109" t="s">
        <v>5979</v>
      </c>
      <c r="E4671" s="109"/>
      <c r="F4671" s="391" t="s">
        <v>23870</v>
      </c>
      <c r="G4671" s="23" t="s">
        <v>13888</v>
      </c>
      <c r="H4671" s="23" t="s">
        <v>24932</v>
      </c>
      <c r="I4671" s="23"/>
      <c r="J4671" s="23"/>
      <c r="K4671" s="23"/>
      <c r="L4671" s="375">
        <f>2570+1160+1450</f>
        <v>5180</v>
      </c>
      <c r="M4671" s="351" t="s">
        <v>27815</v>
      </c>
      <c r="N4671" s="267">
        <f t="shared" si="1728"/>
        <v>5180</v>
      </c>
      <c r="O4671" s="268">
        <f t="shared" si="1729"/>
        <v>240</v>
      </c>
      <c r="P4671" s="239"/>
      <c r="Q4671" s="240">
        <f>1840-1600</f>
        <v>240</v>
      </c>
      <c r="R4671" s="240"/>
      <c r="S4671" s="239"/>
      <c r="T4671" s="239"/>
      <c r="U4671" s="240"/>
      <c r="V4671" s="240"/>
      <c r="W4671" s="240"/>
      <c r="X4671" s="278"/>
      <c r="Y4671" s="239"/>
      <c r="Z4671" s="237"/>
      <c r="AA4671" s="279"/>
      <c r="AB4671" s="238" t="s">
        <v>28018</v>
      </c>
      <c r="AC4671" s="196">
        <f t="shared" si="1717"/>
        <v>240</v>
      </c>
      <c r="AD4671" s="196">
        <f t="shared" si="1718"/>
        <v>240</v>
      </c>
      <c r="AE4671" s="196">
        <f t="shared" si="1719"/>
        <v>0</v>
      </c>
      <c r="AF4671" s="2">
        <f t="shared" si="1720"/>
        <v>240</v>
      </c>
      <c r="AG4671" s="2">
        <f t="shared" si="1721"/>
        <v>0</v>
      </c>
    </row>
    <row r="4672" spans="1:33">
      <c r="A4672" s="20" t="s">
        <v>23914</v>
      </c>
      <c r="B4672" s="150"/>
      <c r="C4672" s="21" t="s">
        <v>23958</v>
      </c>
      <c r="D4672" s="109" t="s">
        <v>9855</v>
      </c>
      <c r="E4672" s="109"/>
      <c r="F4672" s="391" t="s">
        <v>23969</v>
      </c>
      <c r="G4672" s="23" t="s">
        <v>23971</v>
      </c>
      <c r="H4672" s="23"/>
      <c r="I4672" s="23"/>
      <c r="J4672" s="23"/>
      <c r="K4672" s="23"/>
      <c r="L4672" s="375"/>
      <c r="M4672" s="351"/>
      <c r="N4672" s="267">
        <f t="shared" si="1728"/>
        <v>0</v>
      </c>
      <c r="O4672" s="268">
        <f t="shared" si="1729"/>
        <v>0</v>
      </c>
      <c r="P4672" s="239"/>
      <c r="Q4672" s="239"/>
      <c r="R4672" s="244"/>
      <c r="S4672" s="239"/>
      <c r="T4672" s="239"/>
      <c r="U4672" s="240"/>
      <c r="V4672" s="240"/>
      <c r="W4672" s="240"/>
      <c r="X4672" s="278"/>
      <c r="Y4672" s="239"/>
      <c r="Z4672" s="237"/>
      <c r="AA4672" s="279"/>
      <c r="AB4672" s="238"/>
      <c r="AC4672" s="196">
        <f t="shared" si="1717"/>
        <v>0</v>
      </c>
      <c r="AD4672" s="196">
        <f t="shared" si="1718"/>
        <v>0</v>
      </c>
      <c r="AE4672" s="196">
        <f t="shared" si="1719"/>
        <v>0</v>
      </c>
      <c r="AF4672" s="2">
        <f t="shared" si="1720"/>
        <v>0</v>
      </c>
      <c r="AG4672" s="2">
        <f t="shared" si="1721"/>
        <v>0</v>
      </c>
    </row>
    <row r="4673" spans="1:33">
      <c r="A4673" s="20" t="s">
        <v>23982</v>
      </c>
      <c r="B4673" s="150"/>
      <c r="C4673" s="21" t="s">
        <v>23977</v>
      </c>
      <c r="D4673" s="109" t="s">
        <v>9855</v>
      </c>
      <c r="E4673" s="109" t="s">
        <v>25420</v>
      </c>
      <c r="F4673" s="391" t="s">
        <v>24020</v>
      </c>
      <c r="G4673" s="23" t="s">
        <v>24034</v>
      </c>
      <c r="H4673" s="23"/>
      <c r="I4673" s="23"/>
      <c r="J4673" s="23"/>
      <c r="K4673" s="23"/>
      <c r="L4673" s="375" t="s">
        <v>45</v>
      </c>
      <c r="M4673" s="351"/>
      <c r="N4673" s="267">
        <f t="shared" si="1728"/>
        <v>0</v>
      </c>
      <c r="O4673" s="268">
        <f t="shared" si="1729"/>
        <v>270</v>
      </c>
      <c r="P4673" s="239"/>
      <c r="Q4673" s="239"/>
      <c r="R4673" s="244">
        <v>270</v>
      </c>
      <c r="S4673" s="239"/>
      <c r="T4673" s="239"/>
      <c r="U4673" s="240"/>
      <c r="V4673" s="240"/>
      <c r="W4673" s="240"/>
      <c r="X4673" s="278"/>
      <c r="Y4673" s="244"/>
      <c r="Z4673" s="237"/>
      <c r="AA4673" s="279"/>
      <c r="AB4673" s="238" t="s">
        <v>27185</v>
      </c>
      <c r="AC4673" s="196">
        <f t="shared" si="1717"/>
        <v>270</v>
      </c>
      <c r="AD4673" s="196">
        <f t="shared" si="1718"/>
        <v>270</v>
      </c>
      <c r="AE4673" s="196">
        <f t="shared" si="1719"/>
        <v>0</v>
      </c>
      <c r="AF4673" s="2">
        <f t="shared" si="1720"/>
        <v>270</v>
      </c>
      <c r="AG4673" s="2">
        <f t="shared" si="1721"/>
        <v>0</v>
      </c>
    </row>
    <row r="4674" spans="1:33">
      <c r="A4674" s="20" t="s">
        <v>26403</v>
      </c>
      <c r="B4674" s="150"/>
      <c r="C4674" s="21" t="s">
        <v>24778</v>
      </c>
      <c r="D4674" s="109" t="s">
        <v>8376</v>
      </c>
      <c r="E4674" s="109" t="s">
        <v>3115</v>
      </c>
      <c r="F4674" s="391" t="s">
        <v>20313</v>
      </c>
      <c r="G4674" s="23" t="s">
        <v>19108</v>
      </c>
      <c r="H4674" s="23"/>
      <c r="I4674" s="23"/>
      <c r="J4674" s="23"/>
      <c r="K4674" s="23"/>
      <c r="L4674" s="375" t="s">
        <v>7787</v>
      </c>
      <c r="M4674" s="351" t="s">
        <v>7787</v>
      </c>
      <c r="N4674" s="267">
        <f t="shared" ref="N4674" si="1730">SUM(L4674:M4674)</f>
        <v>0</v>
      </c>
      <c r="O4674" s="268">
        <f t="shared" ref="O4674" si="1731">SUM(P4674:Z4674)</f>
        <v>0</v>
      </c>
      <c r="P4674" s="239"/>
      <c r="Q4674" s="239"/>
      <c r="R4674" s="244"/>
      <c r="S4674" s="239"/>
      <c r="T4674" s="239"/>
      <c r="U4674" s="240"/>
      <c r="V4674" s="240"/>
      <c r="W4674" s="240"/>
      <c r="X4674" s="278"/>
      <c r="Y4674" s="244"/>
      <c r="Z4674" s="237"/>
      <c r="AA4674" s="279"/>
      <c r="AB4674" s="238"/>
      <c r="AC4674" s="196">
        <f t="shared" si="1717"/>
        <v>0</v>
      </c>
      <c r="AD4674" s="196">
        <f t="shared" si="1718"/>
        <v>0</v>
      </c>
      <c r="AE4674" s="196">
        <f t="shared" si="1719"/>
        <v>0</v>
      </c>
      <c r="AF4674" s="2">
        <f t="shared" si="1720"/>
        <v>0</v>
      </c>
      <c r="AG4674" s="2">
        <f t="shared" si="1721"/>
        <v>0</v>
      </c>
    </row>
    <row r="4675" spans="1:33">
      <c r="A4675" s="20" t="s">
        <v>24846</v>
      </c>
      <c r="B4675" s="150"/>
      <c r="C4675" s="21" t="s">
        <v>24778</v>
      </c>
      <c r="D4675" s="109" t="s">
        <v>24779</v>
      </c>
      <c r="E4675" s="109" t="s">
        <v>24780</v>
      </c>
      <c r="F4675" s="391" t="s">
        <v>20313</v>
      </c>
      <c r="G4675" s="23" t="s">
        <v>19108</v>
      </c>
      <c r="H4675" s="23"/>
      <c r="I4675" s="23"/>
      <c r="J4675" s="23"/>
      <c r="K4675" s="23"/>
      <c r="L4675" s="375" t="s">
        <v>7787</v>
      </c>
      <c r="M4675" s="351" t="s">
        <v>7787</v>
      </c>
      <c r="N4675" s="267">
        <f t="shared" ref="N4675" si="1732">SUM(L4675:M4675)</f>
        <v>0</v>
      </c>
      <c r="O4675" s="268">
        <f t="shared" ref="O4675" si="1733">SUM(P4675:Z4675)</f>
        <v>0</v>
      </c>
      <c r="P4675" s="239"/>
      <c r="Q4675" s="239"/>
      <c r="R4675" s="244"/>
      <c r="S4675" s="239"/>
      <c r="T4675" s="239"/>
      <c r="U4675" s="240"/>
      <c r="V4675" s="240"/>
      <c r="W4675" s="240"/>
      <c r="X4675" s="278"/>
      <c r="Y4675" s="244"/>
      <c r="Z4675" s="237"/>
      <c r="AA4675" s="279"/>
      <c r="AB4675" s="238"/>
      <c r="AC4675" s="196">
        <f t="shared" si="1717"/>
        <v>0</v>
      </c>
      <c r="AD4675" s="196">
        <f t="shared" si="1718"/>
        <v>0</v>
      </c>
      <c r="AE4675" s="196">
        <f t="shared" si="1719"/>
        <v>0</v>
      </c>
      <c r="AF4675" s="2">
        <f t="shared" si="1720"/>
        <v>0</v>
      </c>
      <c r="AG4675" s="2">
        <f t="shared" si="1721"/>
        <v>0</v>
      </c>
    </row>
    <row r="4676" spans="1:33">
      <c r="A4676" s="20" t="s">
        <v>23915</v>
      </c>
      <c r="B4676" s="150"/>
      <c r="C4676" s="21" t="s">
        <v>23959</v>
      </c>
      <c r="D4676" s="109" t="s">
        <v>9855</v>
      </c>
      <c r="E4676" s="109"/>
      <c r="F4676" s="391" t="s">
        <v>23970</v>
      </c>
      <c r="G4676" s="23" t="s">
        <v>13888</v>
      </c>
      <c r="H4676" s="23"/>
      <c r="I4676" s="23"/>
      <c r="J4676" s="23"/>
      <c r="K4676" s="23"/>
      <c r="L4676" s="375" t="s">
        <v>7787</v>
      </c>
      <c r="M4676" s="351"/>
      <c r="N4676" s="267">
        <f t="shared" si="1728"/>
        <v>0</v>
      </c>
      <c r="O4676" s="268">
        <f t="shared" si="1729"/>
        <v>0</v>
      </c>
      <c r="P4676" s="239"/>
      <c r="Q4676" s="244"/>
      <c r="R4676" s="244"/>
      <c r="S4676" s="239"/>
      <c r="T4676" s="239"/>
      <c r="U4676" s="240"/>
      <c r="V4676" s="240"/>
      <c r="W4676" s="240"/>
      <c r="X4676" s="278"/>
      <c r="Y4676" s="239"/>
      <c r="Z4676" s="237"/>
      <c r="AA4676" s="279"/>
      <c r="AB4676" s="238"/>
      <c r="AC4676" s="196">
        <f t="shared" si="1717"/>
        <v>0</v>
      </c>
      <c r="AD4676" s="196">
        <f t="shared" si="1718"/>
        <v>0</v>
      </c>
      <c r="AE4676" s="196">
        <f t="shared" si="1719"/>
        <v>0</v>
      </c>
      <c r="AF4676" s="2">
        <f t="shared" si="1720"/>
        <v>0</v>
      </c>
      <c r="AG4676" s="2">
        <f t="shared" si="1721"/>
        <v>0</v>
      </c>
    </row>
    <row r="4677" spans="1:33">
      <c r="A4677" s="20" t="s">
        <v>24132</v>
      </c>
      <c r="B4677" s="150"/>
      <c r="C4677" s="21" t="s">
        <v>24123</v>
      </c>
      <c r="D4677" s="109" t="s">
        <v>3096</v>
      </c>
      <c r="E4677" s="109" t="s">
        <v>24157</v>
      </c>
      <c r="F4677" s="391" t="s">
        <v>24145</v>
      </c>
      <c r="G4677" s="23" t="s">
        <v>13899</v>
      </c>
      <c r="H4677" s="23"/>
      <c r="I4677" s="23"/>
      <c r="J4677" s="23"/>
      <c r="K4677" s="23"/>
      <c r="L4677" s="375"/>
      <c r="M4677" s="351" t="s">
        <v>7787</v>
      </c>
      <c r="N4677" s="267">
        <f t="shared" si="1728"/>
        <v>0</v>
      </c>
      <c r="O4677" s="268">
        <f t="shared" si="1729"/>
        <v>0</v>
      </c>
      <c r="P4677" s="239"/>
      <c r="Q4677" s="244"/>
      <c r="R4677" s="244"/>
      <c r="S4677" s="239"/>
      <c r="T4677" s="239"/>
      <c r="U4677" s="240"/>
      <c r="V4677" s="240"/>
      <c r="W4677" s="240"/>
      <c r="X4677" s="278"/>
      <c r="Y4677" s="239"/>
      <c r="Z4677" s="237"/>
      <c r="AA4677" s="279"/>
      <c r="AB4677" s="238"/>
      <c r="AC4677" s="196">
        <f t="shared" si="1717"/>
        <v>0</v>
      </c>
      <c r="AD4677" s="196">
        <f t="shared" si="1718"/>
        <v>0</v>
      </c>
      <c r="AE4677" s="196">
        <f t="shared" si="1719"/>
        <v>0</v>
      </c>
      <c r="AF4677" s="2">
        <f t="shared" si="1720"/>
        <v>0</v>
      </c>
      <c r="AG4677" s="2">
        <f t="shared" si="1721"/>
        <v>0</v>
      </c>
    </row>
    <row r="4678" spans="1:33">
      <c r="A4678" s="20" t="s">
        <v>24844</v>
      </c>
      <c r="B4678" s="150"/>
      <c r="C4678" s="21" t="s">
        <v>24123</v>
      </c>
      <c r="D4678" s="109" t="s">
        <v>8376</v>
      </c>
      <c r="E4678" s="109" t="s">
        <v>24878</v>
      </c>
      <c r="F4678" s="391" t="s">
        <v>24145</v>
      </c>
      <c r="G4678" s="23" t="s">
        <v>21185</v>
      </c>
      <c r="H4678" s="23"/>
      <c r="I4678" s="23"/>
      <c r="J4678" s="23"/>
      <c r="K4678" s="23"/>
      <c r="L4678" s="375"/>
      <c r="M4678" s="351"/>
      <c r="N4678" s="267">
        <f t="shared" ref="N4678:N4679" si="1734">SUM(L4678:M4678)</f>
        <v>0</v>
      </c>
      <c r="O4678" s="268">
        <f t="shared" ref="O4678:O4679" si="1735">SUM(P4678:Z4678)</f>
        <v>0</v>
      </c>
      <c r="P4678" s="239"/>
      <c r="Q4678" s="244"/>
      <c r="R4678" s="244"/>
      <c r="S4678" s="239"/>
      <c r="T4678" s="239"/>
      <c r="U4678" s="240"/>
      <c r="V4678" s="240"/>
      <c r="W4678" s="240"/>
      <c r="X4678" s="278"/>
      <c r="Y4678" s="239"/>
      <c r="Z4678" s="237"/>
      <c r="AA4678" s="279"/>
      <c r="AB4678" s="238"/>
      <c r="AC4678" s="196">
        <f t="shared" si="1717"/>
        <v>0</v>
      </c>
      <c r="AD4678" s="196">
        <f t="shared" si="1718"/>
        <v>0</v>
      </c>
      <c r="AE4678" s="196">
        <f t="shared" si="1719"/>
        <v>0</v>
      </c>
      <c r="AF4678" s="2">
        <f t="shared" si="1720"/>
        <v>0</v>
      </c>
      <c r="AG4678" s="2">
        <f t="shared" si="1721"/>
        <v>0</v>
      </c>
    </row>
    <row r="4679" spans="1:33">
      <c r="A4679" s="20" t="s">
        <v>24845</v>
      </c>
      <c r="B4679" s="150"/>
      <c r="C4679" s="21" t="s">
        <v>24123</v>
      </c>
      <c r="D4679" s="109" t="s">
        <v>8376</v>
      </c>
      <c r="E4679" s="109" t="s">
        <v>24879</v>
      </c>
      <c r="F4679" s="391" t="s">
        <v>24145</v>
      </c>
      <c r="G4679" s="23" t="s">
        <v>21185</v>
      </c>
      <c r="H4679" s="23"/>
      <c r="I4679" s="23"/>
      <c r="J4679" s="23"/>
      <c r="K4679" s="23"/>
      <c r="L4679" s="375"/>
      <c r="M4679" s="351"/>
      <c r="N4679" s="267">
        <f t="shared" si="1734"/>
        <v>0</v>
      </c>
      <c r="O4679" s="268">
        <f t="shared" si="1735"/>
        <v>0</v>
      </c>
      <c r="P4679" s="239"/>
      <c r="Q4679" s="244"/>
      <c r="R4679" s="244"/>
      <c r="S4679" s="239"/>
      <c r="T4679" s="239"/>
      <c r="U4679" s="240"/>
      <c r="V4679" s="240"/>
      <c r="W4679" s="240"/>
      <c r="X4679" s="278"/>
      <c r="Y4679" s="239"/>
      <c r="Z4679" s="237"/>
      <c r="AA4679" s="279"/>
      <c r="AB4679" s="238"/>
      <c r="AC4679" s="196">
        <f t="shared" si="1717"/>
        <v>0</v>
      </c>
      <c r="AD4679" s="196">
        <f t="shared" si="1718"/>
        <v>0</v>
      </c>
      <c r="AE4679" s="196">
        <f t="shared" si="1719"/>
        <v>0</v>
      </c>
      <c r="AF4679" s="2">
        <f t="shared" si="1720"/>
        <v>0</v>
      </c>
      <c r="AG4679" s="2">
        <f t="shared" si="1721"/>
        <v>0</v>
      </c>
    </row>
    <row r="4680" spans="1:33">
      <c r="A4680" s="20" t="s">
        <v>24133</v>
      </c>
      <c r="B4680" s="150"/>
      <c r="C4680" s="21" t="s">
        <v>24124</v>
      </c>
      <c r="D4680" s="109" t="s">
        <v>3096</v>
      </c>
      <c r="E4680" s="109" t="s">
        <v>25362</v>
      </c>
      <c r="F4680" s="391" t="s">
        <v>24146</v>
      </c>
      <c r="G4680" s="23" t="s">
        <v>24148</v>
      </c>
      <c r="H4680" s="23" t="s">
        <v>24974</v>
      </c>
      <c r="I4680" s="23"/>
      <c r="J4680" s="23"/>
      <c r="K4680" s="23"/>
      <c r="L4680" s="375" t="s">
        <v>45</v>
      </c>
      <c r="M4680" s="351"/>
      <c r="N4680" s="267">
        <f t="shared" ref="N4680" si="1736">SUM(L4680:M4680)</f>
        <v>0</v>
      </c>
      <c r="O4680" s="268">
        <f t="shared" ref="O4680" si="1737">SUM(P4680:Z4680)</f>
        <v>0</v>
      </c>
      <c r="P4680" s="239"/>
      <c r="Q4680" s="244"/>
      <c r="R4680" s="244"/>
      <c r="S4680" s="244"/>
      <c r="T4680" s="244"/>
      <c r="U4680" s="240"/>
      <c r="V4680" s="240"/>
      <c r="W4680" s="240"/>
      <c r="X4680" s="278"/>
      <c r="Y4680" s="239"/>
      <c r="Z4680" s="237"/>
      <c r="AA4680" s="279"/>
      <c r="AB4680" s="238"/>
      <c r="AC4680" s="196">
        <f t="shared" si="1717"/>
        <v>0</v>
      </c>
      <c r="AD4680" s="196">
        <f t="shared" si="1718"/>
        <v>0</v>
      </c>
      <c r="AE4680" s="196">
        <f t="shared" si="1719"/>
        <v>0</v>
      </c>
      <c r="AF4680" s="2">
        <f t="shared" si="1720"/>
        <v>0</v>
      </c>
      <c r="AG4680" s="2">
        <f t="shared" si="1721"/>
        <v>0</v>
      </c>
    </row>
    <row r="4681" spans="1:33">
      <c r="A4681" s="20" t="s">
        <v>26402</v>
      </c>
      <c r="B4681" s="150"/>
      <c r="C4681" s="21" t="s">
        <v>25413</v>
      </c>
      <c r="D4681" s="109" t="s">
        <v>4059</v>
      </c>
      <c r="E4681" s="109" t="s">
        <v>26164</v>
      </c>
      <c r="F4681" s="391" t="s">
        <v>25414</v>
      </c>
      <c r="G4681" s="23" t="s">
        <v>25415</v>
      </c>
      <c r="H4681" s="23" t="s">
        <v>25416</v>
      </c>
      <c r="I4681" s="23" t="s">
        <v>25393</v>
      </c>
      <c r="J4681" s="23" t="s">
        <v>26133</v>
      </c>
      <c r="K4681" s="23"/>
      <c r="L4681" s="375"/>
      <c r="M4681" s="351" t="s">
        <v>7787</v>
      </c>
      <c r="N4681" s="267">
        <f t="shared" ref="N4681" si="1738">SUM(L4681:M4681)</f>
        <v>0</v>
      </c>
      <c r="O4681" s="268">
        <f t="shared" ref="O4681" si="1739">SUM(P4681:Z4681)</f>
        <v>240</v>
      </c>
      <c r="P4681" s="239">
        <f>300-60</f>
        <v>240</v>
      </c>
      <c r="Q4681" s="244"/>
      <c r="R4681" s="244"/>
      <c r="S4681" s="244"/>
      <c r="T4681" s="244"/>
      <c r="U4681" s="240"/>
      <c r="V4681" s="240"/>
      <c r="W4681" s="240"/>
      <c r="X4681" s="278"/>
      <c r="Y4681" s="239"/>
      <c r="Z4681" s="237"/>
      <c r="AA4681" s="279"/>
      <c r="AB4681" s="238"/>
      <c r="AC4681" s="196">
        <f t="shared" si="1717"/>
        <v>240</v>
      </c>
      <c r="AD4681" s="196">
        <f t="shared" si="1718"/>
        <v>240</v>
      </c>
      <c r="AE4681" s="196">
        <f t="shared" si="1719"/>
        <v>0</v>
      </c>
      <c r="AF4681" s="2">
        <f t="shared" si="1720"/>
        <v>240</v>
      </c>
      <c r="AG4681" s="2">
        <f t="shared" si="1721"/>
        <v>0</v>
      </c>
    </row>
    <row r="4682" spans="1:33">
      <c r="A4682" s="20" t="s">
        <v>24840</v>
      </c>
      <c r="B4682" s="150"/>
      <c r="C4682" s="21" t="s">
        <v>24124</v>
      </c>
      <c r="D4682" s="109" t="s">
        <v>9855</v>
      </c>
      <c r="E4682" s="109" t="s">
        <v>3117</v>
      </c>
      <c r="F4682" s="391" t="s">
        <v>24146</v>
      </c>
      <c r="G4682" s="23" t="s">
        <v>13629</v>
      </c>
      <c r="H4682" s="23"/>
      <c r="I4682" s="23"/>
      <c r="J4682" s="23"/>
      <c r="K4682" s="23"/>
      <c r="L4682" s="375" t="s">
        <v>7787</v>
      </c>
      <c r="M4682" s="351">
        <v>120</v>
      </c>
      <c r="N4682" s="267">
        <f t="shared" ref="N4682:N4692" si="1740">SUM(L4682:M4682)</f>
        <v>120</v>
      </c>
      <c r="O4682" s="268">
        <f t="shared" ref="O4682:O4692" si="1741">SUM(P4682:Z4682)</f>
        <v>0</v>
      </c>
      <c r="P4682" s="239"/>
      <c r="Q4682" s="244"/>
      <c r="R4682" s="244"/>
      <c r="S4682" s="244"/>
      <c r="T4682" s="239"/>
      <c r="U4682" s="240"/>
      <c r="V4682" s="240"/>
      <c r="W4682" s="240"/>
      <c r="X4682" s="278"/>
      <c r="Y4682" s="239"/>
      <c r="Z4682" s="237"/>
      <c r="AA4682" s="279"/>
      <c r="AB4682" s="238"/>
      <c r="AC4682" s="196">
        <f t="shared" si="1717"/>
        <v>0</v>
      </c>
      <c r="AD4682" s="196">
        <f t="shared" si="1718"/>
        <v>0</v>
      </c>
      <c r="AE4682" s="196">
        <f t="shared" si="1719"/>
        <v>0</v>
      </c>
      <c r="AF4682" s="2">
        <f t="shared" si="1720"/>
        <v>0</v>
      </c>
      <c r="AG4682" s="2">
        <f t="shared" si="1721"/>
        <v>0</v>
      </c>
    </row>
    <row r="4683" spans="1:33">
      <c r="A4683" s="20" t="s">
        <v>26401</v>
      </c>
      <c r="B4683" s="150"/>
      <c r="C4683" s="21" t="s">
        <v>24124</v>
      </c>
      <c r="D4683" s="109" t="s">
        <v>8376</v>
      </c>
      <c r="E4683" s="109" t="s">
        <v>25806</v>
      </c>
      <c r="F4683" s="391" t="s">
        <v>24146</v>
      </c>
      <c r="G4683" s="23" t="s">
        <v>13629</v>
      </c>
      <c r="H4683" s="23"/>
      <c r="I4683" s="23"/>
      <c r="J4683" s="23"/>
      <c r="K4683" s="23"/>
      <c r="L4683" s="375" t="s">
        <v>45</v>
      </c>
      <c r="M4683" s="351" t="s">
        <v>45</v>
      </c>
      <c r="N4683" s="267">
        <f t="shared" ref="N4683" si="1742">SUM(L4683:M4683)</f>
        <v>0</v>
      </c>
      <c r="O4683" s="268">
        <f t="shared" ref="O4683" si="1743">SUM(P4683:Z4683)</f>
        <v>0</v>
      </c>
      <c r="P4683" s="239"/>
      <c r="Q4683" s="244"/>
      <c r="R4683" s="244"/>
      <c r="S4683" s="244"/>
      <c r="T4683" s="244"/>
      <c r="U4683" s="240"/>
      <c r="V4683" s="240"/>
      <c r="W4683" s="240"/>
      <c r="X4683" s="278"/>
      <c r="Y4683" s="239"/>
      <c r="Z4683" s="237"/>
      <c r="AA4683" s="279"/>
      <c r="AB4683" s="238"/>
      <c r="AC4683" s="196">
        <f t="shared" si="1717"/>
        <v>0</v>
      </c>
      <c r="AD4683" s="196">
        <f t="shared" si="1718"/>
        <v>0</v>
      </c>
      <c r="AE4683" s="196">
        <f t="shared" si="1719"/>
        <v>0</v>
      </c>
      <c r="AF4683" s="2">
        <f t="shared" si="1720"/>
        <v>0</v>
      </c>
      <c r="AG4683" s="2">
        <f t="shared" si="1721"/>
        <v>0</v>
      </c>
    </row>
    <row r="4684" spans="1:33">
      <c r="A4684" s="20" t="s">
        <v>24841</v>
      </c>
      <c r="B4684" s="150"/>
      <c r="C4684" s="21" t="s">
        <v>24124</v>
      </c>
      <c r="D4684" s="109" t="s">
        <v>8376</v>
      </c>
      <c r="E4684" s="109" t="s">
        <v>25801</v>
      </c>
      <c r="F4684" s="391" t="s">
        <v>24146</v>
      </c>
      <c r="G4684" s="23" t="s">
        <v>13629</v>
      </c>
      <c r="H4684" s="23"/>
      <c r="I4684" s="23"/>
      <c r="J4684" s="23"/>
      <c r="K4684" s="23"/>
      <c r="L4684" s="375" t="s">
        <v>45</v>
      </c>
      <c r="M4684" s="351" t="s">
        <v>45</v>
      </c>
      <c r="N4684" s="267">
        <f t="shared" si="1740"/>
        <v>0</v>
      </c>
      <c r="O4684" s="268">
        <f t="shared" si="1741"/>
        <v>0</v>
      </c>
      <c r="P4684" s="239"/>
      <c r="Q4684" s="244"/>
      <c r="R4684" s="244"/>
      <c r="S4684" s="244"/>
      <c r="T4684" s="239"/>
      <c r="U4684" s="240"/>
      <c r="V4684" s="240"/>
      <c r="W4684" s="240"/>
      <c r="X4684" s="278"/>
      <c r="Y4684" s="239"/>
      <c r="Z4684" s="237"/>
      <c r="AA4684" s="279"/>
      <c r="AB4684" s="238"/>
      <c r="AC4684" s="196">
        <f t="shared" si="1717"/>
        <v>0</v>
      </c>
      <c r="AD4684" s="196">
        <f t="shared" si="1718"/>
        <v>0</v>
      </c>
      <c r="AE4684" s="196">
        <f t="shared" si="1719"/>
        <v>0</v>
      </c>
      <c r="AF4684" s="2">
        <f t="shared" si="1720"/>
        <v>0</v>
      </c>
      <c r="AG4684" s="2">
        <f t="shared" si="1721"/>
        <v>0</v>
      </c>
    </row>
    <row r="4685" spans="1:33">
      <c r="A4685" s="20" t="s">
        <v>26400</v>
      </c>
      <c r="B4685" s="150"/>
      <c r="C4685" s="21" t="s">
        <v>25413</v>
      </c>
      <c r="D4685" s="109" t="s">
        <v>25972</v>
      </c>
      <c r="E4685" s="109" t="s">
        <v>25974</v>
      </c>
      <c r="F4685" s="391" t="s">
        <v>25414</v>
      </c>
      <c r="G4685" s="23" t="s">
        <v>25973</v>
      </c>
      <c r="H4685" s="23"/>
      <c r="I4685" s="23"/>
      <c r="J4685" s="23"/>
      <c r="K4685" s="23"/>
      <c r="L4685" s="375" t="s">
        <v>7787</v>
      </c>
      <c r="M4685" s="351" t="s">
        <v>7787</v>
      </c>
      <c r="N4685" s="267">
        <f t="shared" ref="N4685" si="1744">SUM(L4685:M4685)</f>
        <v>0</v>
      </c>
      <c r="O4685" s="268">
        <f t="shared" ref="O4685" si="1745">SUM(P4685:Z4685)</f>
        <v>330</v>
      </c>
      <c r="P4685" s="244">
        <f>900-570</f>
        <v>330</v>
      </c>
      <c r="Q4685" s="244"/>
      <c r="R4685" s="244"/>
      <c r="S4685" s="244"/>
      <c r="T4685" s="239"/>
      <c r="U4685" s="240"/>
      <c r="V4685" s="240"/>
      <c r="W4685" s="240"/>
      <c r="X4685" s="278"/>
      <c r="Y4685" s="239"/>
      <c r="Z4685" s="237"/>
      <c r="AA4685" s="279"/>
      <c r="AB4685" s="238" t="s">
        <v>26003</v>
      </c>
      <c r="AC4685" s="196">
        <f t="shared" si="1717"/>
        <v>330</v>
      </c>
      <c r="AD4685" s="196">
        <f t="shared" si="1718"/>
        <v>330</v>
      </c>
      <c r="AE4685" s="196">
        <f t="shared" si="1719"/>
        <v>0</v>
      </c>
      <c r="AF4685" s="2">
        <f t="shared" si="1720"/>
        <v>330</v>
      </c>
      <c r="AG4685" s="2">
        <f t="shared" si="1721"/>
        <v>0</v>
      </c>
    </row>
    <row r="4686" spans="1:33">
      <c r="A4686" s="20" t="s">
        <v>24136</v>
      </c>
      <c r="B4686" s="150"/>
      <c r="C4686" s="21" t="s">
        <v>24179</v>
      </c>
      <c r="D4686" s="109" t="s">
        <v>3096</v>
      </c>
      <c r="E4686" s="109" t="s">
        <v>25363</v>
      </c>
      <c r="F4686" s="391" t="s">
        <v>24146</v>
      </c>
      <c r="G4686" s="23" t="s">
        <v>13899</v>
      </c>
      <c r="H4686" s="23" t="s">
        <v>24974</v>
      </c>
      <c r="I4686" s="23" t="s">
        <v>25393</v>
      </c>
      <c r="J4686" s="23"/>
      <c r="K4686" s="23"/>
      <c r="L4686" s="375"/>
      <c r="M4686" s="351" t="s">
        <v>7787</v>
      </c>
      <c r="N4686" s="267">
        <f t="shared" si="1740"/>
        <v>0</v>
      </c>
      <c r="O4686" s="268">
        <f t="shared" si="1741"/>
        <v>0</v>
      </c>
      <c r="P4686" s="239"/>
      <c r="Q4686" s="244"/>
      <c r="R4686" s="244"/>
      <c r="S4686" s="244"/>
      <c r="T4686" s="239"/>
      <c r="U4686" s="240"/>
      <c r="V4686" s="240"/>
      <c r="W4686" s="240"/>
      <c r="X4686" s="278"/>
      <c r="Y4686" s="239"/>
      <c r="Z4686" s="237"/>
      <c r="AA4686" s="279"/>
      <c r="AB4686" s="238"/>
      <c r="AC4686" s="196">
        <f t="shared" si="1717"/>
        <v>0</v>
      </c>
      <c r="AD4686" s="196">
        <f t="shared" si="1718"/>
        <v>0</v>
      </c>
      <c r="AE4686" s="196">
        <f t="shared" si="1719"/>
        <v>0</v>
      </c>
      <c r="AF4686" s="2">
        <f t="shared" si="1720"/>
        <v>0</v>
      </c>
      <c r="AG4686" s="2">
        <f t="shared" si="1721"/>
        <v>0</v>
      </c>
    </row>
    <row r="4687" spans="1:33">
      <c r="A4687" s="20" t="s">
        <v>26398</v>
      </c>
      <c r="B4687" s="150"/>
      <c r="C4687" s="21" t="s">
        <v>24179</v>
      </c>
      <c r="D4687" s="109" t="s">
        <v>4059</v>
      </c>
      <c r="E4687" s="109" t="s">
        <v>25770</v>
      </c>
      <c r="F4687" s="391" t="s">
        <v>25414</v>
      </c>
      <c r="G4687" s="23" t="s">
        <v>25415</v>
      </c>
      <c r="H4687" s="23" t="s">
        <v>25416</v>
      </c>
      <c r="I4687" s="23" t="s">
        <v>25769</v>
      </c>
      <c r="J4687" s="23" t="s">
        <v>26133</v>
      </c>
      <c r="K4687" s="23"/>
      <c r="L4687" s="375"/>
      <c r="M4687" s="351" t="s">
        <v>7787</v>
      </c>
      <c r="N4687" s="267">
        <f t="shared" ref="N4687" si="1746">SUM(L4687:M4687)</f>
        <v>0</v>
      </c>
      <c r="O4687" s="268">
        <f t="shared" ref="O4687" si="1747">SUM(P4687:Z4687)</f>
        <v>300</v>
      </c>
      <c r="P4687" s="239">
        <f>270-60</f>
        <v>210</v>
      </c>
      <c r="Q4687" s="244"/>
      <c r="R4687" s="244">
        <f>2880-2790</f>
        <v>90</v>
      </c>
      <c r="S4687" s="244"/>
      <c r="T4687" s="239"/>
      <c r="U4687" s="240"/>
      <c r="V4687" s="240"/>
      <c r="W4687" s="240"/>
      <c r="X4687" s="278"/>
      <c r="Y4687" s="239"/>
      <c r="Z4687" s="237"/>
      <c r="AA4687" s="279"/>
      <c r="AB4687" s="238" t="s">
        <v>26165</v>
      </c>
      <c r="AC4687" s="196">
        <f t="shared" si="1717"/>
        <v>300</v>
      </c>
      <c r="AD4687" s="196">
        <f t="shared" si="1718"/>
        <v>300</v>
      </c>
      <c r="AE4687" s="196">
        <f t="shared" si="1719"/>
        <v>0</v>
      </c>
      <c r="AF4687" s="2">
        <f t="shared" si="1720"/>
        <v>300</v>
      </c>
      <c r="AG4687" s="2">
        <f t="shared" si="1721"/>
        <v>0</v>
      </c>
    </row>
    <row r="4688" spans="1:33">
      <c r="A4688" s="20" t="s">
        <v>26399</v>
      </c>
      <c r="B4688" s="150"/>
      <c r="C4688" s="21" t="s">
        <v>24179</v>
      </c>
      <c r="D4688" s="109" t="s">
        <v>9855</v>
      </c>
      <c r="E4688" s="109" t="s">
        <v>25361</v>
      </c>
      <c r="F4688" s="391" t="s">
        <v>24146</v>
      </c>
      <c r="G4688" s="23" t="s">
        <v>13629</v>
      </c>
      <c r="H4688" s="23"/>
      <c r="I4688" s="23"/>
      <c r="J4688" s="23"/>
      <c r="K4688" s="23"/>
      <c r="L4688" s="375" t="s">
        <v>45</v>
      </c>
      <c r="M4688" s="351">
        <v>90</v>
      </c>
      <c r="N4688" s="267">
        <f t="shared" ref="N4688" si="1748">SUM(L4688:M4688)</f>
        <v>90</v>
      </c>
      <c r="O4688" s="268">
        <f t="shared" ref="O4688" si="1749">SUM(P4688:Z4688)</f>
        <v>0</v>
      </c>
      <c r="P4688" s="239"/>
      <c r="Q4688" s="244"/>
      <c r="R4688" s="244"/>
      <c r="S4688" s="244"/>
      <c r="T4688" s="239"/>
      <c r="U4688" s="240"/>
      <c r="V4688" s="240"/>
      <c r="W4688" s="240"/>
      <c r="X4688" s="278"/>
      <c r="Y4688" s="239"/>
      <c r="Z4688" s="237"/>
      <c r="AA4688" s="279"/>
      <c r="AB4688" s="238"/>
      <c r="AC4688" s="196">
        <f t="shared" si="1717"/>
        <v>0</v>
      </c>
      <c r="AD4688" s="196">
        <f t="shared" si="1718"/>
        <v>0</v>
      </c>
      <c r="AE4688" s="196">
        <f t="shared" si="1719"/>
        <v>0</v>
      </c>
      <c r="AF4688" s="2">
        <f t="shared" si="1720"/>
        <v>0</v>
      </c>
      <c r="AG4688" s="2">
        <f t="shared" si="1721"/>
        <v>0</v>
      </c>
    </row>
    <row r="4689" spans="1:33">
      <c r="A4689" s="20" t="s">
        <v>24842</v>
      </c>
      <c r="B4689" s="150"/>
      <c r="C4689" s="21" t="s">
        <v>24179</v>
      </c>
      <c r="D4689" s="109" t="s">
        <v>9855</v>
      </c>
      <c r="E4689" s="109" t="s">
        <v>3117</v>
      </c>
      <c r="F4689" s="391" t="s">
        <v>24146</v>
      </c>
      <c r="G4689" s="23" t="s">
        <v>13629</v>
      </c>
      <c r="H4689" s="23"/>
      <c r="I4689" s="23"/>
      <c r="J4689" s="23"/>
      <c r="K4689" s="23"/>
      <c r="L4689" s="375"/>
      <c r="M4689" s="351"/>
      <c r="N4689" s="267">
        <f t="shared" si="1740"/>
        <v>0</v>
      </c>
      <c r="O4689" s="268">
        <f t="shared" si="1741"/>
        <v>0</v>
      </c>
      <c r="P4689" s="239"/>
      <c r="Q4689" s="244"/>
      <c r="R4689" s="244"/>
      <c r="S4689" s="244"/>
      <c r="T4689" s="239"/>
      <c r="U4689" s="240"/>
      <c r="V4689" s="240"/>
      <c r="W4689" s="240"/>
      <c r="X4689" s="278"/>
      <c r="Y4689" s="239"/>
      <c r="Z4689" s="237"/>
      <c r="AA4689" s="279"/>
      <c r="AB4689" s="238"/>
      <c r="AC4689" s="196">
        <f t="shared" si="1717"/>
        <v>0</v>
      </c>
      <c r="AD4689" s="196">
        <f t="shared" si="1718"/>
        <v>0</v>
      </c>
      <c r="AE4689" s="196">
        <f t="shared" si="1719"/>
        <v>0</v>
      </c>
      <c r="AF4689" s="2">
        <f t="shared" si="1720"/>
        <v>0</v>
      </c>
      <c r="AG4689" s="2">
        <f t="shared" si="1721"/>
        <v>0</v>
      </c>
    </row>
    <row r="4690" spans="1:33">
      <c r="A4690" s="20" t="s">
        <v>26397</v>
      </c>
      <c r="B4690" s="150"/>
      <c r="C4690" s="21" t="s">
        <v>24179</v>
      </c>
      <c r="D4690" s="109" t="s">
        <v>8376</v>
      </c>
      <c r="E4690" s="109" t="s">
        <v>25806</v>
      </c>
      <c r="F4690" s="391" t="s">
        <v>24146</v>
      </c>
      <c r="G4690" s="23" t="s">
        <v>13629</v>
      </c>
      <c r="H4690" s="23"/>
      <c r="I4690" s="23"/>
      <c r="J4690" s="23"/>
      <c r="K4690" s="23"/>
      <c r="L4690" s="375" t="s">
        <v>45</v>
      </c>
      <c r="M4690" s="351" t="s">
        <v>45</v>
      </c>
      <c r="N4690" s="267">
        <f t="shared" ref="N4690" si="1750">SUM(L4690:M4690)</f>
        <v>0</v>
      </c>
      <c r="O4690" s="268">
        <f t="shared" ref="O4690" si="1751">SUM(P4690:Z4690)</f>
        <v>0</v>
      </c>
      <c r="P4690" s="239"/>
      <c r="Q4690" s="244"/>
      <c r="R4690" s="244"/>
      <c r="S4690" s="244"/>
      <c r="T4690" s="244"/>
      <c r="U4690" s="240"/>
      <c r="V4690" s="240"/>
      <c r="W4690" s="240"/>
      <c r="X4690" s="278"/>
      <c r="Y4690" s="239"/>
      <c r="Z4690" s="237"/>
      <c r="AA4690" s="279"/>
      <c r="AB4690" s="238"/>
      <c r="AC4690" s="196">
        <f t="shared" si="1717"/>
        <v>0</v>
      </c>
      <c r="AD4690" s="196">
        <f t="shared" si="1718"/>
        <v>0</v>
      </c>
      <c r="AE4690" s="196">
        <f t="shared" si="1719"/>
        <v>0</v>
      </c>
      <c r="AF4690" s="2">
        <f t="shared" si="1720"/>
        <v>0</v>
      </c>
      <c r="AG4690" s="2">
        <f t="shared" si="1721"/>
        <v>0</v>
      </c>
    </row>
    <row r="4691" spans="1:33">
      <c r="A4691" s="20" t="s">
        <v>24843</v>
      </c>
      <c r="B4691" s="150"/>
      <c r="C4691" s="21" t="s">
        <v>24179</v>
      </c>
      <c r="D4691" s="109" t="s">
        <v>8376</v>
      </c>
      <c r="E4691" s="109" t="s">
        <v>25801</v>
      </c>
      <c r="F4691" s="391" t="s">
        <v>24146</v>
      </c>
      <c r="G4691" s="23" t="s">
        <v>13629</v>
      </c>
      <c r="H4691" s="23"/>
      <c r="I4691" s="23"/>
      <c r="J4691" s="23"/>
      <c r="K4691" s="23"/>
      <c r="L4691" s="375" t="s">
        <v>45</v>
      </c>
      <c r="M4691" s="351">
        <v>90</v>
      </c>
      <c r="N4691" s="267">
        <f t="shared" si="1740"/>
        <v>90</v>
      </c>
      <c r="O4691" s="268">
        <f t="shared" si="1741"/>
        <v>0</v>
      </c>
      <c r="P4691" s="239"/>
      <c r="Q4691" s="244"/>
      <c r="R4691" s="244"/>
      <c r="S4691" s="244"/>
      <c r="T4691" s="239"/>
      <c r="U4691" s="240"/>
      <c r="V4691" s="240"/>
      <c r="W4691" s="240"/>
      <c r="X4691" s="278"/>
      <c r="Y4691" s="239"/>
      <c r="Z4691" s="237"/>
      <c r="AA4691" s="279"/>
      <c r="AB4691" s="238"/>
      <c r="AC4691" s="196">
        <f t="shared" si="1717"/>
        <v>0</v>
      </c>
      <c r="AD4691" s="196">
        <f t="shared" si="1718"/>
        <v>0</v>
      </c>
      <c r="AE4691" s="196">
        <f t="shared" si="1719"/>
        <v>0</v>
      </c>
      <c r="AF4691" s="2">
        <f t="shared" si="1720"/>
        <v>0</v>
      </c>
      <c r="AG4691" s="2">
        <f t="shared" si="1721"/>
        <v>0</v>
      </c>
    </row>
    <row r="4692" spans="1:33">
      <c r="A4692" s="20" t="s">
        <v>24197</v>
      </c>
      <c r="B4692" s="150"/>
      <c r="C4692" s="21" t="s">
        <v>24231</v>
      </c>
      <c r="D4692" s="109" t="s">
        <v>9855</v>
      </c>
      <c r="E4692" s="109"/>
      <c r="F4692" s="391" t="s">
        <v>24232</v>
      </c>
      <c r="G4692" s="23" t="s">
        <v>13231</v>
      </c>
      <c r="H4692" s="23" t="s">
        <v>24292</v>
      </c>
      <c r="I4692" s="23" t="s">
        <v>24306</v>
      </c>
      <c r="J4692" s="23"/>
      <c r="K4692" s="23"/>
      <c r="L4692" s="375" t="s">
        <v>27991</v>
      </c>
      <c r="M4692" s="351"/>
      <c r="N4692" s="267">
        <f t="shared" si="1740"/>
        <v>0</v>
      </c>
      <c r="O4692" s="268">
        <f t="shared" si="1741"/>
        <v>750</v>
      </c>
      <c r="P4692" s="239"/>
      <c r="Q4692" s="244"/>
      <c r="R4692" s="244"/>
      <c r="S4692" s="244"/>
      <c r="T4692" s="239"/>
      <c r="U4692" s="240">
        <f>560-500+590-60-440+600</f>
        <v>750</v>
      </c>
      <c r="V4692" s="240"/>
      <c r="W4692" s="240"/>
      <c r="X4692" s="278"/>
      <c r="Y4692" s="239"/>
      <c r="Z4692" s="237"/>
      <c r="AA4692" s="240"/>
      <c r="AB4692" s="238" t="s">
        <v>28013</v>
      </c>
      <c r="AC4692" s="196">
        <f t="shared" si="1717"/>
        <v>750</v>
      </c>
      <c r="AD4692" s="196">
        <f t="shared" si="1718"/>
        <v>750</v>
      </c>
      <c r="AE4692" s="196">
        <f t="shared" si="1719"/>
        <v>0</v>
      </c>
      <c r="AF4692" s="2">
        <f t="shared" si="1720"/>
        <v>750</v>
      </c>
      <c r="AG4692" s="2">
        <f t="shared" si="1721"/>
        <v>0</v>
      </c>
    </row>
    <row r="4693" spans="1:33">
      <c r="A4693" s="20" t="s">
        <v>24261</v>
      </c>
      <c r="B4693" s="150"/>
      <c r="C4693" s="21" t="s">
        <v>24357</v>
      </c>
      <c r="D4693" s="109" t="s">
        <v>8376</v>
      </c>
      <c r="E4693" s="109" t="s">
        <v>24358</v>
      </c>
      <c r="F4693" s="391" t="s">
        <v>24359</v>
      </c>
      <c r="G4693" s="23" t="s">
        <v>17522</v>
      </c>
      <c r="H4693" s="23"/>
      <c r="I4693" s="23"/>
      <c r="J4693" s="23"/>
      <c r="K4693" s="23"/>
      <c r="L4693" s="375"/>
      <c r="M4693" s="351"/>
      <c r="N4693" s="267">
        <f t="shared" ref="N4693" si="1752">SUM(L4693:M4693)</f>
        <v>0</v>
      </c>
      <c r="O4693" s="268">
        <f t="shared" ref="O4693" si="1753">SUM(P4693:Z4693)</f>
        <v>0</v>
      </c>
      <c r="P4693" s="239"/>
      <c r="Q4693" s="244"/>
      <c r="R4693" s="244"/>
      <c r="S4693" s="244"/>
      <c r="T4693" s="239"/>
      <c r="U4693" s="240"/>
      <c r="V4693" s="240"/>
      <c r="W4693" s="240"/>
      <c r="X4693" s="278"/>
      <c r="Y4693" s="239"/>
      <c r="Z4693" s="237"/>
      <c r="AA4693" s="279"/>
      <c r="AB4693" s="238"/>
      <c r="AC4693" s="196">
        <f t="shared" si="1717"/>
        <v>0</v>
      </c>
      <c r="AD4693" s="196">
        <f t="shared" si="1718"/>
        <v>0</v>
      </c>
      <c r="AE4693" s="196">
        <f t="shared" si="1719"/>
        <v>0</v>
      </c>
      <c r="AF4693" s="2">
        <f t="shared" si="1720"/>
        <v>0</v>
      </c>
      <c r="AG4693" s="2">
        <f t="shared" si="1721"/>
        <v>0</v>
      </c>
    </row>
    <row r="4694" spans="1:33">
      <c r="A4694" s="20" t="s">
        <v>24192</v>
      </c>
      <c r="B4694" s="150"/>
      <c r="C4694" s="21" t="s">
        <v>24211</v>
      </c>
      <c r="D4694" s="109" t="s">
        <v>8376</v>
      </c>
      <c r="E4694" s="109" t="s">
        <v>24212</v>
      </c>
      <c r="F4694" s="391" t="s">
        <v>24214</v>
      </c>
      <c r="G4694" s="23" t="s">
        <v>17522</v>
      </c>
      <c r="H4694" s="23"/>
      <c r="I4694" s="23"/>
      <c r="J4694" s="23"/>
      <c r="K4694" s="23"/>
      <c r="L4694" s="375" t="s">
        <v>7787</v>
      </c>
      <c r="M4694" s="351"/>
      <c r="N4694" s="267">
        <f t="shared" ref="N4694" si="1754">SUM(L4694:M4694)</f>
        <v>0</v>
      </c>
      <c r="O4694" s="268">
        <f t="shared" ref="O4694" si="1755">SUM(P4694:Z4694)</f>
        <v>0</v>
      </c>
      <c r="P4694" s="239"/>
      <c r="Q4694" s="244"/>
      <c r="R4694" s="244"/>
      <c r="S4694" s="244"/>
      <c r="T4694" s="239"/>
      <c r="U4694" s="240"/>
      <c r="V4694" s="240"/>
      <c r="W4694" s="240"/>
      <c r="X4694" s="278"/>
      <c r="Y4694" s="239"/>
      <c r="Z4694" s="237"/>
      <c r="AA4694" s="279"/>
      <c r="AB4694" s="238"/>
      <c r="AC4694" s="196">
        <f t="shared" si="1717"/>
        <v>0</v>
      </c>
      <c r="AD4694" s="196">
        <f t="shared" si="1718"/>
        <v>0</v>
      </c>
      <c r="AE4694" s="196">
        <f t="shared" si="1719"/>
        <v>0</v>
      </c>
      <c r="AF4694" s="2">
        <f t="shared" si="1720"/>
        <v>0</v>
      </c>
      <c r="AG4694" s="2">
        <f t="shared" si="1721"/>
        <v>0</v>
      </c>
    </row>
    <row r="4695" spans="1:33">
      <c r="A4695" s="20" t="s">
        <v>24582</v>
      </c>
      <c r="B4695" s="150"/>
      <c r="C4695" s="21" t="s">
        <v>24599</v>
      </c>
      <c r="D4695" s="109" t="s">
        <v>9855</v>
      </c>
      <c r="E4695" s="109"/>
      <c r="F4695" s="391" t="s">
        <v>24603</v>
      </c>
      <c r="G4695" s="23" t="s">
        <v>17522</v>
      </c>
      <c r="H4695" s="23"/>
      <c r="I4695" s="23"/>
      <c r="J4695" s="23"/>
      <c r="K4695" s="23"/>
      <c r="L4695" s="375" t="s">
        <v>7787</v>
      </c>
      <c r="M4695" s="351"/>
      <c r="N4695" s="267">
        <f t="shared" ref="N4695" si="1756">SUM(L4695:M4695)</f>
        <v>0</v>
      </c>
      <c r="O4695" s="268">
        <f t="shared" ref="O4695" si="1757">SUM(P4695:Z4695)</f>
        <v>0</v>
      </c>
      <c r="P4695" s="239"/>
      <c r="Q4695" s="244"/>
      <c r="R4695" s="244"/>
      <c r="S4695" s="244"/>
      <c r="T4695" s="239"/>
      <c r="U4695" s="240"/>
      <c r="V4695" s="240"/>
      <c r="W4695" s="240"/>
      <c r="X4695" s="278"/>
      <c r="Y4695" s="239"/>
      <c r="Z4695" s="237"/>
      <c r="AA4695" s="279"/>
      <c r="AB4695" s="238"/>
      <c r="AC4695" s="196">
        <f t="shared" si="1717"/>
        <v>0</v>
      </c>
      <c r="AD4695" s="196">
        <f t="shared" si="1718"/>
        <v>0</v>
      </c>
      <c r="AE4695" s="196">
        <f t="shared" si="1719"/>
        <v>0</v>
      </c>
      <c r="AF4695" s="2">
        <f t="shared" si="1720"/>
        <v>0</v>
      </c>
      <c r="AG4695" s="2">
        <f t="shared" si="1721"/>
        <v>0</v>
      </c>
    </row>
    <row r="4696" spans="1:33">
      <c r="A4696" s="20" t="s">
        <v>24253</v>
      </c>
      <c r="B4696" s="150"/>
      <c r="C4696" s="21" t="s">
        <v>24328</v>
      </c>
      <c r="D4696" s="109" t="s">
        <v>9855</v>
      </c>
      <c r="E4696" s="109"/>
      <c r="F4696" s="391" t="s">
        <v>24332</v>
      </c>
      <c r="G4696" s="23" t="s">
        <v>13888</v>
      </c>
      <c r="H4696" s="23"/>
      <c r="I4696" s="23"/>
      <c r="J4696" s="23"/>
      <c r="K4696" s="23"/>
      <c r="L4696" s="375"/>
      <c r="M4696" s="351"/>
      <c r="N4696" s="267">
        <f t="shared" ref="N4696" si="1758">SUM(L4696:M4696)</f>
        <v>0</v>
      </c>
      <c r="O4696" s="268">
        <f t="shared" ref="O4696" si="1759">SUM(P4696:Z4696)</f>
        <v>0</v>
      </c>
      <c r="P4696" s="239"/>
      <c r="Q4696" s="244"/>
      <c r="R4696" s="244"/>
      <c r="S4696" s="244"/>
      <c r="T4696" s="239"/>
      <c r="U4696" s="240"/>
      <c r="V4696" s="240"/>
      <c r="W4696" s="240"/>
      <c r="X4696" s="278"/>
      <c r="Y4696" s="239"/>
      <c r="Z4696" s="237"/>
      <c r="AA4696" s="279"/>
      <c r="AB4696" s="238"/>
      <c r="AC4696" s="196">
        <f t="shared" si="1717"/>
        <v>0</v>
      </c>
      <c r="AD4696" s="196">
        <f t="shared" si="1718"/>
        <v>0</v>
      </c>
      <c r="AE4696" s="196">
        <f t="shared" si="1719"/>
        <v>0</v>
      </c>
      <c r="AF4696" s="2">
        <f t="shared" si="1720"/>
        <v>0</v>
      </c>
      <c r="AG4696" s="2">
        <f t="shared" si="1721"/>
        <v>0</v>
      </c>
    </row>
    <row r="4697" spans="1:33">
      <c r="A4697" s="20" t="s">
        <v>24255</v>
      </c>
      <c r="B4697" s="150"/>
      <c r="C4697" s="21" t="s">
        <v>24334</v>
      </c>
      <c r="D4697" s="109" t="s">
        <v>9855</v>
      </c>
      <c r="E4697" s="109"/>
      <c r="F4697" s="391" t="s">
        <v>24911</v>
      </c>
      <c r="G4697" s="23" t="s">
        <v>17522</v>
      </c>
      <c r="H4697" s="23" t="s">
        <v>25253</v>
      </c>
      <c r="I4697" s="23" t="s">
        <v>25913</v>
      </c>
      <c r="J4697" s="23" t="s">
        <v>26493</v>
      </c>
      <c r="K4697" s="23"/>
      <c r="L4697" s="375" t="s">
        <v>45</v>
      </c>
      <c r="M4697" s="351" t="s">
        <v>45</v>
      </c>
      <c r="N4697" s="267">
        <f t="shared" ref="N4697" si="1760">SUM(L4697:M4697)</f>
        <v>0</v>
      </c>
      <c r="O4697" s="268">
        <f t="shared" ref="O4697" si="1761">SUM(P4697:Z4697)</f>
        <v>360</v>
      </c>
      <c r="P4697" s="239"/>
      <c r="Q4697" s="244">
        <f>570-480</f>
        <v>90</v>
      </c>
      <c r="R4697" s="244"/>
      <c r="S4697" s="244"/>
      <c r="T4697" s="244">
        <f>2250-1980</f>
        <v>270</v>
      </c>
      <c r="U4697" s="240"/>
      <c r="V4697" s="240"/>
      <c r="W4697" s="240"/>
      <c r="X4697" s="278"/>
      <c r="Y4697" s="239"/>
      <c r="Z4697" s="237"/>
      <c r="AA4697" s="279"/>
      <c r="AB4697" s="238" t="s">
        <v>26494</v>
      </c>
      <c r="AC4697" s="196">
        <f t="shared" si="1717"/>
        <v>360</v>
      </c>
      <c r="AD4697" s="196">
        <f t="shared" si="1718"/>
        <v>360</v>
      </c>
      <c r="AE4697" s="196">
        <f t="shared" si="1719"/>
        <v>0</v>
      </c>
      <c r="AF4697" s="2">
        <f t="shared" si="1720"/>
        <v>360</v>
      </c>
      <c r="AG4697" s="2">
        <f t="shared" si="1721"/>
        <v>0</v>
      </c>
    </row>
    <row r="4698" spans="1:33">
      <c r="A4698" s="20" t="s">
        <v>24259</v>
      </c>
      <c r="B4698" s="150"/>
      <c r="C4698" s="21" t="s">
        <v>24335</v>
      </c>
      <c r="D4698" s="109" t="s">
        <v>9855</v>
      </c>
      <c r="E4698" s="109"/>
      <c r="F4698" s="391" t="s">
        <v>24910</v>
      </c>
      <c r="G4698" s="23" t="s">
        <v>17522</v>
      </c>
      <c r="H4698" s="23"/>
      <c r="I4698" s="23"/>
      <c r="J4698" s="23"/>
      <c r="K4698" s="23"/>
      <c r="L4698" s="375" t="s">
        <v>7787</v>
      </c>
      <c r="M4698" s="351"/>
      <c r="N4698" s="267">
        <f t="shared" ref="N4698:N4699" si="1762">SUM(L4698:M4698)</f>
        <v>0</v>
      </c>
      <c r="O4698" s="268">
        <f t="shared" ref="O4698:O4699" si="1763">SUM(P4698:Z4698)</f>
        <v>120</v>
      </c>
      <c r="P4698" s="239"/>
      <c r="Q4698" s="244">
        <f>890-500+210-480</f>
        <v>120</v>
      </c>
      <c r="R4698" s="244"/>
      <c r="S4698" s="244"/>
      <c r="T4698" s="239"/>
      <c r="U4698" s="240"/>
      <c r="V4698" s="240"/>
      <c r="W4698" s="240"/>
      <c r="X4698" s="278"/>
      <c r="Y4698" s="239"/>
      <c r="Z4698" s="237"/>
      <c r="AA4698" s="279"/>
      <c r="AB4698" s="238" t="s">
        <v>24936</v>
      </c>
      <c r="AC4698" s="196">
        <f t="shared" si="1717"/>
        <v>120</v>
      </c>
      <c r="AD4698" s="196">
        <f t="shared" si="1718"/>
        <v>120</v>
      </c>
      <c r="AE4698" s="196">
        <f t="shared" si="1719"/>
        <v>0</v>
      </c>
      <c r="AF4698" s="2">
        <f t="shared" si="1720"/>
        <v>120</v>
      </c>
      <c r="AG4698" s="2">
        <f t="shared" si="1721"/>
        <v>0</v>
      </c>
    </row>
    <row r="4699" spans="1:33">
      <c r="A4699" s="20" t="s">
        <v>24252</v>
      </c>
      <c r="B4699" s="150"/>
      <c r="C4699" s="21" t="s">
        <v>24317</v>
      </c>
      <c r="D4699" s="109" t="s">
        <v>3096</v>
      </c>
      <c r="E4699" s="109" t="s">
        <v>24322</v>
      </c>
      <c r="F4699" s="391" t="s">
        <v>24318</v>
      </c>
      <c r="G4699" s="23" t="s">
        <v>13888</v>
      </c>
      <c r="H4699" s="23"/>
      <c r="I4699" s="23"/>
      <c r="J4699" s="23"/>
      <c r="K4699" s="23"/>
      <c r="L4699" s="375" t="s">
        <v>7787</v>
      </c>
      <c r="M4699" s="351"/>
      <c r="N4699" s="267">
        <f t="shared" si="1762"/>
        <v>0</v>
      </c>
      <c r="O4699" s="268">
        <f t="shared" si="1763"/>
        <v>0</v>
      </c>
      <c r="P4699" s="239"/>
      <c r="Q4699" s="244"/>
      <c r="R4699" s="244"/>
      <c r="S4699" s="244"/>
      <c r="T4699" s="239"/>
      <c r="U4699" s="240"/>
      <c r="V4699" s="240"/>
      <c r="W4699" s="240"/>
      <c r="X4699" s="278"/>
      <c r="Y4699" s="240"/>
      <c r="Z4699" s="237"/>
      <c r="AA4699" s="279"/>
      <c r="AB4699" s="238"/>
      <c r="AC4699" s="196">
        <f t="shared" si="1717"/>
        <v>0</v>
      </c>
      <c r="AD4699" s="196">
        <f t="shared" si="1718"/>
        <v>0</v>
      </c>
      <c r="AE4699" s="196">
        <f t="shared" si="1719"/>
        <v>0</v>
      </c>
      <c r="AF4699" s="2">
        <f t="shared" si="1720"/>
        <v>0</v>
      </c>
      <c r="AG4699" s="2">
        <f t="shared" si="1721"/>
        <v>0</v>
      </c>
    </row>
    <row r="4700" spans="1:33">
      <c r="A4700" s="20" t="s">
        <v>24534</v>
      </c>
      <c r="B4700" s="150"/>
      <c r="C4700" s="21" t="s">
        <v>24317</v>
      </c>
      <c r="D4700" s="109" t="s">
        <v>3096</v>
      </c>
      <c r="E4700" s="109" t="s">
        <v>24566</v>
      </c>
      <c r="F4700" s="391" t="s">
        <v>24318</v>
      </c>
      <c r="G4700" s="23" t="s">
        <v>13888</v>
      </c>
      <c r="H4700" s="23"/>
      <c r="I4700" s="23"/>
      <c r="J4700" s="23"/>
      <c r="K4700" s="23"/>
      <c r="L4700" s="375" t="s">
        <v>7787</v>
      </c>
      <c r="M4700" s="351" t="s">
        <v>7787</v>
      </c>
      <c r="N4700" s="267">
        <f t="shared" ref="N4700" si="1764">SUM(L4700:M4700)</f>
        <v>0</v>
      </c>
      <c r="O4700" s="268">
        <f t="shared" ref="O4700" si="1765">SUM(P4700:Z4700)</f>
        <v>0</v>
      </c>
      <c r="P4700" s="239"/>
      <c r="Q4700" s="244"/>
      <c r="R4700" s="244"/>
      <c r="S4700" s="244"/>
      <c r="T4700" s="239"/>
      <c r="U4700" s="240"/>
      <c r="V4700" s="240"/>
      <c r="W4700" s="240"/>
      <c r="X4700" s="278"/>
      <c r="Y4700" s="244"/>
      <c r="Z4700" s="237"/>
      <c r="AA4700" s="279"/>
      <c r="AB4700" s="238"/>
      <c r="AC4700" s="196">
        <f t="shared" si="1717"/>
        <v>0</v>
      </c>
      <c r="AD4700" s="196">
        <f t="shared" si="1718"/>
        <v>0</v>
      </c>
      <c r="AE4700" s="196">
        <f t="shared" si="1719"/>
        <v>0</v>
      </c>
      <c r="AF4700" s="2">
        <f t="shared" si="1720"/>
        <v>0</v>
      </c>
      <c r="AG4700" s="2">
        <f t="shared" si="1721"/>
        <v>0</v>
      </c>
    </row>
    <row r="4701" spans="1:33">
      <c r="A4701" s="20" t="s">
        <v>24371</v>
      </c>
      <c r="B4701" s="150"/>
      <c r="C4701" s="21" t="s">
        <v>24410</v>
      </c>
      <c r="D4701" s="109" t="s">
        <v>5979</v>
      </c>
      <c r="E4701" s="109"/>
      <c r="F4701" s="391" t="s">
        <v>24413</v>
      </c>
      <c r="G4701" s="23" t="s">
        <v>13888</v>
      </c>
      <c r="H4701" s="23"/>
      <c r="I4701" s="23"/>
      <c r="J4701" s="23"/>
      <c r="K4701" s="23"/>
      <c r="L4701" s="375" t="s">
        <v>7787</v>
      </c>
      <c r="M4701" s="351" t="s">
        <v>7787</v>
      </c>
      <c r="N4701" s="267">
        <f t="shared" ref="N4701" si="1766">SUM(L4701:M4701)</f>
        <v>0</v>
      </c>
      <c r="O4701" s="268">
        <f t="shared" ref="O4701" si="1767">SUM(P4701:Z4701)</f>
        <v>0</v>
      </c>
      <c r="P4701" s="239"/>
      <c r="Q4701" s="244"/>
      <c r="R4701" s="244"/>
      <c r="S4701" s="244"/>
      <c r="T4701" s="239"/>
      <c r="U4701" s="240"/>
      <c r="V4701" s="240"/>
      <c r="W4701" s="240"/>
      <c r="X4701" s="278"/>
      <c r="Y4701" s="239"/>
      <c r="Z4701" s="237"/>
      <c r="AA4701" s="279"/>
      <c r="AB4701" s="238"/>
      <c r="AC4701" s="196">
        <f t="shared" si="1717"/>
        <v>0</v>
      </c>
      <c r="AD4701" s="196">
        <f t="shared" si="1718"/>
        <v>0</v>
      </c>
      <c r="AE4701" s="196">
        <f t="shared" si="1719"/>
        <v>0</v>
      </c>
      <c r="AF4701" s="2">
        <f t="shared" si="1720"/>
        <v>0</v>
      </c>
      <c r="AG4701" s="2">
        <f t="shared" si="1721"/>
        <v>0</v>
      </c>
    </row>
    <row r="4702" spans="1:33">
      <c r="A4702" s="20" t="s">
        <v>24416</v>
      </c>
      <c r="B4702" s="150"/>
      <c r="C4702" s="21" t="s">
        <v>24431</v>
      </c>
      <c r="D4702" s="109" t="s">
        <v>9855</v>
      </c>
      <c r="E4702" s="109"/>
      <c r="F4702" s="391" t="s">
        <v>24434</v>
      </c>
      <c r="G4702" s="23" t="s">
        <v>17522</v>
      </c>
      <c r="H4702" s="23"/>
      <c r="I4702" s="23"/>
      <c r="J4702" s="23"/>
      <c r="K4702" s="23"/>
      <c r="L4702" s="375" t="s">
        <v>7787</v>
      </c>
      <c r="M4702" s="351" t="s">
        <v>7787</v>
      </c>
      <c r="N4702" s="267">
        <f t="shared" ref="N4702" si="1768">SUM(L4702:M4702)</f>
        <v>0</v>
      </c>
      <c r="O4702" s="268">
        <f t="shared" ref="O4702" si="1769">SUM(P4702:Z4702)</f>
        <v>0</v>
      </c>
      <c r="P4702" s="239"/>
      <c r="Q4702" s="244"/>
      <c r="R4702" s="244"/>
      <c r="S4702" s="244"/>
      <c r="T4702" s="239"/>
      <c r="U4702" s="240"/>
      <c r="V4702" s="240"/>
      <c r="W4702" s="240"/>
      <c r="X4702" s="278"/>
      <c r="Y4702" s="239"/>
      <c r="Z4702" s="237"/>
      <c r="AA4702" s="279"/>
      <c r="AB4702" s="238"/>
      <c r="AC4702" s="196">
        <f t="shared" ref="AC4702:AC4776" si="1770">SUM(P4702:AA4702)</f>
        <v>0</v>
      </c>
      <c r="AD4702" s="196">
        <f t="shared" ref="AD4702:AD4776" si="1771">SUM(P4702:AB4702)</f>
        <v>0</v>
      </c>
      <c r="AE4702" s="196">
        <f t="shared" ref="AE4702:AE4776" si="1772">SUM(AC4702-AD4702)</f>
        <v>0</v>
      </c>
      <c r="AF4702" s="2">
        <f t="shared" ref="AF4702:AF4776" si="1773">+AC4702</f>
        <v>0</v>
      </c>
      <c r="AG4702" s="2">
        <f t="shared" ref="AG4702:AG4776" si="1774">+AC4702-AF4702</f>
        <v>0</v>
      </c>
    </row>
    <row r="4703" spans="1:33">
      <c r="A4703" s="20" t="s">
        <v>24475</v>
      </c>
      <c r="B4703" s="150"/>
      <c r="C4703" s="21" t="s">
        <v>24491</v>
      </c>
      <c r="D4703" s="109" t="s">
        <v>24493</v>
      </c>
      <c r="E4703" s="109"/>
      <c r="F4703" s="391" t="s">
        <v>24495</v>
      </c>
      <c r="G4703" s="23" t="s">
        <v>24492</v>
      </c>
      <c r="H4703" s="23"/>
      <c r="I4703" s="23"/>
      <c r="J4703" s="23"/>
      <c r="K4703" s="23"/>
      <c r="L4703" s="375" t="s">
        <v>7787</v>
      </c>
      <c r="M4703" s="351" t="s">
        <v>7787</v>
      </c>
      <c r="N4703" s="267">
        <f t="shared" ref="N4703" si="1775">SUM(L4703:M4703)</f>
        <v>0</v>
      </c>
      <c r="O4703" s="268">
        <f t="shared" ref="O4703" si="1776">SUM(P4703:Z4703)</f>
        <v>60</v>
      </c>
      <c r="P4703" s="239"/>
      <c r="Q4703" s="244"/>
      <c r="R4703" s="244"/>
      <c r="S4703" s="244"/>
      <c r="T4703" s="239"/>
      <c r="U4703" s="244">
        <f>2370+1290+1380-4980</f>
        <v>60</v>
      </c>
      <c r="V4703" s="240"/>
      <c r="W4703" s="240"/>
      <c r="X4703" s="278"/>
      <c r="Y4703" s="239"/>
      <c r="Z4703" s="237"/>
      <c r="AA4703" s="279"/>
      <c r="AB4703" s="238" t="s">
        <v>24511</v>
      </c>
      <c r="AC4703" s="196">
        <f t="shared" si="1770"/>
        <v>60</v>
      </c>
      <c r="AD4703" s="196">
        <f t="shared" si="1771"/>
        <v>60</v>
      </c>
      <c r="AE4703" s="196">
        <f t="shared" si="1772"/>
        <v>0</v>
      </c>
      <c r="AF4703" s="2">
        <f t="shared" si="1773"/>
        <v>60</v>
      </c>
      <c r="AG4703" s="2">
        <f t="shared" si="1774"/>
        <v>0</v>
      </c>
    </row>
    <row r="4704" spans="1:33">
      <c r="A4704" s="20" t="s">
        <v>25624</v>
      </c>
      <c r="B4704" s="150"/>
      <c r="C4704" s="21" t="s">
        <v>25731</v>
      </c>
      <c r="D4704" s="109" t="s">
        <v>5979</v>
      </c>
      <c r="E4704" s="109" t="s">
        <v>25753</v>
      </c>
      <c r="F4704" s="391" t="s">
        <v>25752</v>
      </c>
      <c r="G4704" s="23" t="s">
        <v>25732</v>
      </c>
      <c r="H4704" s="23"/>
      <c r="I4704" s="23"/>
      <c r="J4704" s="23"/>
      <c r="K4704" s="23"/>
      <c r="L4704" s="375" t="s">
        <v>45</v>
      </c>
      <c r="M4704" s="351" t="s">
        <v>45</v>
      </c>
      <c r="N4704" s="267">
        <f t="shared" ref="N4704" si="1777">SUM(L4704:M4704)</f>
        <v>0</v>
      </c>
      <c r="O4704" s="268">
        <f t="shared" ref="O4704" si="1778">SUM(P4704:Z4704)</f>
        <v>140</v>
      </c>
      <c r="P4704" s="239"/>
      <c r="Q4704" s="244"/>
      <c r="R4704" s="244"/>
      <c r="S4704" s="244"/>
      <c r="T4704" s="239"/>
      <c r="U4704" s="244"/>
      <c r="V4704" s="240">
        <f>170-100+770-700</f>
        <v>140</v>
      </c>
      <c r="W4704" s="240"/>
      <c r="X4704" s="278"/>
      <c r="Y4704" s="239"/>
      <c r="Z4704" s="237"/>
      <c r="AA4704" s="297"/>
      <c r="AB4704" s="238" t="s">
        <v>25956</v>
      </c>
      <c r="AC4704" s="196">
        <f t="shared" si="1770"/>
        <v>140</v>
      </c>
      <c r="AD4704" s="196">
        <f t="shared" si="1771"/>
        <v>140</v>
      </c>
      <c r="AE4704" s="196">
        <f t="shared" si="1772"/>
        <v>0</v>
      </c>
      <c r="AF4704" s="2">
        <f t="shared" si="1773"/>
        <v>140</v>
      </c>
      <c r="AG4704" s="2">
        <f t="shared" si="1774"/>
        <v>0</v>
      </c>
    </row>
    <row r="4705" spans="1:33">
      <c r="A4705" s="20" t="s">
        <v>24476</v>
      </c>
      <c r="B4705" s="150"/>
      <c r="C4705" s="21" t="s">
        <v>24496</v>
      </c>
      <c r="D4705" s="109" t="s">
        <v>9855</v>
      </c>
      <c r="E4705" s="109" t="s">
        <v>22282</v>
      </c>
      <c r="F4705" s="391" t="s">
        <v>24501</v>
      </c>
      <c r="G4705" s="23" t="s">
        <v>24500</v>
      </c>
      <c r="H4705" s="23" t="s">
        <v>25151</v>
      </c>
      <c r="I4705" s="23"/>
      <c r="J4705" s="23"/>
      <c r="K4705" s="23"/>
      <c r="L4705" s="375"/>
      <c r="M4705" s="351" t="s">
        <v>45</v>
      </c>
      <c r="N4705" s="267">
        <f t="shared" ref="N4705" si="1779">SUM(L4705:M4705)</f>
        <v>0</v>
      </c>
      <c r="O4705" s="268">
        <f t="shared" ref="O4705" si="1780">SUM(P4705:Z4705)</f>
        <v>750</v>
      </c>
      <c r="P4705" s="239"/>
      <c r="Q4705" s="244">
        <f>1650-1500+1110-300+2670-2490-300+420+2970-1890-300-300-300-300-300-90</f>
        <v>750</v>
      </c>
      <c r="R4705" s="244"/>
      <c r="S4705" s="244"/>
      <c r="T4705" s="239"/>
      <c r="U4705" s="240"/>
      <c r="V4705" s="240"/>
      <c r="W4705" s="240"/>
      <c r="X4705" s="278"/>
      <c r="Y4705" s="239"/>
      <c r="Z4705" s="237"/>
      <c r="AA4705" s="244"/>
      <c r="AB4705" s="238" t="s">
        <v>25930</v>
      </c>
      <c r="AC4705" s="196">
        <f t="shared" si="1770"/>
        <v>750</v>
      </c>
      <c r="AD4705" s="196">
        <f t="shared" si="1771"/>
        <v>750</v>
      </c>
      <c r="AE4705" s="196">
        <f t="shared" si="1772"/>
        <v>0</v>
      </c>
      <c r="AF4705" s="2">
        <f t="shared" si="1773"/>
        <v>750</v>
      </c>
      <c r="AG4705" s="2">
        <f t="shared" si="1774"/>
        <v>0</v>
      </c>
    </row>
    <row r="4706" spans="1:33">
      <c r="A4706" s="20" t="s">
        <v>24588</v>
      </c>
      <c r="B4706" s="150"/>
      <c r="C4706" s="21" t="s">
        <v>24617</v>
      </c>
      <c r="D4706" s="109" t="s">
        <v>9855</v>
      </c>
      <c r="E4706" s="109" t="s">
        <v>22282</v>
      </c>
      <c r="F4706" s="391" t="s">
        <v>24622</v>
      </c>
      <c r="G4706" s="23" t="s">
        <v>13888</v>
      </c>
      <c r="H4706" s="23"/>
      <c r="I4706" s="23"/>
      <c r="J4706" s="23"/>
      <c r="K4706" s="23"/>
      <c r="L4706" s="375" t="s">
        <v>7787</v>
      </c>
      <c r="M4706" s="351"/>
      <c r="N4706" s="267">
        <f t="shared" ref="N4706:N4707" si="1781">SUM(L4706:M4706)</f>
        <v>0</v>
      </c>
      <c r="O4706" s="268">
        <f t="shared" ref="O4706:O4707" si="1782">SUM(P4706:Z4706)</f>
        <v>0</v>
      </c>
      <c r="P4706" s="239"/>
      <c r="Q4706" s="244"/>
      <c r="R4706" s="244"/>
      <c r="S4706" s="244"/>
      <c r="T4706" s="239"/>
      <c r="U4706" s="240"/>
      <c r="V4706" s="240"/>
      <c r="W4706" s="240"/>
      <c r="X4706" s="278"/>
      <c r="Y4706" s="239"/>
      <c r="Z4706" s="237"/>
      <c r="AA4706" s="441"/>
      <c r="AB4706" s="238"/>
      <c r="AC4706" s="196">
        <f t="shared" si="1770"/>
        <v>0</v>
      </c>
      <c r="AD4706" s="196">
        <f t="shared" si="1771"/>
        <v>0</v>
      </c>
      <c r="AE4706" s="196">
        <f t="shared" si="1772"/>
        <v>0</v>
      </c>
      <c r="AF4706" s="2">
        <f t="shared" si="1773"/>
        <v>0</v>
      </c>
      <c r="AG4706" s="2">
        <f t="shared" si="1774"/>
        <v>0</v>
      </c>
    </row>
    <row r="4707" spans="1:33">
      <c r="A4707" s="20" t="s">
        <v>24589</v>
      </c>
      <c r="B4707" s="150"/>
      <c r="C4707" s="21" t="s">
        <v>24618</v>
      </c>
      <c r="D4707" s="109" t="s">
        <v>9855</v>
      </c>
      <c r="E4707" s="109" t="s">
        <v>22282</v>
      </c>
      <c r="F4707" s="391" t="s">
        <v>24621</v>
      </c>
      <c r="G4707" s="23" t="s">
        <v>13888</v>
      </c>
      <c r="H4707" s="23"/>
      <c r="I4707" s="23"/>
      <c r="J4707" s="23"/>
      <c r="K4707" s="23"/>
      <c r="L4707" s="375" t="s">
        <v>7787</v>
      </c>
      <c r="M4707" s="351"/>
      <c r="N4707" s="267">
        <f t="shared" si="1781"/>
        <v>0</v>
      </c>
      <c r="O4707" s="268">
        <f t="shared" si="1782"/>
        <v>0</v>
      </c>
      <c r="P4707" s="239"/>
      <c r="Q4707" s="244"/>
      <c r="R4707" s="244"/>
      <c r="S4707" s="244"/>
      <c r="T4707" s="239"/>
      <c r="U4707" s="240"/>
      <c r="V4707" s="240"/>
      <c r="W4707" s="240"/>
      <c r="X4707" s="278"/>
      <c r="Y4707" s="239"/>
      <c r="Z4707" s="237"/>
      <c r="AA4707" s="441"/>
      <c r="AB4707" s="238"/>
      <c r="AC4707" s="196">
        <f t="shared" si="1770"/>
        <v>0</v>
      </c>
      <c r="AD4707" s="196">
        <f t="shared" si="1771"/>
        <v>0</v>
      </c>
      <c r="AE4707" s="196">
        <f t="shared" si="1772"/>
        <v>0</v>
      </c>
      <c r="AF4707" s="2">
        <f t="shared" si="1773"/>
        <v>0</v>
      </c>
      <c r="AG4707" s="2">
        <f t="shared" si="1774"/>
        <v>0</v>
      </c>
    </row>
    <row r="4708" spans="1:33">
      <c r="A4708" s="20" t="s">
        <v>24672</v>
      </c>
      <c r="B4708" s="150"/>
      <c r="C4708" s="21" t="s">
        <v>24717</v>
      </c>
      <c r="D4708" s="109" t="s">
        <v>9855</v>
      </c>
      <c r="E4708" s="109" t="s">
        <v>22282</v>
      </c>
      <c r="F4708" s="391" t="s">
        <v>24718</v>
      </c>
      <c r="G4708" s="23" t="s">
        <v>24737</v>
      </c>
      <c r="H4708" s="23"/>
      <c r="I4708" s="23"/>
      <c r="J4708" s="23"/>
      <c r="K4708" s="23"/>
      <c r="L4708" s="375"/>
      <c r="M4708" s="351"/>
      <c r="N4708" s="267">
        <f t="shared" ref="N4708" si="1783">SUM(L4708:M4708)</f>
        <v>0</v>
      </c>
      <c r="O4708" s="268">
        <f t="shared" ref="O4708" si="1784">SUM(P4708:Z4708)</f>
        <v>0</v>
      </c>
      <c r="P4708" s="239"/>
      <c r="Q4708" s="244"/>
      <c r="R4708" s="244"/>
      <c r="S4708" s="244"/>
      <c r="T4708" s="239"/>
      <c r="U4708" s="240"/>
      <c r="V4708" s="240"/>
      <c r="W4708" s="240"/>
      <c r="X4708" s="278"/>
      <c r="Y4708" s="239"/>
      <c r="Z4708" s="237"/>
      <c r="AA4708" s="441"/>
      <c r="AB4708" s="238"/>
      <c r="AC4708" s="196">
        <f t="shared" si="1770"/>
        <v>0</v>
      </c>
      <c r="AD4708" s="196">
        <f t="shared" si="1771"/>
        <v>0</v>
      </c>
      <c r="AE4708" s="196">
        <f t="shared" si="1772"/>
        <v>0</v>
      </c>
      <c r="AF4708" s="2">
        <f t="shared" si="1773"/>
        <v>0</v>
      </c>
      <c r="AG4708" s="2">
        <f t="shared" si="1774"/>
        <v>0</v>
      </c>
    </row>
    <row r="4709" spans="1:33">
      <c r="A4709" s="20" t="s">
        <v>24596</v>
      </c>
      <c r="B4709" s="150"/>
      <c r="C4709" s="21" t="s">
        <v>24651</v>
      </c>
      <c r="D4709" s="109" t="s">
        <v>9855</v>
      </c>
      <c r="E4709" s="109" t="s">
        <v>22282</v>
      </c>
      <c r="F4709" s="391" t="s">
        <v>24741</v>
      </c>
      <c r="G4709" s="23" t="s">
        <v>24653</v>
      </c>
      <c r="H4709" s="23" t="s">
        <v>24655</v>
      </c>
      <c r="I4709" s="23"/>
      <c r="J4709" s="23"/>
      <c r="K4709" s="23"/>
      <c r="L4709" s="375" t="s">
        <v>45</v>
      </c>
      <c r="M4709" s="351"/>
      <c r="N4709" s="267">
        <f t="shared" ref="N4709:N4711" si="1785">SUM(L4709:M4709)</f>
        <v>0</v>
      </c>
      <c r="O4709" s="268">
        <f t="shared" ref="O4709:O4711" si="1786">SUM(P4709:Z4709)</f>
        <v>270</v>
      </c>
      <c r="P4709" s="239"/>
      <c r="Q4709" s="244"/>
      <c r="R4709" s="244">
        <f>330+270-180-150</f>
        <v>270</v>
      </c>
      <c r="S4709" s="244"/>
      <c r="T4709" s="239"/>
      <c r="U4709" s="244"/>
      <c r="V4709" s="240"/>
      <c r="W4709" s="240"/>
      <c r="X4709" s="278"/>
      <c r="Y4709" s="239"/>
      <c r="Z4709" s="237"/>
      <c r="AA4709" s="441"/>
      <c r="AB4709" s="238" t="s">
        <v>25234</v>
      </c>
      <c r="AC4709" s="196">
        <f t="shared" si="1770"/>
        <v>270</v>
      </c>
      <c r="AD4709" s="196">
        <f t="shared" si="1771"/>
        <v>270</v>
      </c>
      <c r="AE4709" s="196">
        <f t="shared" si="1772"/>
        <v>0</v>
      </c>
      <c r="AF4709" s="2">
        <f t="shared" si="1773"/>
        <v>270</v>
      </c>
      <c r="AG4709" s="2">
        <f t="shared" si="1774"/>
        <v>0</v>
      </c>
    </row>
    <row r="4710" spans="1:33">
      <c r="A4710" s="20" t="s">
        <v>24658</v>
      </c>
      <c r="B4710" s="150"/>
      <c r="C4710" s="21" t="s">
        <v>24678</v>
      </c>
      <c r="D4710" s="109" t="s">
        <v>3096</v>
      </c>
      <c r="E4710" s="109" t="s">
        <v>22282</v>
      </c>
      <c r="F4710" s="391" t="s">
        <v>24679</v>
      </c>
      <c r="G4710" s="23" t="s">
        <v>13888</v>
      </c>
      <c r="H4710" s="23"/>
      <c r="I4710" s="23"/>
      <c r="J4710" s="23"/>
      <c r="K4710" s="23"/>
      <c r="L4710" s="375" t="s">
        <v>7787</v>
      </c>
      <c r="M4710" s="351" t="s">
        <v>7787</v>
      </c>
      <c r="N4710" s="267">
        <f t="shared" ref="N4710" si="1787">SUM(L4710:M4710)</f>
        <v>0</v>
      </c>
      <c r="O4710" s="268">
        <f t="shared" ref="O4710" si="1788">SUM(P4710:Z4710)</f>
        <v>0</v>
      </c>
      <c r="P4710" s="239"/>
      <c r="Q4710" s="244"/>
      <c r="R4710" s="244"/>
      <c r="S4710" s="244"/>
      <c r="T4710" s="239"/>
      <c r="U4710" s="240"/>
      <c r="V4710" s="240"/>
      <c r="W4710" s="240"/>
      <c r="X4710" s="278"/>
      <c r="Y4710" s="239"/>
      <c r="Z4710" s="237"/>
      <c r="AA4710" s="441"/>
      <c r="AB4710" s="238"/>
      <c r="AC4710" s="196">
        <f t="shared" si="1770"/>
        <v>0</v>
      </c>
      <c r="AD4710" s="196">
        <f t="shared" si="1771"/>
        <v>0</v>
      </c>
      <c r="AE4710" s="196">
        <f t="shared" si="1772"/>
        <v>0</v>
      </c>
      <c r="AF4710" s="2">
        <f t="shared" si="1773"/>
        <v>0</v>
      </c>
      <c r="AG4710" s="2">
        <f t="shared" si="1774"/>
        <v>0</v>
      </c>
    </row>
    <row r="4711" spans="1:33">
      <c r="A4711" s="20" t="s">
        <v>24597</v>
      </c>
      <c r="B4711" s="150"/>
      <c r="C4711" s="21" t="s">
        <v>24652</v>
      </c>
      <c r="D4711" s="109" t="s">
        <v>5979</v>
      </c>
      <c r="E4711" s="109" t="s">
        <v>22282</v>
      </c>
      <c r="F4711" s="391" t="s">
        <v>24695</v>
      </c>
      <c r="G4711" s="23" t="s">
        <v>15443</v>
      </c>
      <c r="H4711" s="23"/>
      <c r="I4711" s="23"/>
      <c r="J4711" s="23"/>
      <c r="K4711" s="23"/>
      <c r="L4711" s="375" t="s">
        <v>7787</v>
      </c>
      <c r="M4711" s="351"/>
      <c r="N4711" s="267">
        <f t="shared" si="1785"/>
        <v>0</v>
      </c>
      <c r="O4711" s="268">
        <f t="shared" si="1786"/>
        <v>0</v>
      </c>
      <c r="P4711" s="239"/>
      <c r="Q4711" s="244"/>
      <c r="R4711" s="244"/>
      <c r="S4711" s="244"/>
      <c r="T4711" s="239"/>
      <c r="U4711" s="240"/>
      <c r="V4711" s="240"/>
      <c r="W4711" s="240"/>
      <c r="X4711" s="278"/>
      <c r="Y4711" s="239"/>
      <c r="Z4711" s="237"/>
      <c r="AA4711" s="441"/>
      <c r="AB4711" s="238"/>
      <c r="AC4711" s="196">
        <f t="shared" si="1770"/>
        <v>0</v>
      </c>
      <c r="AD4711" s="196">
        <f t="shared" si="1771"/>
        <v>0</v>
      </c>
      <c r="AE4711" s="196">
        <f t="shared" si="1772"/>
        <v>0</v>
      </c>
      <c r="AF4711" s="2">
        <f t="shared" si="1773"/>
        <v>0</v>
      </c>
      <c r="AG4711" s="2">
        <f t="shared" si="1774"/>
        <v>0</v>
      </c>
    </row>
    <row r="4712" spans="1:33">
      <c r="A4712" s="20" t="s">
        <v>24723</v>
      </c>
      <c r="B4712" s="150"/>
      <c r="C4712" s="21" t="s">
        <v>24765</v>
      </c>
      <c r="D4712" s="109" t="s">
        <v>9855</v>
      </c>
      <c r="E4712" s="109"/>
      <c r="F4712" s="391" t="s">
        <v>24767</v>
      </c>
      <c r="G4712" s="23" t="s">
        <v>24772</v>
      </c>
      <c r="H4712" s="23"/>
      <c r="I4712" s="23"/>
      <c r="J4712" s="23"/>
      <c r="K4712" s="23"/>
      <c r="L4712" s="375" t="s">
        <v>7787</v>
      </c>
      <c r="M4712" s="351"/>
      <c r="N4712" s="267">
        <f t="shared" ref="N4712" si="1789">SUM(L4712:M4712)</f>
        <v>0</v>
      </c>
      <c r="O4712" s="268">
        <f t="shared" ref="O4712" si="1790">SUM(P4712:Z4712)</f>
        <v>0</v>
      </c>
      <c r="P4712" s="239"/>
      <c r="Q4712" s="244"/>
      <c r="R4712" s="244"/>
      <c r="S4712" s="244"/>
      <c r="T4712" s="239"/>
      <c r="U4712" s="240"/>
      <c r="V4712" s="240"/>
      <c r="W4712" s="240"/>
      <c r="X4712" s="278"/>
      <c r="Y4712" s="239"/>
      <c r="Z4712" s="237"/>
      <c r="AA4712" s="441"/>
      <c r="AB4712" s="238"/>
      <c r="AC4712" s="196">
        <f t="shared" si="1770"/>
        <v>0</v>
      </c>
      <c r="AD4712" s="196">
        <f t="shared" si="1771"/>
        <v>0</v>
      </c>
      <c r="AE4712" s="196">
        <f t="shared" si="1772"/>
        <v>0</v>
      </c>
      <c r="AF4712" s="2">
        <f t="shared" si="1773"/>
        <v>0</v>
      </c>
      <c r="AG4712" s="2">
        <f t="shared" si="1774"/>
        <v>0</v>
      </c>
    </row>
    <row r="4713" spans="1:33">
      <c r="A4713" s="20" t="s">
        <v>24847</v>
      </c>
      <c r="B4713" s="150"/>
      <c r="C4713" s="21" t="s">
        <v>24894</v>
      </c>
      <c r="D4713" s="109" t="s">
        <v>5979</v>
      </c>
      <c r="E4713" s="109" t="s">
        <v>22282</v>
      </c>
      <c r="F4713" s="391" t="s">
        <v>24900</v>
      </c>
      <c r="G4713" s="23" t="s">
        <v>21622</v>
      </c>
      <c r="H4713" s="23"/>
      <c r="I4713" s="23"/>
      <c r="J4713" s="23"/>
      <c r="K4713" s="23"/>
      <c r="L4713" s="375" t="s">
        <v>7787</v>
      </c>
      <c r="M4713" s="351" t="s">
        <v>7787</v>
      </c>
      <c r="N4713" s="267">
        <f t="shared" ref="N4713" si="1791">SUM(L4713:M4713)</f>
        <v>0</v>
      </c>
      <c r="O4713" s="268">
        <f t="shared" ref="O4713" si="1792">SUM(P4713:Z4713)</f>
        <v>0</v>
      </c>
      <c r="P4713" s="239"/>
      <c r="Q4713" s="244"/>
      <c r="R4713" s="244"/>
      <c r="S4713" s="244"/>
      <c r="T4713" s="239"/>
      <c r="U4713" s="240"/>
      <c r="V4713" s="240"/>
      <c r="W4713" s="240"/>
      <c r="X4713" s="278"/>
      <c r="Y4713" s="239"/>
      <c r="Z4713" s="237"/>
      <c r="AA4713" s="441"/>
      <c r="AB4713" s="238"/>
      <c r="AC4713" s="196">
        <f t="shared" si="1770"/>
        <v>0</v>
      </c>
      <c r="AD4713" s="196">
        <f t="shared" si="1771"/>
        <v>0</v>
      </c>
      <c r="AE4713" s="196">
        <f t="shared" si="1772"/>
        <v>0</v>
      </c>
      <c r="AF4713" s="2">
        <f t="shared" si="1773"/>
        <v>0</v>
      </c>
      <c r="AG4713" s="2">
        <f t="shared" si="1774"/>
        <v>0</v>
      </c>
    </row>
    <row r="4714" spans="1:33">
      <c r="A4714" s="20" t="s">
        <v>25519</v>
      </c>
      <c r="B4714" s="150"/>
      <c r="C4714" s="21" t="s">
        <v>25540</v>
      </c>
      <c r="D4714" s="109" t="s">
        <v>5979</v>
      </c>
      <c r="E4714" s="109" t="s">
        <v>22282</v>
      </c>
      <c r="F4714" s="391" t="s">
        <v>25546</v>
      </c>
      <c r="G4714" s="23" t="s">
        <v>25545</v>
      </c>
      <c r="H4714" s="23"/>
      <c r="I4714" s="23"/>
      <c r="J4714" s="23"/>
      <c r="K4714" s="23"/>
      <c r="L4714" s="375" t="s">
        <v>45</v>
      </c>
      <c r="M4714" s="351" t="s">
        <v>45</v>
      </c>
      <c r="N4714" s="267">
        <f t="shared" ref="N4714" si="1793">SUM(L4714:M4714)</f>
        <v>0</v>
      </c>
      <c r="O4714" s="268">
        <f t="shared" ref="O4714" si="1794">SUM(P4714:Z4714)</f>
        <v>120</v>
      </c>
      <c r="P4714" s="239"/>
      <c r="Q4714" s="244"/>
      <c r="R4714" s="244"/>
      <c r="S4714" s="244"/>
      <c r="T4714" s="239"/>
      <c r="U4714" s="240"/>
      <c r="V4714" s="240">
        <f>160-100+1080+30-1050</f>
        <v>120</v>
      </c>
      <c r="W4714" s="240"/>
      <c r="X4714" s="278"/>
      <c r="Y4714" s="239"/>
      <c r="Z4714" s="237"/>
      <c r="AA4714" s="441"/>
      <c r="AB4714" s="238" t="s">
        <v>25954</v>
      </c>
      <c r="AC4714" s="196">
        <f t="shared" si="1770"/>
        <v>120</v>
      </c>
      <c r="AD4714" s="196">
        <f t="shared" si="1771"/>
        <v>120</v>
      </c>
      <c r="AE4714" s="196">
        <f t="shared" si="1772"/>
        <v>0</v>
      </c>
      <c r="AF4714" s="2">
        <f t="shared" si="1773"/>
        <v>120</v>
      </c>
      <c r="AG4714" s="2">
        <f t="shared" si="1774"/>
        <v>0</v>
      </c>
    </row>
    <row r="4715" spans="1:33">
      <c r="A4715" s="20" t="s">
        <v>24731</v>
      </c>
      <c r="B4715" s="150"/>
      <c r="C4715" s="21" t="s">
        <v>24810</v>
      </c>
      <c r="D4715" s="109" t="s">
        <v>9855</v>
      </c>
      <c r="E4715" s="109"/>
      <c r="F4715" s="391" t="s">
        <v>24813</v>
      </c>
      <c r="G4715" s="23" t="s">
        <v>14332</v>
      </c>
      <c r="H4715" s="23"/>
      <c r="I4715" s="23"/>
      <c r="J4715" s="23"/>
      <c r="K4715" s="23"/>
      <c r="L4715" s="375" t="s">
        <v>7787</v>
      </c>
      <c r="M4715" s="351"/>
      <c r="N4715" s="267">
        <f t="shared" ref="N4715" si="1795">SUM(L4715:M4715)</f>
        <v>0</v>
      </c>
      <c r="O4715" s="268">
        <f t="shared" ref="O4715" si="1796">SUM(P4715:Z4715)</f>
        <v>480</v>
      </c>
      <c r="P4715" s="239"/>
      <c r="Q4715" s="244"/>
      <c r="R4715" s="244"/>
      <c r="S4715" s="244"/>
      <c r="T4715" s="239"/>
      <c r="U4715" s="240">
        <f>540-60</f>
        <v>480</v>
      </c>
      <c r="V4715" s="240"/>
      <c r="W4715" s="240"/>
      <c r="X4715" s="278"/>
      <c r="Y4715" s="239"/>
      <c r="Z4715" s="237"/>
      <c r="AA4715" s="441"/>
      <c r="AB4715" s="238" t="s">
        <v>24814</v>
      </c>
      <c r="AC4715" s="196">
        <f t="shared" si="1770"/>
        <v>480</v>
      </c>
      <c r="AD4715" s="196">
        <f t="shared" si="1771"/>
        <v>480</v>
      </c>
      <c r="AE4715" s="196">
        <f t="shared" si="1772"/>
        <v>0</v>
      </c>
      <c r="AF4715" s="2">
        <f t="shared" si="1773"/>
        <v>480</v>
      </c>
      <c r="AG4715" s="2">
        <f t="shared" si="1774"/>
        <v>0</v>
      </c>
    </row>
    <row r="4716" spans="1:33">
      <c r="A4716" s="20" t="s">
        <v>24721</v>
      </c>
      <c r="B4716" s="150"/>
      <c r="C4716" s="21" t="s">
        <v>24755</v>
      </c>
      <c r="D4716" s="109" t="s">
        <v>9855</v>
      </c>
      <c r="E4716" s="109"/>
      <c r="F4716" s="391" t="s">
        <v>24758</v>
      </c>
      <c r="G4716" s="23" t="s">
        <v>24772</v>
      </c>
      <c r="H4716" s="23"/>
      <c r="I4716" s="23"/>
      <c r="J4716" s="23"/>
      <c r="K4716" s="23"/>
      <c r="L4716" s="375"/>
      <c r="M4716" s="351" t="s">
        <v>7787</v>
      </c>
      <c r="N4716" s="267">
        <f t="shared" ref="N4716" si="1797">SUM(L4716:M4716)</f>
        <v>0</v>
      </c>
      <c r="O4716" s="268">
        <f t="shared" ref="O4716" si="1798">SUM(P4716:Z4716)</f>
        <v>990</v>
      </c>
      <c r="P4716" s="239"/>
      <c r="Q4716" s="244">
        <f>210+1230-150-300</f>
        <v>990</v>
      </c>
      <c r="R4716" s="244"/>
      <c r="S4716" s="244"/>
      <c r="T4716" s="239"/>
      <c r="U4716" s="240"/>
      <c r="V4716" s="240"/>
      <c r="W4716" s="240"/>
      <c r="X4716" s="278"/>
      <c r="Y4716" s="239"/>
      <c r="Z4716" s="237"/>
      <c r="AA4716" s="441"/>
      <c r="AB4716" s="238" t="s">
        <v>24766</v>
      </c>
      <c r="AC4716" s="196">
        <f t="shared" si="1770"/>
        <v>990</v>
      </c>
      <c r="AD4716" s="196">
        <f t="shared" si="1771"/>
        <v>990</v>
      </c>
      <c r="AE4716" s="196">
        <f t="shared" si="1772"/>
        <v>0</v>
      </c>
      <c r="AF4716" s="2">
        <f t="shared" si="1773"/>
        <v>990</v>
      </c>
      <c r="AG4716" s="2">
        <f t="shared" si="1774"/>
        <v>0</v>
      </c>
    </row>
    <row r="4717" spans="1:33">
      <c r="A4717" s="20" t="s">
        <v>24848</v>
      </c>
      <c r="B4717" s="150"/>
      <c r="C4717" s="21" t="s">
        <v>24895</v>
      </c>
      <c r="D4717" s="109" t="s">
        <v>5979</v>
      </c>
      <c r="E4717" s="109" t="s">
        <v>22282</v>
      </c>
      <c r="F4717" s="391" t="s">
        <v>24898</v>
      </c>
      <c r="G4717" s="23" t="s">
        <v>24897</v>
      </c>
      <c r="H4717" s="23"/>
      <c r="I4717" s="23"/>
      <c r="J4717" s="23"/>
      <c r="K4717" s="23"/>
      <c r="L4717" s="375"/>
      <c r="M4717" s="351"/>
      <c r="N4717" s="267">
        <f t="shared" ref="N4717" si="1799">SUM(L4717:M4717)</f>
        <v>0</v>
      </c>
      <c r="O4717" s="268">
        <f t="shared" ref="O4717" si="1800">SUM(P4717:Z4717)</f>
        <v>150</v>
      </c>
      <c r="P4717" s="239"/>
      <c r="Q4717" s="244">
        <f>660-300-300+690-600</f>
        <v>150</v>
      </c>
      <c r="R4717" s="244"/>
      <c r="S4717" s="244"/>
      <c r="T4717" s="239"/>
      <c r="U4717" s="240"/>
      <c r="V4717" s="240"/>
      <c r="W4717" s="240"/>
      <c r="X4717" s="278"/>
      <c r="Y4717" s="239"/>
      <c r="Z4717" s="237"/>
      <c r="AA4717" s="441"/>
      <c r="AB4717" s="238" t="s">
        <v>25408</v>
      </c>
      <c r="AC4717" s="196">
        <f t="shared" si="1770"/>
        <v>150</v>
      </c>
      <c r="AD4717" s="196">
        <f t="shared" si="1771"/>
        <v>150</v>
      </c>
      <c r="AE4717" s="196">
        <f t="shared" si="1772"/>
        <v>0</v>
      </c>
      <c r="AF4717" s="2">
        <f t="shared" si="1773"/>
        <v>150</v>
      </c>
      <c r="AG4717" s="2">
        <f t="shared" si="1774"/>
        <v>0</v>
      </c>
    </row>
    <row r="4718" spans="1:33">
      <c r="A4718" s="20" t="s">
        <v>24986</v>
      </c>
      <c r="B4718" s="150"/>
      <c r="C4718" s="21" t="s">
        <v>25002</v>
      </c>
      <c r="D4718" s="109" t="s">
        <v>5979</v>
      </c>
      <c r="E4718" s="109"/>
      <c r="F4718" s="391" t="s">
        <v>25008</v>
      </c>
      <c r="G4718" s="23" t="s">
        <v>13888</v>
      </c>
      <c r="H4718" s="23"/>
      <c r="I4718" s="23"/>
      <c r="J4718" s="23"/>
      <c r="K4718" s="23"/>
      <c r="L4718" s="375" t="s">
        <v>7787</v>
      </c>
      <c r="M4718" s="351"/>
      <c r="N4718" s="267">
        <f t="shared" ref="N4718" si="1801">SUM(L4718:M4718)</f>
        <v>0</v>
      </c>
      <c r="O4718" s="268">
        <f t="shared" ref="O4718" si="1802">SUM(P4718:Z4718)</f>
        <v>120</v>
      </c>
      <c r="P4718" s="239"/>
      <c r="Q4718" s="244"/>
      <c r="R4718" s="244"/>
      <c r="S4718" s="244"/>
      <c r="T4718" s="239"/>
      <c r="U4718" s="240">
        <f>320-200</f>
        <v>120</v>
      </c>
      <c r="V4718" s="240"/>
      <c r="W4718" s="240"/>
      <c r="X4718" s="278"/>
      <c r="Y4718" s="239"/>
      <c r="Z4718" s="237"/>
      <c r="AA4718" s="441"/>
      <c r="AB4718" s="238" t="s">
        <v>25009</v>
      </c>
      <c r="AC4718" s="196">
        <f t="shared" si="1770"/>
        <v>120</v>
      </c>
      <c r="AD4718" s="196">
        <f t="shared" si="1771"/>
        <v>120</v>
      </c>
      <c r="AE4718" s="196">
        <f t="shared" si="1772"/>
        <v>0</v>
      </c>
      <c r="AF4718" s="2">
        <f t="shared" si="1773"/>
        <v>120</v>
      </c>
      <c r="AG4718" s="2">
        <f t="shared" si="1774"/>
        <v>0</v>
      </c>
    </row>
    <row r="4719" spans="1:33">
      <c r="A4719" s="20" t="s">
        <v>24987</v>
      </c>
      <c r="B4719" s="150"/>
      <c r="C4719" s="21" t="s">
        <v>25007</v>
      </c>
      <c r="D4719" s="109" t="s">
        <v>9855</v>
      </c>
      <c r="E4719" s="109"/>
      <c r="F4719" s="391" t="s">
        <v>25010</v>
      </c>
      <c r="G4719" s="23" t="s">
        <v>14332</v>
      </c>
      <c r="H4719" s="23"/>
      <c r="I4719" s="23"/>
      <c r="J4719" s="23"/>
      <c r="K4719" s="23"/>
      <c r="L4719" s="375" t="s">
        <v>45</v>
      </c>
      <c r="M4719" s="351"/>
      <c r="N4719" s="267">
        <f t="shared" ref="N4719" si="1803">SUM(L4719:M4719)</f>
        <v>0</v>
      </c>
      <c r="O4719" s="268">
        <f t="shared" ref="O4719" si="1804">SUM(P4719:Z4719)</f>
        <v>0</v>
      </c>
      <c r="P4719" s="239"/>
      <c r="Q4719" s="244"/>
      <c r="R4719" s="244"/>
      <c r="S4719" s="244"/>
      <c r="T4719" s="239"/>
      <c r="U4719" s="240"/>
      <c r="V4719" s="240"/>
      <c r="W4719" s="240"/>
      <c r="X4719" s="278"/>
      <c r="Y4719" s="239"/>
      <c r="Z4719" s="237"/>
      <c r="AA4719" s="441"/>
      <c r="AB4719" s="238"/>
      <c r="AC4719" s="196">
        <f t="shared" si="1770"/>
        <v>0</v>
      </c>
      <c r="AD4719" s="196">
        <f t="shared" si="1771"/>
        <v>0</v>
      </c>
      <c r="AE4719" s="196">
        <f t="shared" si="1772"/>
        <v>0</v>
      </c>
      <c r="AF4719" s="2">
        <f t="shared" si="1773"/>
        <v>0</v>
      </c>
      <c r="AG4719" s="2">
        <f t="shared" si="1774"/>
        <v>0</v>
      </c>
    </row>
    <row r="4720" spans="1:33">
      <c r="A4720" s="20" t="s">
        <v>25623</v>
      </c>
      <c r="B4720" s="150"/>
      <c r="C4720" s="21" t="s">
        <v>25007</v>
      </c>
      <c r="D4720" s="109" t="s">
        <v>9855</v>
      </c>
      <c r="E4720" s="109" t="s">
        <v>25206</v>
      </c>
      <c r="F4720" s="391" t="s">
        <v>24813</v>
      </c>
      <c r="G4720" s="23" t="s">
        <v>14332</v>
      </c>
      <c r="H4720" s="23"/>
      <c r="I4720" s="23"/>
      <c r="J4720" s="23"/>
      <c r="K4720" s="23"/>
      <c r="L4720" s="375" t="s">
        <v>27912</v>
      </c>
      <c r="M4720" s="351"/>
      <c r="N4720" s="267">
        <f t="shared" ref="N4720:N4723" si="1805">SUM(L4720:M4720)</f>
        <v>0</v>
      </c>
      <c r="O4720" s="268">
        <f t="shared" ref="O4720:O4723" si="1806">SUM(P4720:Z4720)</f>
        <v>3750</v>
      </c>
      <c r="P4720" s="239"/>
      <c r="Q4720" s="244"/>
      <c r="R4720" s="244"/>
      <c r="S4720" s="244"/>
      <c r="T4720" s="239"/>
      <c r="U4720" s="240">
        <f>3000-450-300-1800+3690-1500+450-1650+3420-2940+1830</f>
        <v>3750</v>
      </c>
      <c r="V4720" s="240"/>
      <c r="W4720" s="240"/>
      <c r="X4720" s="278"/>
      <c r="Y4720" s="239"/>
      <c r="Z4720" s="237"/>
      <c r="AA4720" s="441"/>
      <c r="AB4720" s="238" t="s">
        <v>27907</v>
      </c>
      <c r="AC4720" s="196">
        <f t="shared" si="1770"/>
        <v>3750</v>
      </c>
      <c r="AD4720" s="196">
        <f t="shared" si="1771"/>
        <v>3750</v>
      </c>
      <c r="AE4720" s="196">
        <f t="shared" si="1772"/>
        <v>0</v>
      </c>
      <c r="AF4720" s="2">
        <f t="shared" si="1773"/>
        <v>3750</v>
      </c>
      <c r="AG4720" s="2">
        <f t="shared" si="1774"/>
        <v>0</v>
      </c>
    </row>
    <row r="4721" spans="1:33">
      <c r="A4721" s="20" t="s">
        <v>25628</v>
      </c>
      <c r="B4721" s="150"/>
      <c r="C4721" s="21" t="s">
        <v>25840</v>
      </c>
      <c r="D4721" s="109" t="s">
        <v>9855</v>
      </c>
      <c r="E4721" s="109" t="s">
        <v>25842</v>
      </c>
      <c r="F4721" s="391" t="s">
        <v>25843</v>
      </c>
      <c r="G4721" s="23" t="s">
        <v>13888</v>
      </c>
      <c r="H4721" s="23"/>
      <c r="I4721" s="23"/>
      <c r="J4721" s="23"/>
      <c r="K4721" s="23"/>
      <c r="L4721" s="375" t="s">
        <v>45</v>
      </c>
      <c r="M4721" s="351" t="s">
        <v>45</v>
      </c>
      <c r="N4721" s="267">
        <f t="shared" ref="N4721" si="1807">SUM(L4721:M4721)</f>
        <v>0</v>
      </c>
      <c r="O4721" s="268">
        <f t="shared" ref="O4721" si="1808">SUM(P4721:Z4721)</f>
        <v>160</v>
      </c>
      <c r="P4721" s="239"/>
      <c r="Q4721" s="244"/>
      <c r="R4721" s="244"/>
      <c r="S4721" s="244"/>
      <c r="T4721" s="239"/>
      <c r="U4721" s="240">
        <f>608-240-208</f>
        <v>160</v>
      </c>
      <c r="V4721" s="240"/>
      <c r="W4721" s="240"/>
      <c r="X4721" s="278"/>
      <c r="Y4721" s="240"/>
      <c r="Z4721" s="237"/>
      <c r="AA4721" s="441"/>
      <c r="AB4721" s="238" t="s">
        <v>26051</v>
      </c>
      <c r="AC4721" s="196">
        <f t="shared" si="1770"/>
        <v>160</v>
      </c>
      <c r="AD4721" s="196">
        <f t="shared" si="1771"/>
        <v>160</v>
      </c>
      <c r="AE4721" s="196">
        <f t="shared" si="1772"/>
        <v>0</v>
      </c>
      <c r="AF4721" s="2">
        <f t="shared" si="1773"/>
        <v>160</v>
      </c>
      <c r="AG4721" s="2">
        <f t="shared" si="1774"/>
        <v>0</v>
      </c>
    </row>
    <row r="4722" spans="1:33">
      <c r="A4722" s="20" t="s">
        <v>25348</v>
      </c>
      <c r="B4722" s="150"/>
      <c r="C4722" s="21" t="s">
        <v>25376</v>
      </c>
      <c r="D4722" s="109" t="s">
        <v>9855</v>
      </c>
      <c r="E4722" s="109" t="s">
        <v>25382</v>
      </c>
      <c r="F4722" s="391" t="s">
        <v>25383</v>
      </c>
      <c r="G4722" s="23" t="s">
        <v>17522</v>
      </c>
      <c r="H4722" s="23"/>
      <c r="I4722" s="23"/>
      <c r="J4722" s="23"/>
      <c r="K4722" s="23"/>
      <c r="L4722" s="375"/>
      <c r="M4722" s="351" t="s">
        <v>45</v>
      </c>
      <c r="N4722" s="267">
        <f t="shared" ref="N4722" si="1809">SUM(L4722:M4722)</f>
        <v>0</v>
      </c>
      <c r="O4722" s="268">
        <f t="shared" ref="O4722" si="1810">SUM(P4722:Z4722)</f>
        <v>0</v>
      </c>
      <c r="P4722" s="239"/>
      <c r="Q4722" s="244"/>
      <c r="R4722" s="244"/>
      <c r="S4722" s="244"/>
      <c r="T4722" s="239"/>
      <c r="U4722" s="240"/>
      <c r="V4722" s="240"/>
      <c r="W4722" s="240"/>
      <c r="X4722" s="278"/>
      <c r="Y4722" s="239"/>
      <c r="Z4722" s="237"/>
      <c r="AA4722" s="441"/>
      <c r="AB4722" s="238"/>
      <c r="AC4722" s="196">
        <f t="shared" si="1770"/>
        <v>0</v>
      </c>
      <c r="AD4722" s="196">
        <f t="shared" si="1771"/>
        <v>0</v>
      </c>
      <c r="AE4722" s="196">
        <f t="shared" si="1772"/>
        <v>0</v>
      </c>
      <c r="AF4722" s="2">
        <f t="shared" si="1773"/>
        <v>0</v>
      </c>
      <c r="AG4722" s="2">
        <f t="shared" si="1774"/>
        <v>0</v>
      </c>
    </row>
    <row r="4723" spans="1:33">
      <c r="A4723" s="20" t="s">
        <v>21558</v>
      </c>
      <c r="B4723" s="150"/>
      <c r="C4723" s="21" t="s">
        <v>20911</v>
      </c>
      <c r="D4723" s="109" t="s">
        <v>3101</v>
      </c>
      <c r="E4723" s="109"/>
      <c r="F4723" s="391" t="s">
        <v>20941</v>
      </c>
      <c r="G4723" s="23" t="s">
        <v>14403</v>
      </c>
      <c r="H4723" s="23"/>
      <c r="I4723" s="23"/>
      <c r="J4723" s="23"/>
      <c r="K4723" s="23"/>
      <c r="L4723" s="375"/>
      <c r="M4723" s="351"/>
      <c r="N4723" s="267">
        <f t="shared" si="1805"/>
        <v>0</v>
      </c>
      <c r="O4723" s="268">
        <f t="shared" si="1806"/>
        <v>0</v>
      </c>
      <c r="P4723" s="239"/>
      <c r="Q4723" s="239"/>
      <c r="R4723" s="239"/>
      <c r="S4723" s="239"/>
      <c r="T4723" s="239"/>
      <c r="U4723" s="240"/>
      <c r="V4723" s="240"/>
      <c r="W4723" s="240"/>
      <c r="X4723" s="278"/>
      <c r="Y4723" s="237"/>
      <c r="Z4723" s="237"/>
      <c r="AA4723" s="279"/>
      <c r="AB4723" s="238"/>
      <c r="AC4723" s="196">
        <f t="shared" si="1770"/>
        <v>0</v>
      </c>
      <c r="AD4723" s="196">
        <f t="shared" si="1771"/>
        <v>0</v>
      </c>
      <c r="AE4723" s="196">
        <f t="shared" si="1772"/>
        <v>0</v>
      </c>
      <c r="AF4723" s="2">
        <f t="shared" si="1773"/>
        <v>0</v>
      </c>
      <c r="AG4723" s="2">
        <f t="shared" si="1774"/>
        <v>0</v>
      </c>
    </row>
    <row r="4724" spans="1:33">
      <c r="A4724" s="20" t="s">
        <v>25474</v>
      </c>
      <c r="B4724" s="150"/>
      <c r="C4724" s="21" t="s">
        <v>25497</v>
      </c>
      <c r="D4724" s="109" t="s">
        <v>9855</v>
      </c>
      <c r="E4724" s="109"/>
      <c r="F4724" s="391" t="s">
        <v>25502</v>
      </c>
      <c r="G4724" s="23" t="s">
        <v>25501</v>
      </c>
      <c r="H4724" s="23"/>
      <c r="I4724" s="23"/>
      <c r="J4724" s="23"/>
      <c r="K4724" s="23"/>
      <c r="L4724" s="375" t="s">
        <v>45</v>
      </c>
      <c r="M4724" s="351"/>
      <c r="N4724" s="267">
        <f t="shared" ref="N4724" si="1811">SUM(L4724:M4724)</f>
        <v>0</v>
      </c>
      <c r="O4724" s="268">
        <f t="shared" ref="O4724" si="1812">SUM(P4724:Z4724)</f>
        <v>0</v>
      </c>
      <c r="P4724" s="239"/>
      <c r="Q4724" s="239"/>
      <c r="R4724" s="239"/>
      <c r="S4724" s="239"/>
      <c r="T4724" s="239"/>
      <c r="U4724" s="240"/>
      <c r="V4724" s="240"/>
      <c r="W4724" s="240"/>
      <c r="X4724" s="278"/>
      <c r="Y4724" s="237"/>
      <c r="Z4724" s="237"/>
      <c r="AA4724" s="279"/>
      <c r="AB4724" s="238"/>
      <c r="AC4724" s="196">
        <f t="shared" si="1770"/>
        <v>0</v>
      </c>
      <c r="AD4724" s="196">
        <f t="shared" si="1771"/>
        <v>0</v>
      </c>
      <c r="AE4724" s="196">
        <f t="shared" si="1772"/>
        <v>0</v>
      </c>
      <c r="AF4724" s="2">
        <f t="shared" si="1773"/>
        <v>0</v>
      </c>
      <c r="AG4724" s="2">
        <f t="shared" si="1774"/>
        <v>0</v>
      </c>
    </row>
    <row r="4725" spans="1:33">
      <c r="A4725" s="20" t="s">
        <v>25622</v>
      </c>
      <c r="B4725" s="150"/>
      <c r="C4725" s="21" t="s">
        <v>25550</v>
      </c>
      <c r="D4725" s="109" t="s">
        <v>6766</v>
      </c>
      <c r="E4725" s="109"/>
      <c r="F4725" s="391" t="s">
        <v>25794</v>
      </c>
      <c r="G4725" s="23" t="s">
        <v>13888</v>
      </c>
      <c r="H4725" s="23"/>
      <c r="I4725" s="23"/>
      <c r="J4725" s="23"/>
      <c r="K4725" s="23"/>
      <c r="L4725" s="375" t="s">
        <v>45</v>
      </c>
      <c r="M4725" s="351" t="s">
        <v>45</v>
      </c>
      <c r="N4725" s="267">
        <f t="shared" ref="N4725" si="1813">SUM(L4725:M4725)</f>
        <v>0</v>
      </c>
      <c r="O4725" s="268">
        <f t="shared" ref="O4725" si="1814">SUM(P4725:Z4725)</f>
        <v>0</v>
      </c>
      <c r="P4725" s="239"/>
      <c r="Q4725" s="239"/>
      <c r="R4725" s="239"/>
      <c r="S4725" s="239"/>
      <c r="T4725" s="239"/>
      <c r="U4725" s="240"/>
      <c r="V4725" s="240"/>
      <c r="W4725" s="240"/>
      <c r="X4725" s="278"/>
      <c r="Y4725" s="237"/>
      <c r="Z4725" s="237"/>
      <c r="AA4725" s="279"/>
      <c r="AB4725" s="238"/>
      <c r="AC4725" s="196">
        <f t="shared" si="1770"/>
        <v>0</v>
      </c>
      <c r="AD4725" s="196">
        <f t="shared" si="1771"/>
        <v>0</v>
      </c>
      <c r="AE4725" s="196">
        <f t="shared" si="1772"/>
        <v>0</v>
      </c>
      <c r="AF4725" s="2">
        <f t="shared" si="1773"/>
        <v>0</v>
      </c>
      <c r="AG4725" s="2">
        <f t="shared" si="1774"/>
        <v>0</v>
      </c>
    </row>
    <row r="4726" spans="1:33">
      <c r="A4726" s="20" t="s">
        <v>25481</v>
      </c>
      <c r="B4726" s="150"/>
      <c r="C4726" s="21" t="s">
        <v>25512</v>
      </c>
      <c r="D4726" s="109" t="s">
        <v>9855</v>
      </c>
      <c r="E4726" s="109"/>
      <c r="F4726" s="391" t="s">
        <v>25525</v>
      </c>
      <c r="G4726" s="23" t="s">
        <v>6133</v>
      </c>
      <c r="H4726" s="23" t="s">
        <v>26239</v>
      </c>
      <c r="I4726" s="23"/>
      <c r="J4726" s="23"/>
      <c r="K4726" s="23"/>
      <c r="L4726" s="375" t="s">
        <v>45</v>
      </c>
      <c r="M4726" s="351"/>
      <c r="N4726" s="267">
        <f t="shared" ref="N4726" si="1815">SUM(L4726:M4726)</f>
        <v>0</v>
      </c>
      <c r="O4726" s="268">
        <f t="shared" ref="O4726" si="1816">SUM(P4726:Z4726)</f>
        <v>150</v>
      </c>
      <c r="P4726" s="239"/>
      <c r="Q4726" s="239">
        <f>1200-510-30-300-210</f>
        <v>150</v>
      </c>
      <c r="R4726" s="239"/>
      <c r="S4726" s="239"/>
      <c r="T4726" s="239"/>
      <c r="U4726" s="240"/>
      <c r="V4726" s="240"/>
      <c r="W4726" s="240"/>
      <c r="X4726" s="278"/>
      <c r="Y4726" s="237"/>
      <c r="Z4726" s="237"/>
      <c r="AA4726" s="279"/>
      <c r="AB4726" s="238" t="s">
        <v>25514</v>
      </c>
      <c r="AC4726" s="196">
        <f t="shared" si="1770"/>
        <v>150</v>
      </c>
      <c r="AD4726" s="196">
        <f t="shared" si="1771"/>
        <v>150</v>
      </c>
      <c r="AE4726" s="196">
        <f t="shared" si="1772"/>
        <v>0</v>
      </c>
      <c r="AF4726" s="2">
        <f t="shared" si="1773"/>
        <v>150</v>
      </c>
      <c r="AG4726" s="2">
        <f t="shared" si="1774"/>
        <v>0</v>
      </c>
    </row>
    <row r="4727" spans="1:33">
      <c r="A4727" s="20" t="s">
        <v>25621</v>
      </c>
      <c r="B4727" s="150"/>
      <c r="C4727" s="21" t="s">
        <v>25719</v>
      </c>
      <c r="D4727" s="109" t="s">
        <v>9855</v>
      </c>
      <c r="E4727" s="109" t="s">
        <v>25767</v>
      </c>
      <c r="F4727" s="391" t="s">
        <v>25765</v>
      </c>
      <c r="G4727" s="23" t="s">
        <v>13888</v>
      </c>
      <c r="H4727" s="23"/>
      <c r="I4727" s="23"/>
      <c r="J4727" s="23"/>
      <c r="K4727" s="23"/>
      <c r="L4727" s="375"/>
      <c r="M4727" s="351"/>
      <c r="N4727" s="267">
        <f t="shared" ref="N4727" si="1817">SUM(L4727:M4727)</f>
        <v>0</v>
      </c>
      <c r="O4727" s="268">
        <f t="shared" ref="O4727" si="1818">SUM(P4727:Z4727)</f>
        <v>60</v>
      </c>
      <c r="P4727" s="239"/>
      <c r="Q4727" s="239"/>
      <c r="R4727" s="239"/>
      <c r="S4727" s="239"/>
      <c r="T4727" s="239"/>
      <c r="U4727" s="240">
        <f>120-60</f>
        <v>60</v>
      </c>
      <c r="V4727" s="240"/>
      <c r="W4727" s="240"/>
      <c r="X4727" s="278"/>
      <c r="Y4727" s="237"/>
      <c r="Z4727" s="237"/>
      <c r="AA4727" s="279"/>
      <c r="AB4727" s="238" t="s">
        <v>26312</v>
      </c>
      <c r="AC4727" s="196">
        <f t="shared" si="1770"/>
        <v>60</v>
      </c>
      <c r="AD4727" s="196">
        <f t="shared" si="1771"/>
        <v>60</v>
      </c>
      <c r="AE4727" s="196">
        <f t="shared" si="1772"/>
        <v>0</v>
      </c>
      <c r="AF4727" s="2">
        <f t="shared" si="1773"/>
        <v>60</v>
      </c>
      <c r="AG4727" s="2">
        <f t="shared" si="1774"/>
        <v>0</v>
      </c>
    </row>
    <row r="4728" spans="1:33">
      <c r="A4728" s="20" t="s">
        <v>25820</v>
      </c>
      <c r="B4728" s="150"/>
      <c r="C4728" s="21" t="s">
        <v>25910</v>
      </c>
      <c r="D4728" s="109" t="s">
        <v>9855</v>
      </c>
      <c r="E4728" s="109" t="s">
        <v>25911</v>
      </c>
      <c r="F4728" s="391" t="s">
        <v>25951</v>
      </c>
      <c r="G4728" s="23" t="s">
        <v>6133</v>
      </c>
      <c r="H4728" s="23"/>
      <c r="I4728" s="23"/>
      <c r="J4728" s="23"/>
      <c r="K4728" s="23"/>
      <c r="L4728" s="375"/>
      <c r="M4728" s="351"/>
      <c r="N4728" s="267">
        <f t="shared" ref="N4728" si="1819">SUM(L4728:M4728)</f>
        <v>0</v>
      </c>
      <c r="O4728" s="268">
        <f t="shared" ref="O4728" si="1820">SUM(P4728:Z4728)</f>
        <v>390</v>
      </c>
      <c r="P4728" s="239"/>
      <c r="Q4728" s="239">
        <f>690-300</f>
        <v>390</v>
      </c>
      <c r="R4728" s="239"/>
      <c r="S4728" s="239"/>
      <c r="T4728" s="239"/>
      <c r="U4728" s="240"/>
      <c r="V4728" s="240"/>
      <c r="W4728" s="240"/>
      <c r="X4728" s="278"/>
      <c r="Y4728" s="237"/>
      <c r="Z4728" s="237"/>
      <c r="AA4728" s="279"/>
      <c r="AB4728" s="238" t="s">
        <v>25955</v>
      </c>
      <c r="AC4728" s="196">
        <f t="shared" si="1770"/>
        <v>390</v>
      </c>
      <c r="AD4728" s="196">
        <f t="shared" si="1771"/>
        <v>390</v>
      </c>
      <c r="AE4728" s="196">
        <f t="shared" si="1772"/>
        <v>0</v>
      </c>
      <c r="AF4728" s="2">
        <f t="shared" si="1773"/>
        <v>390</v>
      </c>
      <c r="AG4728" s="2">
        <f t="shared" si="1774"/>
        <v>0</v>
      </c>
    </row>
    <row r="4729" spans="1:33">
      <c r="A4729" s="20" t="s">
        <v>25620</v>
      </c>
      <c r="B4729" s="150"/>
      <c r="C4729" s="21" t="s">
        <v>25758</v>
      </c>
      <c r="D4729" s="109" t="s">
        <v>9855</v>
      </c>
      <c r="E4729" s="109" t="s">
        <v>25768</v>
      </c>
      <c r="F4729" s="391" t="s">
        <v>25766</v>
      </c>
      <c r="G4729" s="23" t="s">
        <v>13888</v>
      </c>
      <c r="H4729" s="23" t="s">
        <v>27165</v>
      </c>
      <c r="I4729" s="23"/>
      <c r="J4729" s="23"/>
      <c r="K4729" s="23"/>
      <c r="L4729" s="375" t="s">
        <v>27385</v>
      </c>
      <c r="M4729" s="351" t="s">
        <v>45</v>
      </c>
      <c r="N4729" s="267">
        <f t="shared" ref="N4729:N4730" si="1821">SUM(L4729:M4729)</f>
        <v>0</v>
      </c>
      <c r="O4729" s="268">
        <f t="shared" ref="O4729:O4730" si="1822">SUM(P4729:Z4729)</f>
        <v>300</v>
      </c>
      <c r="P4729" s="239"/>
      <c r="Q4729" s="239"/>
      <c r="R4729" s="239"/>
      <c r="S4729" s="239"/>
      <c r="T4729" s="239"/>
      <c r="U4729" s="240">
        <f>570-210-60</f>
        <v>300</v>
      </c>
      <c r="V4729" s="240"/>
      <c r="W4729" s="240"/>
      <c r="X4729" s="278"/>
      <c r="Y4729" s="237"/>
      <c r="Z4729" s="237"/>
      <c r="AA4729" s="279"/>
      <c r="AB4729" s="238" t="s">
        <v>27381</v>
      </c>
      <c r="AC4729" s="196">
        <f t="shared" si="1770"/>
        <v>300</v>
      </c>
      <c r="AD4729" s="196">
        <f t="shared" si="1771"/>
        <v>300</v>
      </c>
      <c r="AE4729" s="196">
        <f t="shared" si="1772"/>
        <v>0</v>
      </c>
      <c r="AF4729" s="2">
        <f t="shared" si="1773"/>
        <v>300</v>
      </c>
      <c r="AG4729" s="2">
        <f t="shared" si="1774"/>
        <v>0</v>
      </c>
    </row>
    <row r="4730" spans="1:33">
      <c r="A4730" s="20" t="s">
        <v>25821</v>
      </c>
      <c r="B4730" s="150"/>
      <c r="C4730" s="21" t="s">
        <v>25952</v>
      </c>
      <c r="D4730" s="109" t="s">
        <v>24785</v>
      </c>
      <c r="E4730" s="109" t="s">
        <v>25321</v>
      </c>
      <c r="F4730" s="391" t="s">
        <v>25950</v>
      </c>
      <c r="G4730" s="23" t="s">
        <v>10645</v>
      </c>
      <c r="H4730" s="23" t="s">
        <v>26139</v>
      </c>
      <c r="I4730" s="23" t="s">
        <v>26143</v>
      </c>
      <c r="J4730" s="23" t="s">
        <v>26917</v>
      </c>
      <c r="K4730" s="23"/>
      <c r="L4730" s="375"/>
      <c r="M4730" s="351" t="s">
        <v>27870</v>
      </c>
      <c r="N4730" s="267">
        <f t="shared" si="1821"/>
        <v>0</v>
      </c>
      <c r="O4730" s="268">
        <f t="shared" si="1822"/>
        <v>26520</v>
      </c>
      <c r="P4730" s="239"/>
      <c r="Q4730" s="239"/>
      <c r="R4730" s="239">
        <f>870-600+4770-300-1800+1440+1890-1800-150+1350-1800-1800-300+480-330-1800+1590-690+5100-3600+1980+3660-1800+6180+2190+1350-1800+1860-1800+6240+1530+4740-600-1800+1800+2100-1800+720-1800-360-1800+1770-360+2160-900+5860-1800+80-1800-1800</f>
        <v>26520</v>
      </c>
      <c r="S4730" s="239"/>
      <c r="T4730" s="239"/>
      <c r="U4730" s="240"/>
      <c r="V4730" s="240"/>
      <c r="W4730" s="240"/>
      <c r="X4730" s="278"/>
      <c r="Y4730" s="237"/>
      <c r="Z4730" s="237"/>
      <c r="AA4730" s="279"/>
      <c r="AB4730" s="238" t="s">
        <v>27965</v>
      </c>
      <c r="AC4730" s="196">
        <f t="shared" si="1770"/>
        <v>26520</v>
      </c>
      <c r="AD4730" s="196">
        <f t="shared" si="1771"/>
        <v>26520</v>
      </c>
      <c r="AE4730" s="196">
        <f t="shared" si="1772"/>
        <v>0</v>
      </c>
      <c r="AF4730" s="2">
        <f t="shared" si="1773"/>
        <v>26520</v>
      </c>
      <c r="AG4730" s="2">
        <f t="shared" si="1774"/>
        <v>0</v>
      </c>
    </row>
    <row r="4731" spans="1:33">
      <c r="A4731" s="20" t="s">
        <v>27119</v>
      </c>
      <c r="B4731" s="150"/>
      <c r="C4731" s="21" t="s">
        <v>25952</v>
      </c>
      <c r="D4731" s="109" t="s">
        <v>24785</v>
      </c>
      <c r="E4731" s="109" t="s">
        <v>27168</v>
      </c>
      <c r="F4731" s="391" t="s">
        <v>25950</v>
      </c>
      <c r="G4731" s="23" t="s">
        <v>10645</v>
      </c>
      <c r="H4731" s="23" t="s">
        <v>27166</v>
      </c>
      <c r="I4731" s="23" t="s">
        <v>26346</v>
      </c>
      <c r="J4731" s="23" t="s">
        <v>27167</v>
      </c>
      <c r="K4731" s="23"/>
      <c r="L4731" s="375" t="s">
        <v>7787</v>
      </c>
      <c r="M4731" s="351" t="s">
        <v>7787</v>
      </c>
      <c r="N4731" s="267">
        <f t="shared" ref="N4731" si="1823">SUM(L4731:M4731)</f>
        <v>0</v>
      </c>
      <c r="O4731" s="268">
        <f t="shared" ref="O4731" si="1824">SUM(P4731:Z4731)</f>
        <v>0</v>
      </c>
      <c r="P4731" s="239"/>
      <c r="Q4731" s="239"/>
      <c r="R4731" s="239"/>
      <c r="S4731" s="239"/>
      <c r="T4731" s="239"/>
      <c r="U4731" s="240"/>
      <c r="V4731" s="240"/>
      <c r="W4731" s="240"/>
      <c r="X4731" s="278"/>
      <c r="Y4731" s="237"/>
      <c r="Z4731" s="237"/>
      <c r="AA4731" s="279"/>
      <c r="AB4731" s="238"/>
      <c r="AC4731" s="196">
        <f t="shared" ref="AC4731" si="1825">SUM(P4731:AA4731)</f>
        <v>0</v>
      </c>
      <c r="AD4731" s="196">
        <f t="shared" ref="AD4731" si="1826">SUM(P4731:AB4731)</f>
        <v>0</v>
      </c>
      <c r="AE4731" s="196">
        <f t="shared" ref="AE4731" si="1827">SUM(AC4731-AD4731)</f>
        <v>0</v>
      </c>
      <c r="AF4731" s="2">
        <f t="shared" ref="AF4731" si="1828">+AC4731</f>
        <v>0</v>
      </c>
      <c r="AG4731" s="2">
        <f t="shared" ref="AG4731" si="1829">+AC4731-AF4731</f>
        <v>0</v>
      </c>
    </row>
    <row r="4732" spans="1:33">
      <c r="A4732" s="20" t="s">
        <v>3031</v>
      </c>
      <c r="B4732" s="150"/>
      <c r="C4732" s="21" t="s">
        <v>879</v>
      </c>
      <c r="D4732" s="109" t="s">
        <v>15161</v>
      </c>
      <c r="E4732" s="109"/>
      <c r="F4732" s="391" t="s">
        <v>16992</v>
      </c>
      <c r="G4732" s="23"/>
      <c r="H4732" s="23"/>
      <c r="I4732" s="23"/>
      <c r="J4732" s="23"/>
      <c r="K4732" s="23"/>
      <c r="L4732" s="350"/>
      <c r="M4732" s="351"/>
      <c r="N4732" s="267">
        <f t="shared" si="1728"/>
        <v>0</v>
      </c>
      <c r="O4732" s="268">
        <f t="shared" si="1729"/>
        <v>0</v>
      </c>
      <c r="P4732" s="239"/>
      <c r="Q4732" s="239"/>
      <c r="R4732" s="239"/>
      <c r="S4732" s="239"/>
      <c r="T4732" s="239"/>
      <c r="U4732" s="240"/>
      <c r="V4732" s="240"/>
      <c r="W4732" s="240"/>
      <c r="X4732" s="278"/>
      <c r="Y4732" s="237"/>
      <c r="Z4732" s="237"/>
      <c r="AA4732" s="279"/>
      <c r="AB4732" s="238"/>
      <c r="AC4732" s="196">
        <f t="shared" si="1770"/>
        <v>0</v>
      </c>
      <c r="AD4732" s="196">
        <f t="shared" si="1771"/>
        <v>0</v>
      </c>
      <c r="AE4732" s="196">
        <f t="shared" si="1772"/>
        <v>0</v>
      </c>
      <c r="AF4732" s="2">
        <f t="shared" si="1773"/>
        <v>0</v>
      </c>
      <c r="AG4732" s="2">
        <f t="shared" si="1774"/>
        <v>0</v>
      </c>
    </row>
    <row r="4733" spans="1:33">
      <c r="A4733" s="20" t="s">
        <v>26260</v>
      </c>
      <c r="B4733" s="150"/>
      <c r="C4733" s="21" t="s">
        <v>26290</v>
      </c>
      <c r="D4733" s="109" t="s">
        <v>5979</v>
      </c>
      <c r="E4733" s="109" t="s">
        <v>26302</v>
      </c>
      <c r="F4733" s="391" t="s">
        <v>26301</v>
      </c>
      <c r="G4733" s="23" t="s">
        <v>26305</v>
      </c>
      <c r="H4733" s="23"/>
      <c r="I4733" s="23"/>
      <c r="J4733" s="23"/>
      <c r="K4733" s="23"/>
      <c r="L4733" s="350" t="s">
        <v>45</v>
      </c>
      <c r="M4733" s="351"/>
      <c r="N4733" s="267">
        <f t="shared" ref="N4733" si="1830">SUM(L4733:M4733)</f>
        <v>0</v>
      </c>
      <c r="O4733" s="268">
        <f t="shared" ref="O4733" si="1831">SUM(P4733:Z4733)</f>
        <v>180</v>
      </c>
      <c r="P4733" s="239"/>
      <c r="Q4733" s="239"/>
      <c r="R4733" s="239"/>
      <c r="S4733" s="239"/>
      <c r="T4733" s="239"/>
      <c r="U4733" s="240"/>
      <c r="V4733" s="240">
        <f>1480-1000-300</f>
        <v>180</v>
      </c>
      <c r="W4733" s="240"/>
      <c r="X4733" s="278"/>
      <c r="Y4733" s="237"/>
      <c r="Z4733" s="237"/>
      <c r="AA4733" s="279"/>
      <c r="AB4733" s="238" t="s">
        <v>26300</v>
      </c>
      <c r="AC4733" s="196">
        <f t="shared" si="1770"/>
        <v>180</v>
      </c>
      <c r="AD4733" s="196">
        <f t="shared" si="1771"/>
        <v>180</v>
      </c>
      <c r="AE4733" s="196">
        <f t="shared" si="1772"/>
        <v>0</v>
      </c>
      <c r="AF4733" s="2">
        <f t="shared" si="1773"/>
        <v>180</v>
      </c>
      <c r="AG4733" s="2">
        <f t="shared" si="1774"/>
        <v>0</v>
      </c>
    </row>
    <row r="4734" spans="1:33">
      <c r="A4734" s="20" t="s">
        <v>26378</v>
      </c>
      <c r="B4734" s="150"/>
      <c r="C4734" s="21" t="s">
        <v>26463</v>
      </c>
      <c r="D4734" s="109" t="s">
        <v>24785</v>
      </c>
      <c r="E4734" s="109"/>
      <c r="F4734" s="391" t="s">
        <v>26465</v>
      </c>
      <c r="G4734" s="23" t="s">
        <v>26827</v>
      </c>
      <c r="H4734" s="23" t="s">
        <v>26464</v>
      </c>
      <c r="I4734" s="23"/>
      <c r="J4734" s="23"/>
      <c r="K4734" s="23"/>
      <c r="L4734" s="350" t="s">
        <v>45</v>
      </c>
      <c r="M4734" s="351" t="s">
        <v>45</v>
      </c>
      <c r="N4734" s="267">
        <f t="shared" ref="N4734" si="1832">SUM(L4734:M4734)</f>
        <v>0</v>
      </c>
      <c r="O4734" s="268">
        <f t="shared" ref="O4734" si="1833">SUM(P4734:Z4734)</f>
        <v>480</v>
      </c>
      <c r="P4734" s="239"/>
      <c r="Q4734" s="239">
        <f>300+300+1860+540-2520</f>
        <v>480</v>
      </c>
      <c r="R4734" s="239"/>
      <c r="S4734" s="239"/>
      <c r="T4734" s="239"/>
      <c r="U4734" s="240"/>
      <c r="V4734" s="240"/>
      <c r="W4734" s="240"/>
      <c r="X4734" s="278"/>
      <c r="Y4734" s="237"/>
      <c r="Z4734" s="237"/>
      <c r="AA4734" s="279"/>
      <c r="AB4734" s="238" t="s">
        <v>26957</v>
      </c>
      <c r="AC4734" s="196">
        <f t="shared" si="1770"/>
        <v>480</v>
      </c>
      <c r="AD4734" s="196">
        <f t="shared" si="1771"/>
        <v>480</v>
      </c>
      <c r="AE4734" s="196">
        <f t="shared" si="1772"/>
        <v>0</v>
      </c>
      <c r="AF4734" s="2">
        <f t="shared" si="1773"/>
        <v>480</v>
      </c>
      <c r="AG4734" s="2">
        <f t="shared" si="1774"/>
        <v>0</v>
      </c>
    </row>
    <row r="4735" spans="1:33">
      <c r="A4735" s="20" t="s">
        <v>3032</v>
      </c>
      <c r="B4735" s="150"/>
      <c r="C4735" s="21" t="s">
        <v>880</v>
      </c>
      <c r="D4735" s="109" t="s">
        <v>15167</v>
      </c>
      <c r="E4735" s="109"/>
      <c r="F4735" s="391" t="s">
        <v>16993</v>
      </c>
      <c r="G4735" s="23" t="s">
        <v>16310</v>
      </c>
      <c r="H4735" s="23"/>
      <c r="I4735" s="23"/>
      <c r="J4735" s="23"/>
      <c r="K4735" s="23"/>
      <c r="L4735" s="375" t="s">
        <v>7787</v>
      </c>
      <c r="M4735" s="351" t="s">
        <v>7787</v>
      </c>
      <c r="N4735" s="267">
        <f t="shared" si="1728"/>
        <v>0</v>
      </c>
      <c r="O4735" s="268">
        <f t="shared" si="1729"/>
        <v>0</v>
      </c>
      <c r="P4735" s="239"/>
      <c r="Q4735" s="239"/>
      <c r="R4735" s="239"/>
      <c r="S4735" s="239"/>
      <c r="T4735" s="239"/>
      <c r="U4735" s="240"/>
      <c r="V4735" s="240"/>
      <c r="W4735" s="240"/>
      <c r="X4735" s="278"/>
      <c r="Y4735" s="237"/>
      <c r="Z4735" s="237"/>
      <c r="AA4735" s="279"/>
      <c r="AB4735" s="238"/>
      <c r="AC4735" s="196">
        <f t="shared" si="1770"/>
        <v>0</v>
      </c>
      <c r="AD4735" s="196">
        <f t="shared" si="1771"/>
        <v>0</v>
      </c>
      <c r="AE4735" s="196">
        <f t="shared" si="1772"/>
        <v>0</v>
      </c>
      <c r="AF4735" s="2">
        <f t="shared" si="1773"/>
        <v>0</v>
      </c>
      <c r="AG4735" s="2">
        <f t="shared" si="1774"/>
        <v>0</v>
      </c>
    </row>
    <row r="4736" spans="1:33">
      <c r="A4736" s="20" t="s">
        <v>26381</v>
      </c>
      <c r="B4736" s="150"/>
      <c r="C4736" s="21" t="s">
        <v>26499</v>
      </c>
      <c r="D4736" s="109" t="s">
        <v>24785</v>
      </c>
      <c r="E4736" s="109" t="s">
        <v>26504</v>
      </c>
      <c r="F4736" s="391" t="s">
        <v>26505</v>
      </c>
      <c r="G4736" s="23" t="s">
        <v>26503</v>
      </c>
      <c r="H4736" s="23"/>
      <c r="I4736" s="23"/>
      <c r="J4736" s="23"/>
      <c r="K4736" s="23"/>
      <c r="L4736" s="375" t="s">
        <v>28053</v>
      </c>
      <c r="M4736" s="351" t="s">
        <v>27815</v>
      </c>
      <c r="N4736" s="267">
        <f t="shared" ref="N4736" si="1834">SUM(L4736:M4736)</f>
        <v>0</v>
      </c>
      <c r="O4736" s="268">
        <f t="shared" ref="O4736" si="1835">SUM(P4736:Z4736)</f>
        <v>22500</v>
      </c>
      <c r="P4736" s="239"/>
      <c r="Q4736" s="239"/>
      <c r="R4736" s="239">
        <f>1080-900+3930+4050+1830+4020-1800+2100-300+4260+4230</f>
        <v>22500</v>
      </c>
      <c r="S4736" s="239"/>
      <c r="T4736" s="239"/>
      <c r="U4736" s="240"/>
      <c r="V4736" s="240"/>
      <c r="W4736" s="240"/>
      <c r="X4736" s="278"/>
      <c r="Y4736" s="237"/>
      <c r="Z4736" s="237"/>
      <c r="AA4736" s="279"/>
      <c r="AB4736" s="238" t="s">
        <v>28021</v>
      </c>
      <c r="AC4736" s="196">
        <f t="shared" si="1770"/>
        <v>22500</v>
      </c>
      <c r="AD4736" s="196">
        <f t="shared" si="1771"/>
        <v>22500</v>
      </c>
      <c r="AE4736" s="196">
        <f t="shared" si="1772"/>
        <v>0</v>
      </c>
      <c r="AF4736" s="2">
        <f t="shared" si="1773"/>
        <v>22500</v>
      </c>
      <c r="AG4736" s="2">
        <f t="shared" si="1774"/>
        <v>0</v>
      </c>
    </row>
    <row r="4737" spans="1:33">
      <c r="A4737" s="20" t="s">
        <v>26874</v>
      </c>
      <c r="B4737" s="150"/>
      <c r="C4737" s="21" t="s">
        <v>26955</v>
      </c>
      <c r="D4737" s="109" t="s">
        <v>5979</v>
      </c>
      <c r="E4737" s="109" t="s">
        <v>22282</v>
      </c>
      <c r="F4737" s="391" t="s">
        <v>26958</v>
      </c>
      <c r="G4737" s="23" t="s">
        <v>6133</v>
      </c>
      <c r="H4737" s="23" t="s">
        <v>20371</v>
      </c>
      <c r="I4737" s="23" t="s">
        <v>27162</v>
      </c>
      <c r="J4737" s="23"/>
      <c r="K4737" s="23"/>
      <c r="L4737" s="375">
        <v>270</v>
      </c>
      <c r="M4737" s="351"/>
      <c r="N4737" s="267">
        <f t="shared" ref="N4737" si="1836">SUM(L4737:M4737)</f>
        <v>270</v>
      </c>
      <c r="O4737" s="268">
        <f t="shared" ref="O4737" si="1837">SUM(P4737:Z4737)</f>
        <v>11700</v>
      </c>
      <c r="P4737" s="239"/>
      <c r="Q4737" s="239"/>
      <c r="R4737" s="239">
        <f>2820-1800+5730-1800+3840-3600-1800-1800+930-1800+4920+2400+2160+1500</f>
        <v>11700</v>
      </c>
      <c r="S4737" s="239"/>
      <c r="T4737" s="239"/>
      <c r="U4737" s="240"/>
      <c r="V4737" s="240"/>
      <c r="W4737" s="240"/>
      <c r="X4737" s="278"/>
      <c r="Y4737" s="237"/>
      <c r="Z4737" s="237"/>
      <c r="AA4737" s="279"/>
      <c r="AB4737" s="238" t="s">
        <v>28009</v>
      </c>
      <c r="AC4737" s="196"/>
      <c r="AD4737" s="196">
        <f t="shared" si="1771"/>
        <v>11700</v>
      </c>
      <c r="AE4737" s="196"/>
    </row>
    <row r="4738" spans="1:33">
      <c r="A4738" s="20" t="s">
        <v>26875</v>
      </c>
      <c r="B4738" s="150"/>
      <c r="C4738" s="21" t="s">
        <v>26966</v>
      </c>
      <c r="D4738" s="109" t="s">
        <v>24785</v>
      </c>
      <c r="E4738" s="109"/>
      <c r="F4738" s="391" t="s">
        <v>26974</v>
      </c>
      <c r="G4738" s="23" t="s">
        <v>13888</v>
      </c>
      <c r="H4738" s="23" t="s">
        <v>24466</v>
      </c>
      <c r="I4738" s="23"/>
      <c r="J4738" s="23"/>
      <c r="K4738" s="23"/>
      <c r="L4738" s="375"/>
      <c r="M4738" s="351"/>
      <c r="N4738" s="267">
        <f t="shared" ref="N4738" si="1838">SUM(L4738:M4738)</f>
        <v>0</v>
      </c>
      <c r="O4738" s="268">
        <f t="shared" ref="O4738" si="1839">SUM(P4738:Z4738)</f>
        <v>2640</v>
      </c>
      <c r="P4738" s="239"/>
      <c r="Q4738" s="239"/>
      <c r="R4738" s="239"/>
      <c r="S4738" s="239"/>
      <c r="T4738" s="239"/>
      <c r="U4738" s="240">
        <f>2460+1740-240-300-510-510</f>
        <v>2640</v>
      </c>
      <c r="V4738" s="240"/>
      <c r="W4738" s="240"/>
      <c r="X4738" s="278"/>
      <c r="Y4738" s="237"/>
      <c r="Z4738" s="237"/>
      <c r="AA4738" s="279"/>
      <c r="AB4738" s="238" t="s">
        <v>27184</v>
      </c>
      <c r="AC4738" s="196"/>
      <c r="AD4738" s="196"/>
      <c r="AE4738" s="196"/>
    </row>
    <row r="4739" spans="1:33">
      <c r="A4739" s="20" t="s">
        <v>26872</v>
      </c>
      <c r="B4739" s="150"/>
      <c r="C4739" s="21" t="s">
        <v>26952</v>
      </c>
      <c r="D4739" s="109" t="s">
        <v>24785</v>
      </c>
      <c r="E4739" s="109"/>
      <c r="F4739" s="391" t="s">
        <v>27291</v>
      </c>
      <c r="G4739" s="23" t="s">
        <v>26953</v>
      </c>
      <c r="H4739" s="23"/>
      <c r="I4739" s="23"/>
      <c r="J4739" s="23"/>
      <c r="K4739" s="23"/>
      <c r="L4739" s="375" t="s">
        <v>45</v>
      </c>
      <c r="M4739" s="351" t="s">
        <v>45</v>
      </c>
      <c r="N4739" s="267">
        <f t="shared" ref="N4739" si="1840">SUM(L4739:M4739)</f>
        <v>0</v>
      </c>
      <c r="O4739" s="268">
        <f t="shared" ref="O4739" si="1841">SUM(P4739:Z4739)</f>
        <v>210</v>
      </c>
      <c r="P4739" s="239"/>
      <c r="Q4739" s="239"/>
      <c r="R4739" s="239"/>
      <c r="S4739" s="239"/>
      <c r="T4739" s="239"/>
      <c r="U4739" s="240">
        <f>2580+240+2390-5000</f>
        <v>210</v>
      </c>
      <c r="V4739" s="240"/>
      <c r="W4739" s="240"/>
      <c r="X4739" s="278"/>
      <c r="Y4739" s="240"/>
      <c r="Z4739" s="237"/>
      <c r="AA4739" s="279"/>
      <c r="AB4739" s="238" t="s">
        <v>27292</v>
      </c>
      <c r="AC4739" s="196">
        <f t="shared" ref="AC4739" si="1842">SUM(P4739:AA4739)</f>
        <v>210</v>
      </c>
      <c r="AD4739" s="196">
        <f t="shared" ref="AD4739:AD4740" si="1843">SUM(P4739:AB4739)</f>
        <v>210</v>
      </c>
      <c r="AE4739" s="196">
        <f t="shared" ref="AE4739" si="1844">SUM(AC4739-AD4739)</f>
        <v>0</v>
      </c>
      <c r="AF4739" s="2">
        <f t="shared" ref="AF4739" si="1845">+AC4739</f>
        <v>210</v>
      </c>
      <c r="AG4739" s="2">
        <f t="shared" ref="AG4739" si="1846">+AC4739-AF4739</f>
        <v>0</v>
      </c>
    </row>
    <row r="4740" spans="1:33">
      <c r="A4740" s="20" t="s">
        <v>27113</v>
      </c>
      <c r="B4740" s="150"/>
      <c r="C4740" s="21" t="s">
        <v>26985</v>
      </c>
      <c r="D4740" s="109" t="s">
        <v>24785</v>
      </c>
      <c r="E4740" s="109" t="s">
        <v>22282</v>
      </c>
      <c r="F4740" s="391" t="s">
        <v>26989</v>
      </c>
      <c r="G4740" s="23" t="s">
        <v>13888</v>
      </c>
      <c r="H4740" s="23" t="s">
        <v>27151</v>
      </c>
      <c r="I4740" s="23" t="s">
        <v>27394</v>
      </c>
      <c r="J4740" s="23"/>
      <c r="K4740" s="23"/>
      <c r="L4740" s="375" t="s">
        <v>27799</v>
      </c>
      <c r="M4740" s="351" t="s">
        <v>27493</v>
      </c>
      <c r="N4740" s="267">
        <f t="shared" ref="N4740:N4749" si="1847">SUM(L4740:M4740)</f>
        <v>0</v>
      </c>
      <c r="O4740" s="268">
        <f t="shared" ref="O4740:O4749" si="1848">SUM(P4740:Z4740)</f>
        <v>6300</v>
      </c>
      <c r="P4740" s="239"/>
      <c r="Q4740" s="239"/>
      <c r="R4740" s="239"/>
      <c r="S4740" s="239"/>
      <c r="T4740" s="239"/>
      <c r="U4740" s="240">
        <f>2190-1980+2430+5580-3210-1020+2310</f>
        <v>6300</v>
      </c>
      <c r="V4740" s="240"/>
      <c r="W4740" s="240"/>
      <c r="X4740" s="278"/>
      <c r="Y4740" s="237"/>
      <c r="Z4740" s="237"/>
      <c r="AA4740" s="279"/>
      <c r="AB4740" s="238" t="s">
        <v>27496</v>
      </c>
      <c r="AC4740" s="196"/>
      <c r="AD4740" s="196">
        <f t="shared" si="1843"/>
        <v>6300</v>
      </c>
      <c r="AE4740" s="196"/>
    </row>
    <row r="4741" spans="1:33">
      <c r="A4741" s="20" t="s">
        <v>27118</v>
      </c>
      <c r="B4741" s="150"/>
      <c r="C4741" s="21" t="s">
        <v>27169</v>
      </c>
      <c r="D4741" s="109" t="s">
        <v>24785</v>
      </c>
      <c r="E4741" s="109" t="s">
        <v>22282</v>
      </c>
      <c r="F4741" s="391" t="s">
        <v>27178</v>
      </c>
      <c r="G4741" s="23" t="s">
        <v>26240</v>
      </c>
      <c r="H4741" s="23"/>
      <c r="I4741" s="23"/>
      <c r="J4741" s="23"/>
      <c r="K4741" s="23"/>
      <c r="L4741" s="375" t="s">
        <v>45</v>
      </c>
      <c r="M4741" s="351" t="s">
        <v>45</v>
      </c>
      <c r="N4741" s="267">
        <f t="shared" ref="N4741:N4747" si="1849">SUM(L4741:M4741)</f>
        <v>0</v>
      </c>
      <c r="O4741" s="268">
        <f t="shared" ref="O4741:O4747" si="1850">SUM(P4741:Z4741)</f>
        <v>600</v>
      </c>
      <c r="P4741" s="239"/>
      <c r="Q4741" s="239">
        <f>1200-600</f>
        <v>600</v>
      </c>
      <c r="R4741" s="239"/>
      <c r="S4741" s="239"/>
      <c r="T4741" s="239"/>
      <c r="U4741" s="240"/>
      <c r="V4741" s="240"/>
      <c r="W4741" s="240"/>
      <c r="X4741" s="278"/>
      <c r="Y4741" s="237"/>
      <c r="Z4741" s="237"/>
      <c r="AA4741" s="279"/>
      <c r="AB4741" s="238" t="s">
        <v>27179</v>
      </c>
      <c r="AC4741" s="196"/>
      <c r="AD4741" s="196"/>
      <c r="AE4741" s="196"/>
    </row>
    <row r="4742" spans="1:33">
      <c r="A4742" s="20" t="s">
        <v>27117</v>
      </c>
      <c r="B4742" s="150"/>
      <c r="C4742" s="21" t="s">
        <v>27155</v>
      </c>
      <c r="D4742" s="109" t="s">
        <v>24785</v>
      </c>
      <c r="E4742" s="109"/>
      <c r="F4742" s="391" t="s">
        <v>27156</v>
      </c>
      <c r="G4742" s="23" t="s">
        <v>23228</v>
      </c>
      <c r="H4742" s="23"/>
      <c r="I4742" s="23"/>
      <c r="J4742" s="23"/>
      <c r="K4742" s="23"/>
      <c r="L4742" s="375" t="s">
        <v>45</v>
      </c>
      <c r="M4742" s="351"/>
      <c r="N4742" s="267">
        <f t="shared" si="1849"/>
        <v>0</v>
      </c>
      <c r="O4742" s="268">
        <f t="shared" si="1850"/>
        <v>900</v>
      </c>
      <c r="P4742" s="239"/>
      <c r="Q4742" s="239">
        <f>900-300+300</f>
        <v>900</v>
      </c>
      <c r="R4742" s="239"/>
      <c r="S4742" s="239"/>
      <c r="T4742" s="239"/>
      <c r="U4742" s="240"/>
      <c r="V4742" s="240"/>
      <c r="W4742" s="240"/>
      <c r="X4742" s="278"/>
      <c r="Y4742" s="237"/>
      <c r="Z4742" s="237"/>
      <c r="AA4742" s="279"/>
      <c r="AB4742" s="238" t="s">
        <v>27174</v>
      </c>
      <c r="AC4742" s="196"/>
      <c r="AD4742" s="196"/>
      <c r="AE4742" s="196"/>
    </row>
    <row r="4743" spans="1:33">
      <c r="A4743" s="20" t="s">
        <v>27367</v>
      </c>
      <c r="B4743" s="150"/>
      <c r="C4743" s="21" t="s">
        <v>27359</v>
      </c>
      <c r="D4743" s="109" t="s">
        <v>24785</v>
      </c>
      <c r="E4743" s="109"/>
      <c r="F4743" s="391" t="s">
        <v>27388</v>
      </c>
      <c r="G4743" s="23" t="s">
        <v>15625</v>
      </c>
      <c r="H4743" s="23"/>
      <c r="I4743" s="23"/>
      <c r="J4743" s="23"/>
      <c r="K4743" s="23"/>
      <c r="L4743" s="375" t="s">
        <v>27470</v>
      </c>
      <c r="M4743" s="351" t="s">
        <v>27480</v>
      </c>
      <c r="N4743" s="267">
        <f t="shared" ref="N4743" si="1851">SUM(L4743:M4743)</f>
        <v>0</v>
      </c>
      <c r="O4743" s="268">
        <f t="shared" ref="O4743" si="1852">SUM(P4743:Z4743)</f>
        <v>2820</v>
      </c>
      <c r="P4743" s="239"/>
      <c r="Q4743" s="239">
        <f>180+300-300+2670+2220+2160-1980+2310-1020-3510-210</f>
        <v>2820</v>
      </c>
      <c r="R4743" s="239"/>
      <c r="S4743" s="239"/>
      <c r="T4743" s="239"/>
      <c r="U4743" s="240"/>
      <c r="V4743" s="240"/>
      <c r="W4743" s="240"/>
      <c r="X4743" s="278"/>
      <c r="Y4743" s="237"/>
      <c r="Z4743" s="237"/>
      <c r="AA4743" s="279"/>
      <c r="AB4743" s="238" t="s">
        <v>27463</v>
      </c>
      <c r="AC4743" s="196"/>
      <c r="AD4743" s="196"/>
      <c r="AE4743" s="196"/>
    </row>
    <row r="4744" spans="1:33">
      <c r="A4744" s="20"/>
      <c r="B4744" s="150"/>
      <c r="C4744" s="21" t="s">
        <v>27517</v>
      </c>
      <c r="D4744" s="109" t="s">
        <v>24785</v>
      </c>
      <c r="E4744" s="109" t="s">
        <v>27518</v>
      </c>
      <c r="F4744" s="391"/>
      <c r="G4744" s="23" t="s">
        <v>6133</v>
      </c>
      <c r="H4744" s="23"/>
      <c r="I4744" s="23"/>
      <c r="J4744" s="23"/>
      <c r="K4744" s="23"/>
      <c r="L4744" s="375"/>
      <c r="M4744" s="351"/>
      <c r="N4744" s="267">
        <f t="shared" ref="N4744" si="1853">SUM(L4744:M4744)</f>
        <v>0</v>
      </c>
      <c r="O4744" s="268">
        <f t="shared" ref="O4744" si="1854">SUM(P4744:Z4744)</f>
        <v>0</v>
      </c>
      <c r="P4744" s="239"/>
      <c r="Q4744" s="239"/>
      <c r="R4744" s="239"/>
      <c r="S4744" s="239"/>
      <c r="T4744" s="239"/>
      <c r="U4744" s="240"/>
      <c r="V4744" s="240"/>
      <c r="W4744" s="240"/>
      <c r="X4744" s="278"/>
      <c r="Y4744" s="237"/>
      <c r="Z4744" s="237"/>
      <c r="AA4744" s="279"/>
      <c r="AB4744" s="238"/>
      <c r="AC4744" s="196"/>
      <c r="AD4744" s="196"/>
      <c r="AE4744" s="196"/>
    </row>
    <row r="4745" spans="1:33">
      <c r="A4745" s="20"/>
      <c r="B4745" s="150"/>
      <c r="C4745" s="21" t="s">
        <v>27561</v>
      </c>
      <c r="D4745" s="109" t="s">
        <v>24785</v>
      </c>
      <c r="E4745" s="109" t="s">
        <v>22282</v>
      </c>
      <c r="F4745" s="391"/>
      <c r="G4745" s="23" t="s">
        <v>6133</v>
      </c>
      <c r="H4745" s="23"/>
      <c r="I4745" s="23"/>
      <c r="J4745" s="23"/>
      <c r="K4745" s="23"/>
      <c r="L4745" s="375" t="s">
        <v>27571</v>
      </c>
      <c r="M4745" s="351"/>
      <c r="N4745" s="267">
        <f t="shared" ref="N4745" si="1855">SUM(L4745:M4745)</f>
        <v>0</v>
      </c>
      <c r="O4745" s="268">
        <f t="shared" ref="O4745" si="1856">SUM(P4745:Z4745)</f>
        <v>300</v>
      </c>
      <c r="P4745" s="239"/>
      <c r="Q4745" s="239">
        <f>600-300</f>
        <v>300</v>
      </c>
      <c r="R4745" s="239"/>
      <c r="S4745" s="239"/>
      <c r="T4745" s="239"/>
      <c r="U4745" s="240"/>
      <c r="V4745" s="240"/>
      <c r="W4745" s="240"/>
      <c r="X4745" s="278"/>
      <c r="Y4745" s="237"/>
      <c r="Z4745" s="237"/>
      <c r="AA4745" s="279"/>
      <c r="AB4745" s="238" t="s">
        <v>27563</v>
      </c>
      <c r="AC4745" s="196"/>
      <c r="AD4745" s="196"/>
      <c r="AE4745" s="196"/>
    </row>
    <row r="4746" spans="1:33">
      <c r="A4746" s="20"/>
      <c r="B4746" s="150"/>
      <c r="C4746" s="21" t="s">
        <v>27932</v>
      </c>
      <c r="D4746" s="109" t="s">
        <v>24785</v>
      </c>
      <c r="E4746" s="109" t="s">
        <v>22282</v>
      </c>
      <c r="F4746" s="391"/>
      <c r="G4746" s="23" t="s">
        <v>6133</v>
      </c>
      <c r="H4746" s="23"/>
      <c r="I4746" s="23"/>
      <c r="J4746" s="23"/>
      <c r="K4746" s="23"/>
      <c r="L4746" s="375" t="s">
        <v>27951</v>
      </c>
      <c r="M4746" s="351"/>
      <c r="N4746" s="267">
        <f t="shared" ref="N4746" si="1857">SUM(L4746:M4746)</f>
        <v>0</v>
      </c>
      <c r="O4746" s="268">
        <f t="shared" ref="O4746" si="1858">SUM(P4746:Z4746)</f>
        <v>480</v>
      </c>
      <c r="P4746" s="239"/>
      <c r="Q4746" s="239"/>
      <c r="R4746" s="239">
        <f>900-300-120</f>
        <v>480</v>
      </c>
      <c r="S4746" s="239"/>
      <c r="T4746" s="239"/>
      <c r="U4746" s="240"/>
      <c r="V4746" s="240"/>
      <c r="W4746" s="240"/>
      <c r="X4746" s="278"/>
      <c r="Y4746" s="237"/>
      <c r="Z4746" s="237"/>
      <c r="AA4746" s="279"/>
      <c r="AB4746" s="238" t="s">
        <v>27943</v>
      </c>
      <c r="AC4746" s="196"/>
      <c r="AD4746" s="196"/>
      <c r="AE4746" s="196"/>
    </row>
    <row r="4747" spans="1:33">
      <c r="A4747" s="20" t="s">
        <v>3033</v>
      </c>
      <c r="B4747" s="150"/>
      <c r="C4747" s="21" t="s">
        <v>693</v>
      </c>
      <c r="D4747" s="109" t="s">
        <v>16376</v>
      </c>
      <c r="E4747" s="109" t="s">
        <v>15965</v>
      </c>
      <c r="F4747" s="391" t="s">
        <v>16994</v>
      </c>
      <c r="G4747" s="23" t="s">
        <v>16995</v>
      </c>
      <c r="H4747" s="23"/>
      <c r="I4747" s="23"/>
      <c r="J4747" s="23"/>
      <c r="K4747" s="23"/>
      <c r="L4747" s="350"/>
      <c r="M4747" s="357" t="s">
        <v>7787</v>
      </c>
      <c r="N4747" s="267">
        <f t="shared" si="1849"/>
        <v>0</v>
      </c>
      <c r="O4747" s="268">
        <f t="shared" si="1850"/>
        <v>0</v>
      </c>
      <c r="P4747" s="239"/>
      <c r="Q4747" s="239"/>
      <c r="R4747" s="239"/>
      <c r="S4747" s="239"/>
      <c r="T4747" s="239"/>
      <c r="U4747" s="240"/>
      <c r="V4747" s="240"/>
      <c r="W4747" s="240"/>
      <c r="X4747" s="278"/>
      <c r="Y4747" s="237"/>
      <c r="Z4747" s="237"/>
      <c r="AA4747" s="285"/>
      <c r="AB4747" s="238"/>
      <c r="AC4747" s="196">
        <f t="shared" si="1770"/>
        <v>0</v>
      </c>
      <c r="AD4747" s="196">
        <f t="shared" si="1771"/>
        <v>0</v>
      </c>
      <c r="AE4747" s="196">
        <f t="shared" si="1772"/>
        <v>0</v>
      </c>
      <c r="AF4747" s="2">
        <f t="shared" si="1773"/>
        <v>0</v>
      </c>
      <c r="AG4747" s="2">
        <f t="shared" si="1774"/>
        <v>0</v>
      </c>
    </row>
    <row r="4748" spans="1:33">
      <c r="A4748" s="20" t="s">
        <v>3034</v>
      </c>
      <c r="B4748" s="151" t="s">
        <v>16996</v>
      </c>
      <c r="C4748" s="21" t="s">
        <v>693</v>
      </c>
      <c r="D4748" s="109" t="s">
        <v>15161</v>
      </c>
      <c r="E4748" s="109" t="s">
        <v>26191</v>
      </c>
      <c r="F4748" s="391" t="s">
        <v>16994</v>
      </c>
      <c r="G4748" s="23" t="s">
        <v>16141</v>
      </c>
      <c r="H4748" s="23" t="s">
        <v>26142</v>
      </c>
      <c r="I4748" s="23" t="s">
        <v>16997</v>
      </c>
      <c r="J4748" s="23" t="s">
        <v>16669</v>
      </c>
      <c r="K4748" s="23" t="s">
        <v>16468</v>
      </c>
      <c r="L4748" s="375" t="s">
        <v>7787</v>
      </c>
      <c r="M4748" s="351" t="s">
        <v>7787</v>
      </c>
      <c r="N4748" s="267">
        <f t="shared" si="1847"/>
        <v>0</v>
      </c>
      <c r="O4748" s="268">
        <f t="shared" si="1848"/>
        <v>4470</v>
      </c>
      <c r="P4748" s="239"/>
      <c r="Q4748" s="239"/>
      <c r="R4748" s="239"/>
      <c r="S4748" s="239"/>
      <c r="T4748" s="241">
        <f>1980-150+5220-300-90-30-360-60-300-120-120-90-600-510</f>
        <v>4470</v>
      </c>
      <c r="U4748" s="240"/>
      <c r="V4748" s="240"/>
      <c r="W4748" s="240"/>
      <c r="X4748" s="278"/>
      <c r="Y4748" s="237"/>
      <c r="Z4748" s="237"/>
      <c r="AA4748" s="279"/>
      <c r="AB4748" s="238" t="s">
        <v>26196</v>
      </c>
      <c r="AC4748" s="196">
        <f t="shared" si="1770"/>
        <v>4470</v>
      </c>
      <c r="AD4748" s="196">
        <f t="shared" si="1771"/>
        <v>4470</v>
      </c>
      <c r="AE4748" s="196">
        <f t="shared" si="1772"/>
        <v>0</v>
      </c>
      <c r="AF4748" s="2">
        <f t="shared" si="1773"/>
        <v>4470</v>
      </c>
      <c r="AG4748" s="2">
        <f t="shared" si="1774"/>
        <v>0</v>
      </c>
    </row>
    <row r="4749" spans="1:33">
      <c r="A4749" s="20" t="s">
        <v>3035</v>
      </c>
      <c r="B4749" s="150"/>
      <c r="C4749" s="21" t="s">
        <v>881</v>
      </c>
      <c r="D4749" s="109" t="s">
        <v>15167</v>
      </c>
      <c r="E4749" s="109"/>
      <c r="F4749" s="391" t="s">
        <v>16998</v>
      </c>
      <c r="G4749" s="23" t="s">
        <v>16829</v>
      </c>
      <c r="H4749" s="23"/>
      <c r="I4749" s="23"/>
      <c r="J4749" s="23"/>
      <c r="K4749" s="23"/>
      <c r="L4749" s="375" t="s">
        <v>7787</v>
      </c>
      <c r="M4749" s="351" t="s">
        <v>7787</v>
      </c>
      <c r="N4749" s="267">
        <f t="shared" si="1847"/>
        <v>0</v>
      </c>
      <c r="O4749" s="268">
        <f t="shared" si="1848"/>
        <v>0</v>
      </c>
      <c r="P4749" s="239"/>
      <c r="Q4749" s="239"/>
      <c r="R4749" s="239"/>
      <c r="S4749" s="239"/>
      <c r="T4749" s="239"/>
      <c r="U4749" s="240"/>
      <c r="V4749" s="240"/>
      <c r="W4749" s="240"/>
      <c r="X4749" s="278"/>
      <c r="Y4749" s="237"/>
      <c r="Z4749" s="237"/>
      <c r="AA4749" s="279"/>
      <c r="AB4749" s="238"/>
      <c r="AC4749" s="196">
        <f t="shared" si="1770"/>
        <v>0</v>
      </c>
      <c r="AD4749" s="196">
        <f t="shared" si="1771"/>
        <v>0</v>
      </c>
      <c r="AE4749" s="196">
        <f t="shared" si="1772"/>
        <v>0</v>
      </c>
      <c r="AF4749" s="2">
        <f t="shared" si="1773"/>
        <v>0</v>
      </c>
      <c r="AG4749" s="2">
        <f t="shared" si="1774"/>
        <v>0</v>
      </c>
    </row>
    <row r="4750" spans="1:33">
      <c r="A4750" s="20" t="s">
        <v>3036</v>
      </c>
      <c r="B4750" s="152" t="s">
        <v>5900</v>
      </c>
      <c r="C4750" s="21" t="s">
        <v>882</v>
      </c>
      <c r="D4750" s="109" t="s">
        <v>16073</v>
      </c>
      <c r="E4750" s="109"/>
      <c r="F4750" s="391" t="s">
        <v>16999</v>
      </c>
      <c r="G4750" s="23" t="s">
        <v>16141</v>
      </c>
      <c r="H4750" s="23"/>
      <c r="I4750" s="23"/>
      <c r="J4750" s="23"/>
      <c r="K4750" s="23"/>
      <c r="L4750" s="350"/>
      <c r="M4750" s="351"/>
      <c r="N4750" s="267">
        <f t="shared" si="1728"/>
        <v>0</v>
      </c>
      <c r="O4750" s="268">
        <f t="shared" si="1729"/>
        <v>0</v>
      </c>
      <c r="P4750" s="239"/>
      <c r="Q4750" s="239"/>
      <c r="R4750" s="239"/>
      <c r="S4750" s="239"/>
      <c r="T4750" s="239"/>
      <c r="U4750" s="240"/>
      <c r="V4750" s="240"/>
      <c r="W4750" s="240"/>
      <c r="X4750" s="278"/>
      <c r="Y4750" s="237"/>
      <c r="Z4750" s="237"/>
      <c r="AA4750" s="279"/>
      <c r="AB4750" s="238"/>
      <c r="AC4750" s="196">
        <f t="shared" si="1770"/>
        <v>0</v>
      </c>
      <c r="AD4750" s="196">
        <f t="shared" si="1771"/>
        <v>0</v>
      </c>
      <c r="AE4750" s="196">
        <f t="shared" si="1772"/>
        <v>0</v>
      </c>
      <c r="AF4750" s="2">
        <f t="shared" si="1773"/>
        <v>0</v>
      </c>
      <c r="AG4750" s="2">
        <f t="shared" si="1774"/>
        <v>0</v>
      </c>
    </row>
    <row r="4751" spans="1:33">
      <c r="A4751" s="20" t="s">
        <v>3037</v>
      </c>
      <c r="B4751" s="150"/>
      <c r="C4751" s="21" t="s">
        <v>882</v>
      </c>
      <c r="D4751" s="109" t="s">
        <v>16832</v>
      </c>
      <c r="E4751" s="109"/>
      <c r="F4751" s="391" t="s">
        <v>16999</v>
      </c>
      <c r="G4751" s="23" t="s">
        <v>16141</v>
      </c>
      <c r="H4751" s="23"/>
      <c r="I4751" s="23"/>
      <c r="J4751" s="23"/>
      <c r="K4751" s="23"/>
      <c r="L4751" s="350"/>
      <c r="M4751" s="351"/>
      <c r="N4751" s="267">
        <f t="shared" si="1728"/>
        <v>0</v>
      </c>
      <c r="O4751" s="268">
        <f t="shared" si="1729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7"/>
      <c r="Z4751" s="237"/>
      <c r="AA4751" s="279"/>
      <c r="AB4751" s="238"/>
      <c r="AC4751" s="196">
        <f t="shared" si="1770"/>
        <v>0</v>
      </c>
      <c r="AD4751" s="196">
        <f t="shared" si="1771"/>
        <v>0</v>
      </c>
      <c r="AE4751" s="196">
        <f t="shared" si="1772"/>
        <v>0</v>
      </c>
      <c r="AF4751" s="2">
        <f t="shared" si="1773"/>
        <v>0</v>
      </c>
      <c r="AG4751" s="2">
        <f t="shared" si="1774"/>
        <v>0</v>
      </c>
    </row>
    <row r="4752" spans="1:33">
      <c r="A4752" s="20" t="s">
        <v>3042</v>
      </c>
      <c r="B4752" s="150"/>
      <c r="C4752" s="21" t="s">
        <v>692</v>
      </c>
      <c r="D4752" s="109" t="s">
        <v>15964</v>
      </c>
      <c r="E4752" s="109" t="s">
        <v>16658</v>
      </c>
      <c r="F4752" s="391" t="s">
        <v>17000</v>
      </c>
      <c r="G4752" s="23" t="s">
        <v>17001</v>
      </c>
      <c r="H4752" s="23"/>
      <c r="I4752" s="23"/>
      <c r="J4752" s="23"/>
      <c r="K4752" s="23"/>
      <c r="L4752" s="350"/>
      <c r="M4752" s="351"/>
      <c r="N4752" s="267">
        <f t="shared" si="1728"/>
        <v>0</v>
      </c>
      <c r="O4752" s="268">
        <f t="shared" si="1729"/>
        <v>0</v>
      </c>
      <c r="P4752" s="239">
        <v>0</v>
      </c>
      <c r="Q4752" s="239"/>
      <c r="R4752" s="239"/>
      <c r="S4752" s="239"/>
      <c r="T4752" s="239"/>
      <c r="U4752" s="240"/>
      <c r="V4752" s="240"/>
      <c r="W4752" s="240"/>
      <c r="X4752" s="278"/>
      <c r="Y4752" s="237"/>
      <c r="Z4752" s="237"/>
      <c r="AA4752" s="279"/>
      <c r="AB4752" s="238"/>
      <c r="AC4752" s="196">
        <f t="shared" si="1770"/>
        <v>0</v>
      </c>
      <c r="AD4752" s="196">
        <f t="shared" si="1771"/>
        <v>0</v>
      </c>
      <c r="AE4752" s="196">
        <f t="shared" si="1772"/>
        <v>0</v>
      </c>
      <c r="AF4752" s="2">
        <f t="shared" si="1773"/>
        <v>0</v>
      </c>
      <c r="AG4752" s="2">
        <f t="shared" si="1774"/>
        <v>0</v>
      </c>
    </row>
    <row r="4753" spans="1:33">
      <c r="A4753" s="20" t="s">
        <v>3041</v>
      </c>
      <c r="B4753" s="150"/>
      <c r="C4753" s="21" t="s">
        <v>692</v>
      </c>
      <c r="D4753" s="109" t="s">
        <v>15964</v>
      </c>
      <c r="E4753" s="109" t="s">
        <v>15965</v>
      </c>
      <c r="F4753" s="391" t="s">
        <v>17000</v>
      </c>
      <c r="G4753" s="23" t="s">
        <v>17001</v>
      </c>
      <c r="H4753" s="23"/>
      <c r="I4753" s="23"/>
      <c r="J4753" s="23"/>
      <c r="K4753" s="23"/>
      <c r="L4753" s="350"/>
      <c r="M4753" s="351"/>
      <c r="N4753" s="267">
        <f t="shared" si="1728"/>
        <v>0</v>
      </c>
      <c r="O4753" s="268">
        <f t="shared" si="1729"/>
        <v>0</v>
      </c>
      <c r="P4753" s="239"/>
      <c r="Q4753" s="239"/>
      <c r="R4753" s="239"/>
      <c r="S4753" s="239"/>
      <c r="T4753" s="239"/>
      <c r="U4753" s="240"/>
      <c r="V4753" s="240"/>
      <c r="W4753" s="240"/>
      <c r="X4753" s="278"/>
      <c r="Y4753" s="237"/>
      <c r="Z4753" s="237"/>
      <c r="AA4753" s="279"/>
      <c r="AB4753" s="238"/>
      <c r="AC4753" s="196">
        <f t="shared" si="1770"/>
        <v>0</v>
      </c>
      <c r="AD4753" s="196">
        <f t="shared" si="1771"/>
        <v>0</v>
      </c>
      <c r="AE4753" s="196">
        <f t="shared" si="1772"/>
        <v>0</v>
      </c>
      <c r="AF4753" s="2">
        <f t="shared" si="1773"/>
        <v>0</v>
      </c>
      <c r="AG4753" s="2">
        <f t="shared" si="1774"/>
        <v>0</v>
      </c>
    </row>
    <row r="4754" spans="1:33">
      <c r="A4754" s="20" t="s">
        <v>3040</v>
      </c>
      <c r="B4754" s="150"/>
      <c r="C4754" s="21" t="s">
        <v>692</v>
      </c>
      <c r="D4754" s="109" t="s">
        <v>16460</v>
      </c>
      <c r="E4754" s="109"/>
      <c r="F4754" s="391" t="s">
        <v>17000</v>
      </c>
      <c r="G4754" s="23" t="s">
        <v>17001</v>
      </c>
      <c r="H4754" s="23"/>
      <c r="I4754" s="23"/>
      <c r="J4754" s="23"/>
      <c r="K4754" s="23"/>
      <c r="L4754" s="350"/>
      <c r="M4754" s="351"/>
      <c r="N4754" s="267">
        <f t="shared" si="1728"/>
        <v>0</v>
      </c>
      <c r="O4754" s="268">
        <f t="shared" si="1729"/>
        <v>0</v>
      </c>
      <c r="P4754" s="239"/>
      <c r="Q4754" s="239"/>
      <c r="R4754" s="239"/>
      <c r="S4754" s="239"/>
      <c r="T4754" s="239"/>
      <c r="U4754" s="240"/>
      <c r="V4754" s="240"/>
      <c r="W4754" s="240"/>
      <c r="X4754" s="278"/>
      <c r="Y4754" s="239"/>
      <c r="Z4754" s="237"/>
      <c r="AA4754" s="279"/>
      <c r="AB4754" s="238"/>
      <c r="AC4754" s="196">
        <f t="shared" si="1770"/>
        <v>0</v>
      </c>
      <c r="AD4754" s="196">
        <f t="shared" si="1771"/>
        <v>0</v>
      </c>
      <c r="AE4754" s="196">
        <f t="shared" si="1772"/>
        <v>0</v>
      </c>
      <c r="AF4754" s="2">
        <f t="shared" si="1773"/>
        <v>0</v>
      </c>
      <c r="AG4754" s="2">
        <f t="shared" si="1774"/>
        <v>0</v>
      </c>
    </row>
    <row r="4755" spans="1:33">
      <c r="A4755" s="20" t="s">
        <v>3039</v>
      </c>
      <c r="B4755" s="150"/>
      <c r="C4755" s="21" t="s">
        <v>692</v>
      </c>
      <c r="D4755" s="109" t="s">
        <v>17002</v>
      </c>
      <c r="E4755" s="109" t="s">
        <v>15965</v>
      </c>
      <c r="F4755" s="391" t="s">
        <v>17003</v>
      </c>
      <c r="G4755" s="23" t="s">
        <v>17001</v>
      </c>
      <c r="H4755" s="23"/>
      <c r="I4755" s="23"/>
      <c r="J4755" s="23"/>
      <c r="K4755" s="23"/>
      <c r="L4755" s="350"/>
      <c r="M4755" s="351"/>
      <c r="N4755" s="267">
        <f t="shared" si="1728"/>
        <v>0</v>
      </c>
      <c r="O4755" s="268">
        <f t="shared" si="1729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7"/>
      <c r="Z4755" s="237"/>
      <c r="AA4755" s="279"/>
      <c r="AB4755" s="238"/>
      <c r="AC4755" s="196">
        <f t="shared" si="1770"/>
        <v>0</v>
      </c>
      <c r="AD4755" s="196">
        <f t="shared" si="1771"/>
        <v>0</v>
      </c>
      <c r="AE4755" s="196">
        <f t="shared" si="1772"/>
        <v>0</v>
      </c>
      <c r="AF4755" s="2">
        <f t="shared" si="1773"/>
        <v>0</v>
      </c>
      <c r="AG4755" s="2">
        <f t="shared" si="1774"/>
        <v>0</v>
      </c>
    </row>
    <row r="4756" spans="1:33">
      <c r="A4756" s="20" t="s">
        <v>3038</v>
      </c>
      <c r="B4756" s="150"/>
      <c r="C4756" s="21" t="s">
        <v>692</v>
      </c>
      <c r="D4756" s="109" t="s">
        <v>17002</v>
      </c>
      <c r="E4756" s="109"/>
      <c r="F4756" s="391" t="s">
        <v>17003</v>
      </c>
      <c r="G4756" s="23" t="s">
        <v>17001</v>
      </c>
      <c r="H4756" s="23"/>
      <c r="I4756" s="23"/>
      <c r="J4756" s="23"/>
      <c r="K4756" s="23"/>
      <c r="L4756" s="350"/>
      <c r="M4756" s="351"/>
      <c r="N4756" s="267">
        <f t="shared" si="1728"/>
        <v>0</v>
      </c>
      <c r="O4756" s="268">
        <f t="shared" si="1729"/>
        <v>0</v>
      </c>
      <c r="P4756" s="239"/>
      <c r="Q4756" s="239"/>
      <c r="R4756" s="239"/>
      <c r="S4756" s="239"/>
      <c r="T4756" s="239"/>
      <c r="U4756" s="240"/>
      <c r="V4756" s="240"/>
      <c r="W4756" s="240"/>
      <c r="X4756" s="278"/>
      <c r="Y4756" s="237"/>
      <c r="Z4756" s="237"/>
      <c r="AA4756" s="279"/>
      <c r="AB4756" s="238"/>
      <c r="AC4756" s="196">
        <f t="shared" si="1770"/>
        <v>0</v>
      </c>
      <c r="AD4756" s="196">
        <f t="shared" si="1771"/>
        <v>0</v>
      </c>
      <c r="AE4756" s="196">
        <f t="shared" si="1772"/>
        <v>0</v>
      </c>
      <c r="AF4756" s="2">
        <f t="shared" si="1773"/>
        <v>0</v>
      </c>
      <c r="AG4756" s="2">
        <f t="shared" si="1774"/>
        <v>0</v>
      </c>
    </row>
    <row r="4757" spans="1:33">
      <c r="A4757" s="20" t="s">
        <v>5532</v>
      </c>
      <c r="B4757" s="152" t="s">
        <v>5901</v>
      </c>
      <c r="C4757" s="21" t="s">
        <v>883</v>
      </c>
      <c r="D4757" s="109" t="s">
        <v>16073</v>
      </c>
      <c r="E4757" s="109"/>
      <c r="F4757" s="391" t="s">
        <v>17004</v>
      </c>
      <c r="G4757" s="23" t="s">
        <v>16814</v>
      </c>
      <c r="H4757" s="23" t="s">
        <v>15621</v>
      </c>
      <c r="I4757" s="23" t="s">
        <v>20653</v>
      </c>
      <c r="J4757" s="23" t="s">
        <v>25754</v>
      </c>
      <c r="K4757" s="23" t="s">
        <v>19576</v>
      </c>
      <c r="L4757" s="375" t="s">
        <v>45</v>
      </c>
      <c r="M4757" s="351" t="s">
        <v>7787</v>
      </c>
      <c r="N4757" s="267">
        <f t="shared" si="1728"/>
        <v>0</v>
      </c>
      <c r="O4757" s="268">
        <f t="shared" si="1729"/>
        <v>180</v>
      </c>
      <c r="P4757" s="239"/>
      <c r="Q4757" s="239">
        <f>150-30</f>
        <v>120</v>
      </c>
      <c r="R4757" s="241"/>
      <c r="S4757" s="239"/>
      <c r="T4757" s="241">
        <f>1020-120-600-90-60-90</f>
        <v>60</v>
      </c>
      <c r="U4757" s="240"/>
      <c r="V4757" s="240"/>
      <c r="W4757" s="240"/>
      <c r="X4757" s="278"/>
      <c r="Y4757" s="239"/>
      <c r="Z4757" s="237"/>
      <c r="AA4757" s="279"/>
      <c r="AB4757" s="238" t="s">
        <v>26743</v>
      </c>
      <c r="AC4757" s="196">
        <f t="shared" si="1770"/>
        <v>180</v>
      </c>
      <c r="AD4757" s="196">
        <f t="shared" si="1771"/>
        <v>180</v>
      </c>
      <c r="AE4757" s="196">
        <f t="shared" si="1772"/>
        <v>0</v>
      </c>
      <c r="AF4757" s="2">
        <f t="shared" si="1773"/>
        <v>180</v>
      </c>
      <c r="AG4757" s="2">
        <f t="shared" si="1774"/>
        <v>0</v>
      </c>
    </row>
    <row r="4758" spans="1:33">
      <c r="A4758" s="20" t="s">
        <v>6898</v>
      </c>
      <c r="B4758" s="162"/>
      <c r="C4758" s="21" t="s">
        <v>883</v>
      </c>
      <c r="D4758" s="109" t="s">
        <v>16656</v>
      </c>
      <c r="E4758" s="109"/>
      <c r="F4758" s="391" t="s">
        <v>17004</v>
      </c>
      <c r="G4758" s="23" t="s">
        <v>16997</v>
      </c>
      <c r="H4758" s="23"/>
      <c r="I4758" s="23"/>
      <c r="J4758" s="23"/>
      <c r="K4758" s="23"/>
      <c r="L4758" s="375" t="s">
        <v>45</v>
      </c>
      <c r="M4758" s="351" t="s">
        <v>7787</v>
      </c>
      <c r="N4758" s="267">
        <f t="shared" si="1728"/>
        <v>0</v>
      </c>
      <c r="O4758" s="268">
        <f t="shared" si="1729"/>
        <v>0</v>
      </c>
      <c r="P4758" s="239"/>
      <c r="Q4758" s="239"/>
      <c r="R4758" s="239"/>
      <c r="S4758" s="239"/>
      <c r="T4758" s="239"/>
      <c r="U4758" s="240"/>
      <c r="V4758" s="240"/>
      <c r="W4758" s="240"/>
      <c r="X4758" s="278"/>
      <c r="Y4758" s="237"/>
      <c r="Z4758" s="237"/>
      <c r="AA4758" s="279"/>
      <c r="AB4758" s="238"/>
      <c r="AC4758" s="196">
        <f t="shared" si="1770"/>
        <v>0</v>
      </c>
      <c r="AD4758" s="196">
        <f t="shared" si="1771"/>
        <v>0</v>
      </c>
      <c r="AE4758" s="196">
        <f t="shared" si="1772"/>
        <v>0</v>
      </c>
      <c r="AF4758" s="2">
        <f t="shared" si="1773"/>
        <v>0</v>
      </c>
      <c r="AG4758" s="2">
        <f t="shared" si="1774"/>
        <v>0</v>
      </c>
    </row>
    <row r="4759" spans="1:33">
      <c r="A4759" s="20" t="s">
        <v>3043</v>
      </c>
      <c r="B4759" s="150"/>
      <c r="C4759" s="21" t="s">
        <v>884</v>
      </c>
      <c r="D4759" s="109" t="s">
        <v>15167</v>
      </c>
      <c r="E4759" s="109"/>
      <c r="F4759" s="391" t="s">
        <v>17005</v>
      </c>
      <c r="G4759" s="23" t="s">
        <v>16310</v>
      </c>
      <c r="H4759" s="23"/>
      <c r="I4759" s="23"/>
      <c r="J4759" s="23"/>
      <c r="K4759" s="23"/>
      <c r="L4759" s="375" t="s">
        <v>7787</v>
      </c>
      <c r="M4759" s="351" t="s">
        <v>7787</v>
      </c>
      <c r="N4759" s="267">
        <f t="shared" si="1728"/>
        <v>0</v>
      </c>
      <c r="O4759" s="268">
        <f t="shared" si="1729"/>
        <v>0</v>
      </c>
      <c r="P4759" s="239"/>
      <c r="Q4759" s="239"/>
      <c r="R4759" s="239"/>
      <c r="S4759" s="239"/>
      <c r="T4759" s="239"/>
      <c r="U4759" s="240"/>
      <c r="V4759" s="240"/>
      <c r="W4759" s="240"/>
      <c r="X4759" s="278"/>
      <c r="Y4759" s="239"/>
      <c r="Z4759" s="237"/>
      <c r="AA4759" s="279"/>
      <c r="AB4759" s="238"/>
      <c r="AC4759" s="196">
        <f t="shared" si="1770"/>
        <v>0</v>
      </c>
      <c r="AD4759" s="196">
        <f t="shared" si="1771"/>
        <v>0</v>
      </c>
      <c r="AE4759" s="196">
        <f t="shared" si="1772"/>
        <v>0</v>
      </c>
      <c r="AF4759" s="2">
        <f t="shared" si="1773"/>
        <v>0</v>
      </c>
      <c r="AG4759" s="2">
        <f t="shared" si="1774"/>
        <v>0</v>
      </c>
    </row>
    <row r="4760" spans="1:33">
      <c r="A4760" s="20" t="s">
        <v>3044</v>
      </c>
      <c r="B4760" s="150"/>
      <c r="C4760" s="21" t="s">
        <v>690</v>
      </c>
      <c r="D4760" s="109" t="s">
        <v>15964</v>
      </c>
      <c r="E4760" s="109" t="s">
        <v>16658</v>
      </c>
      <c r="F4760" s="391" t="s">
        <v>17006</v>
      </c>
      <c r="G4760" s="23" t="s">
        <v>17001</v>
      </c>
      <c r="H4760" s="23"/>
      <c r="I4760" s="23"/>
      <c r="J4760" s="23"/>
      <c r="K4760" s="23"/>
      <c r="L4760" s="350"/>
      <c r="M4760" s="351"/>
      <c r="N4760" s="267">
        <f t="shared" si="1728"/>
        <v>0</v>
      </c>
      <c r="O4760" s="268">
        <f t="shared" si="1729"/>
        <v>0</v>
      </c>
      <c r="P4760" s="239"/>
      <c r="Q4760" s="239"/>
      <c r="R4760" s="239"/>
      <c r="S4760" s="239"/>
      <c r="T4760" s="239"/>
      <c r="U4760" s="240"/>
      <c r="V4760" s="240"/>
      <c r="W4760" s="240"/>
      <c r="X4760" s="278"/>
      <c r="Y4760" s="237"/>
      <c r="Z4760" s="237"/>
      <c r="AA4760" s="279"/>
      <c r="AB4760" s="238"/>
      <c r="AC4760" s="196">
        <f t="shared" si="1770"/>
        <v>0</v>
      </c>
      <c r="AD4760" s="196">
        <f t="shared" si="1771"/>
        <v>0</v>
      </c>
      <c r="AE4760" s="196">
        <f t="shared" si="1772"/>
        <v>0</v>
      </c>
      <c r="AF4760" s="2">
        <f t="shared" si="1773"/>
        <v>0</v>
      </c>
      <c r="AG4760" s="2">
        <f t="shared" si="1774"/>
        <v>0</v>
      </c>
    </row>
    <row r="4761" spans="1:33">
      <c r="A4761" s="20" t="s">
        <v>3045</v>
      </c>
      <c r="B4761" s="150"/>
      <c r="C4761" s="21" t="s">
        <v>690</v>
      </c>
      <c r="D4761" s="109" t="s">
        <v>15964</v>
      </c>
      <c r="E4761" s="109" t="s">
        <v>15965</v>
      </c>
      <c r="F4761" s="391" t="s">
        <v>17007</v>
      </c>
      <c r="G4761" s="23" t="s">
        <v>17001</v>
      </c>
      <c r="H4761" s="23"/>
      <c r="I4761" s="23"/>
      <c r="J4761" s="23"/>
      <c r="K4761" s="23"/>
      <c r="L4761" s="350"/>
      <c r="M4761" s="351"/>
      <c r="N4761" s="267">
        <f t="shared" si="1728"/>
        <v>0</v>
      </c>
      <c r="O4761" s="268">
        <f t="shared" si="1729"/>
        <v>0</v>
      </c>
      <c r="P4761" s="239"/>
      <c r="Q4761" s="239"/>
      <c r="R4761" s="239"/>
      <c r="S4761" s="239"/>
      <c r="T4761" s="239"/>
      <c r="U4761" s="240"/>
      <c r="V4761" s="240"/>
      <c r="W4761" s="240"/>
      <c r="X4761" s="278"/>
      <c r="Y4761" s="237"/>
      <c r="Z4761" s="237"/>
      <c r="AA4761" s="279"/>
      <c r="AB4761" s="238"/>
      <c r="AC4761" s="196">
        <f t="shared" si="1770"/>
        <v>0</v>
      </c>
      <c r="AD4761" s="196">
        <f t="shared" si="1771"/>
        <v>0</v>
      </c>
      <c r="AE4761" s="196">
        <f t="shared" si="1772"/>
        <v>0</v>
      </c>
      <c r="AF4761" s="2">
        <f t="shared" si="1773"/>
        <v>0</v>
      </c>
      <c r="AG4761" s="2">
        <f t="shared" si="1774"/>
        <v>0</v>
      </c>
    </row>
    <row r="4762" spans="1:33">
      <c r="A4762" s="20" t="s">
        <v>3046</v>
      </c>
      <c r="B4762" s="150"/>
      <c r="C4762" s="21" t="s">
        <v>690</v>
      </c>
      <c r="D4762" s="109" t="s">
        <v>17002</v>
      </c>
      <c r="E4762" s="109" t="s">
        <v>15965</v>
      </c>
      <c r="F4762" s="391" t="s">
        <v>17008</v>
      </c>
      <c r="G4762" s="23" t="s">
        <v>17001</v>
      </c>
      <c r="H4762" s="23"/>
      <c r="I4762" s="23"/>
      <c r="J4762" s="23"/>
      <c r="K4762" s="23"/>
      <c r="L4762" s="350"/>
      <c r="M4762" s="351"/>
      <c r="N4762" s="267">
        <f t="shared" si="1728"/>
        <v>0</v>
      </c>
      <c r="O4762" s="268">
        <f t="shared" si="1729"/>
        <v>0</v>
      </c>
      <c r="P4762" s="239"/>
      <c r="Q4762" s="239"/>
      <c r="R4762" s="239"/>
      <c r="S4762" s="239"/>
      <c r="T4762" s="239"/>
      <c r="U4762" s="240"/>
      <c r="V4762" s="240"/>
      <c r="W4762" s="240"/>
      <c r="X4762" s="278"/>
      <c r="Y4762" s="237"/>
      <c r="Z4762" s="237"/>
      <c r="AA4762" s="279"/>
      <c r="AB4762" s="238"/>
      <c r="AC4762" s="196">
        <f t="shared" si="1770"/>
        <v>0</v>
      </c>
      <c r="AD4762" s="196">
        <f t="shared" si="1771"/>
        <v>0</v>
      </c>
      <c r="AE4762" s="196">
        <f t="shared" si="1772"/>
        <v>0</v>
      </c>
      <c r="AF4762" s="2">
        <f t="shared" si="1773"/>
        <v>0</v>
      </c>
      <c r="AG4762" s="2">
        <f t="shared" si="1774"/>
        <v>0</v>
      </c>
    </row>
    <row r="4763" spans="1:33">
      <c r="A4763" s="20" t="s">
        <v>3047</v>
      </c>
      <c r="B4763" s="150"/>
      <c r="C4763" s="21" t="s">
        <v>885</v>
      </c>
      <c r="D4763" s="109" t="s">
        <v>16073</v>
      </c>
      <c r="E4763" s="109"/>
      <c r="F4763" s="391" t="s">
        <v>17009</v>
      </c>
      <c r="G4763" s="23" t="s">
        <v>16141</v>
      </c>
      <c r="H4763" s="23"/>
      <c r="I4763" s="23"/>
      <c r="J4763" s="23"/>
      <c r="K4763" s="23"/>
      <c r="L4763" s="350"/>
      <c r="M4763" s="351"/>
      <c r="N4763" s="267">
        <f t="shared" si="1728"/>
        <v>0</v>
      </c>
      <c r="O4763" s="268">
        <f t="shared" si="1729"/>
        <v>0</v>
      </c>
      <c r="P4763" s="239"/>
      <c r="Q4763" s="239"/>
      <c r="R4763" s="239"/>
      <c r="S4763" s="239"/>
      <c r="T4763" s="239"/>
      <c r="U4763" s="240"/>
      <c r="V4763" s="240"/>
      <c r="W4763" s="240"/>
      <c r="X4763" s="278"/>
      <c r="Y4763" s="237"/>
      <c r="Z4763" s="237"/>
      <c r="AA4763" s="279"/>
      <c r="AB4763" s="238"/>
      <c r="AC4763" s="196">
        <f t="shared" si="1770"/>
        <v>0</v>
      </c>
      <c r="AD4763" s="196">
        <f t="shared" si="1771"/>
        <v>0</v>
      </c>
      <c r="AE4763" s="196">
        <f t="shared" si="1772"/>
        <v>0</v>
      </c>
      <c r="AF4763" s="2">
        <f t="shared" si="1773"/>
        <v>0</v>
      </c>
      <c r="AG4763" s="2">
        <f t="shared" si="1774"/>
        <v>0</v>
      </c>
    </row>
    <row r="4764" spans="1:33">
      <c r="A4764" s="20" t="s">
        <v>3048</v>
      </c>
      <c r="B4764" s="150"/>
      <c r="C4764" s="21" t="s">
        <v>691</v>
      </c>
      <c r="D4764" s="109" t="s">
        <v>16376</v>
      </c>
      <c r="E4764" s="109" t="s">
        <v>15965</v>
      </c>
      <c r="F4764" s="391" t="s">
        <v>17010</v>
      </c>
      <c r="G4764" s="23" t="s">
        <v>17011</v>
      </c>
      <c r="H4764" s="23"/>
      <c r="I4764" s="23"/>
      <c r="J4764" s="23"/>
      <c r="K4764" s="23"/>
      <c r="L4764" s="350"/>
      <c r="M4764" s="351"/>
      <c r="N4764" s="267">
        <f t="shared" si="1728"/>
        <v>0</v>
      </c>
      <c r="O4764" s="268">
        <f t="shared" si="1729"/>
        <v>0</v>
      </c>
      <c r="P4764" s="239"/>
      <c r="Q4764" s="239"/>
      <c r="R4764" s="239"/>
      <c r="S4764" s="239"/>
      <c r="T4764" s="239"/>
      <c r="U4764" s="240"/>
      <c r="V4764" s="240"/>
      <c r="W4764" s="240"/>
      <c r="X4764" s="278"/>
      <c r="Y4764" s="237"/>
      <c r="Z4764" s="237"/>
      <c r="AA4764" s="239"/>
      <c r="AB4764" s="238"/>
      <c r="AC4764" s="196">
        <f t="shared" si="1770"/>
        <v>0</v>
      </c>
      <c r="AD4764" s="196">
        <f t="shared" si="1771"/>
        <v>0</v>
      </c>
      <c r="AE4764" s="196">
        <f t="shared" si="1772"/>
        <v>0</v>
      </c>
      <c r="AF4764" s="2">
        <f t="shared" si="1773"/>
        <v>0</v>
      </c>
      <c r="AG4764" s="2">
        <f t="shared" si="1774"/>
        <v>0</v>
      </c>
    </row>
    <row r="4765" spans="1:33">
      <c r="A4765" s="20" t="s">
        <v>3049</v>
      </c>
      <c r="B4765" s="150"/>
      <c r="C4765" s="21" t="s">
        <v>691</v>
      </c>
      <c r="D4765" s="109" t="s">
        <v>16453</v>
      </c>
      <c r="E4765" s="109"/>
      <c r="F4765" s="391" t="s">
        <v>17010</v>
      </c>
      <c r="G4765" s="23" t="s">
        <v>17011</v>
      </c>
      <c r="H4765" s="23" t="s">
        <v>16221</v>
      </c>
      <c r="I4765" s="23" t="s">
        <v>13214</v>
      </c>
      <c r="J4765" s="23"/>
      <c r="K4765" s="23"/>
      <c r="L4765" s="375" t="s">
        <v>7787</v>
      </c>
      <c r="M4765" s="351" t="s">
        <v>7787</v>
      </c>
      <c r="N4765" s="267">
        <f t="shared" si="1728"/>
        <v>0</v>
      </c>
      <c r="O4765" s="268">
        <f t="shared" si="1729"/>
        <v>0</v>
      </c>
      <c r="P4765" s="239"/>
      <c r="Q4765" s="239"/>
      <c r="R4765" s="239"/>
      <c r="S4765" s="239"/>
      <c r="T4765" s="241"/>
      <c r="U4765" s="240"/>
      <c r="V4765" s="240"/>
      <c r="W4765" s="240"/>
      <c r="X4765" s="278"/>
      <c r="Y4765" s="239"/>
      <c r="Z4765" s="237"/>
      <c r="AA4765" s="279"/>
      <c r="AB4765" s="238"/>
      <c r="AC4765" s="196">
        <f t="shared" si="1770"/>
        <v>0</v>
      </c>
      <c r="AD4765" s="196">
        <f t="shared" si="1771"/>
        <v>0</v>
      </c>
      <c r="AE4765" s="196">
        <f t="shared" si="1772"/>
        <v>0</v>
      </c>
      <c r="AF4765" s="2">
        <f t="shared" si="1773"/>
        <v>0</v>
      </c>
      <c r="AG4765" s="2">
        <f t="shared" si="1774"/>
        <v>0</v>
      </c>
    </row>
    <row r="4766" spans="1:33">
      <c r="A4766" s="20" t="s">
        <v>3050</v>
      </c>
      <c r="B4766" s="150"/>
      <c r="C4766" s="21" t="s">
        <v>886</v>
      </c>
      <c r="D4766" s="109" t="s">
        <v>17002</v>
      </c>
      <c r="E4766" s="109"/>
      <c r="F4766" s="391" t="s">
        <v>17012</v>
      </c>
      <c r="G4766" s="23" t="s">
        <v>17001</v>
      </c>
      <c r="H4766" s="23"/>
      <c r="I4766" s="23"/>
      <c r="J4766" s="23"/>
      <c r="K4766" s="23"/>
      <c r="L4766" s="350"/>
      <c r="M4766" s="351"/>
      <c r="N4766" s="267">
        <f t="shared" si="1728"/>
        <v>0</v>
      </c>
      <c r="O4766" s="268">
        <f t="shared" si="1729"/>
        <v>0</v>
      </c>
      <c r="P4766" s="239"/>
      <c r="Q4766" s="239"/>
      <c r="R4766" s="239"/>
      <c r="S4766" s="239"/>
      <c r="T4766" s="239"/>
      <c r="U4766" s="240"/>
      <c r="V4766" s="240"/>
      <c r="W4766" s="240"/>
      <c r="X4766" s="278"/>
      <c r="Y4766" s="237"/>
      <c r="Z4766" s="237"/>
      <c r="AA4766" s="279"/>
      <c r="AB4766" s="238"/>
      <c r="AC4766" s="196">
        <f t="shared" si="1770"/>
        <v>0</v>
      </c>
      <c r="AD4766" s="196">
        <f t="shared" si="1771"/>
        <v>0</v>
      </c>
      <c r="AE4766" s="196">
        <f t="shared" si="1772"/>
        <v>0</v>
      </c>
      <c r="AF4766" s="2">
        <f t="shared" si="1773"/>
        <v>0</v>
      </c>
      <c r="AG4766" s="2">
        <f t="shared" si="1774"/>
        <v>0</v>
      </c>
    </row>
    <row r="4767" spans="1:33">
      <c r="A4767" s="20" t="s">
        <v>3051</v>
      </c>
      <c r="B4767" s="161"/>
      <c r="C4767" s="21" t="s">
        <v>688</v>
      </c>
      <c r="D4767" s="109" t="s">
        <v>17013</v>
      </c>
      <c r="E4767" s="109" t="s">
        <v>15965</v>
      </c>
      <c r="F4767" s="391" t="s">
        <v>17014</v>
      </c>
      <c r="G4767" s="23" t="s">
        <v>16997</v>
      </c>
      <c r="H4767" s="23"/>
      <c r="I4767" s="23"/>
      <c r="J4767" s="23"/>
      <c r="K4767" s="23"/>
      <c r="L4767" s="350"/>
      <c r="M4767" s="357" t="s">
        <v>7787</v>
      </c>
      <c r="N4767" s="267">
        <f t="shared" si="1728"/>
        <v>0</v>
      </c>
      <c r="O4767" s="268">
        <f t="shared" si="1729"/>
        <v>0</v>
      </c>
      <c r="P4767" s="239"/>
      <c r="Q4767" s="239"/>
      <c r="R4767" s="239"/>
      <c r="S4767" s="239"/>
      <c r="T4767" s="239"/>
      <c r="U4767" s="240"/>
      <c r="V4767" s="240"/>
      <c r="W4767" s="240"/>
      <c r="X4767" s="278"/>
      <c r="Y4767" s="237"/>
      <c r="Z4767" s="237"/>
      <c r="AA4767" s="279"/>
      <c r="AB4767" s="238"/>
      <c r="AC4767" s="196">
        <f t="shared" si="1770"/>
        <v>0</v>
      </c>
      <c r="AD4767" s="196">
        <f t="shared" si="1771"/>
        <v>0</v>
      </c>
      <c r="AE4767" s="196">
        <f t="shared" si="1772"/>
        <v>0</v>
      </c>
      <c r="AF4767" s="2">
        <f t="shared" si="1773"/>
        <v>0</v>
      </c>
      <c r="AG4767" s="2">
        <f t="shared" si="1774"/>
        <v>0</v>
      </c>
    </row>
    <row r="4768" spans="1:33">
      <c r="A4768" s="20" t="s">
        <v>3052</v>
      </c>
      <c r="B4768" s="151" t="s">
        <v>6379</v>
      </c>
      <c r="C4768" s="21" t="s">
        <v>688</v>
      </c>
      <c r="D4768" s="109" t="s">
        <v>8270</v>
      </c>
      <c r="E4768" s="109"/>
      <c r="F4768" s="391" t="s">
        <v>17015</v>
      </c>
      <c r="G4768" s="23" t="s">
        <v>17016</v>
      </c>
      <c r="H4768" s="23" t="s">
        <v>26961</v>
      </c>
      <c r="I4768" s="23" t="s">
        <v>15802</v>
      </c>
      <c r="J4768" s="23" t="s">
        <v>25280</v>
      </c>
      <c r="K4768" s="23" t="s">
        <v>18853</v>
      </c>
      <c r="L4768" s="375" t="s">
        <v>7787</v>
      </c>
      <c r="M4768" s="351"/>
      <c r="N4768" s="267">
        <f t="shared" si="1728"/>
        <v>0</v>
      </c>
      <c r="O4768" s="268">
        <f t="shared" si="1729"/>
        <v>120</v>
      </c>
      <c r="P4768" s="239"/>
      <c r="Q4768" s="239"/>
      <c r="R4768" s="239"/>
      <c r="S4768" s="239"/>
      <c r="T4768" s="239"/>
      <c r="U4768" s="240"/>
      <c r="V4768" s="240">
        <f>300-90-90</f>
        <v>120</v>
      </c>
      <c r="W4768" s="240"/>
      <c r="X4768" s="278"/>
      <c r="Y4768" s="237"/>
      <c r="Z4768" s="237"/>
      <c r="AA4768" s="279"/>
      <c r="AB4768" s="238" t="s">
        <v>25240</v>
      </c>
      <c r="AC4768" s="196">
        <f t="shared" si="1770"/>
        <v>120</v>
      </c>
      <c r="AD4768" s="196">
        <f t="shared" si="1771"/>
        <v>120</v>
      </c>
      <c r="AE4768" s="196">
        <f t="shared" si="1772"/>
        <v>0</v>
      </c>
      <c r="AF4768" s="2">
        <f t="shared" si="1773"/>
        <v>120</v>
      </c>
      <c r="AG4768" s="2">
        <f t="shared" si="1774"/>
        <v>0</v>
      </c>
    </row>
    <row r="4769" spans="1:33">
      <c r="A4769" s="20" t="s">
        <v>6899</v>
      </c>
      <c r="B4769" s="151" t="s">
        <v>17017</v>
      </c>
      <c r="C4769" s="21" t="s">
        <v>887</v>
      </c>
      <c r="D4769" s="109" t="s">
        <v>16819</v>
      </c>
      <c r="E4769" s="109" t="s">
        <v>15965</v>
      </c>
      <c r="F4769" s="391" t="s">
        <v>17018</v>
      </c>
      <c r="G4769" s="23" t="s">
        <v>17019</v>
      </c>
      <c r="H4769" s="23"/>
      <c r="I4769" s="23"/>
      <c r="J4769" s="23"/>
      <c r="K4769" s="23"/>
      <c r="L4769" s="350"/>
      <c r="M4769" s="357" t="s">
        <v>7787</v>
      </c>
      <c r="N4769" s="267">
        <f t="shared" si="1728"/>
        <v>0</v>
      </c>
      <c r="O4769" s="268">
        <f t="shared" si="1729"/>
        <v>0</v>
      </c>
      <c r="P4769" s="239"/>
      <c r="Q4769" s="239"/>
      <c r="R4769" s="239"/>
      <c r="S4769" s="239"/>
      <c r="T4769" s="239"/>
      <c r="U4769" s="240"/>
      <c r="V4769" s="240"/>
      <c r="W4769" s="240"/>
      <c r="X4769" s="278"/>
      <c r="Y4769" s="239"/>
      <c r="Z4769" s="237"/>
      <c r="AA4769" s="279"/>
      <c r="AB4769" s="238"/>
      <c r="AC4769" s="196">
        <f t="shared" si="1770"/>
        <v>0</v>
      </c>
      <c r="AD4769" s="196">
        <f t="shared" si="1771"/>
        <v>0</v>
      </c>
      <c r="AE4769" s="196">
        <f t="shared" si="1772"/>
        <v>0</v>
      </c>
      <c r="AF4769" s="2">
        <f t="shared" si="1773"/>
        <v>0</v>
      </c>
      <c r="AG4769" s="2">
        <f t="shared" si="1774"/>
        <v>0</v>
      </c>
    </row>
    <row r="4770" spans="1:33">
      <c r="A4770" s="20" t="s">
        <v>3053</v>
      </c>
      <c r="B4770" s="151" t="s">
        <v>17020</v>
      </c>
      <c r="C4770" s="21" t="s">
        <v>887</v>
      </c>
      <c r="D4770" s="109" t="s">
        <v>16251</v>
      </c>
      <c r="E4770" s="109" t="s">
        <v>26440</v>
      </c>
      <c r="F4770" s="391" t="s">
        <v>17018</v>
      </c>
      <c r="G4770" s="23" t="s">
        <v>26964</v>
      </c>
      <c r="H4770" s="23" t="s">
        <v>26963</v>
      </c>
      <c r="I4770" s="23" t="s">
        <v>15802</v>
      </c>
      <c r="J4770" s="23" t="s">
        <v>13350</v>
      </c>
      <c r="K4770" s="23" t="s">
        <v>13486</v>
      </c>
      <c r="L4770" s="375" t="s">
        <v>45</v>
      </c>
      <c r="M4770" s="351" t="s">
        <v>45</v>
      </c>
      <c r="N4770" s="267">
        <f t="shared" si="1728"/>
        <v>0</v>
      </c>
      <c r="O4770" s="268">
        <f t="shared" si="1729"/>
        <v>8190</v>
      </c>
      <c r="P4770" s="239"/>
      <c r="Q4770" s="239"/>
      <c r="R4770" s="239"/>
      <c r="S4770" s="241"/>
      <c r="T4770" s="241">
        <f>2040-870-1020+3060-510-900+6900-510</f>
        <v>8190</v>
      </c>
      <c r="U4770" s="241"/>
      <c r="V4770" s="240"/>
      <c r="W4770" s="240"/>
      <c r="X4770" s="278"/>
      <c r="Y4770" s="239"/>
      <c r="Z4770" s="237"/>
      <c r="AA4770" s="279"/>
      <c r="AB4770" s="238" t="s">
        <v>27556</v>
      </c>
      <c r="AC4770" s="196">
        <f t="shared" si="1770"/>
        <v>8190</v>
      </c>
      <c r="AD4770" s="196">
        <f t="shared" si="1771"/>
        <v>8190</v>
      </c>
      <c r="AE4770" s="196">
        <f t="shared" si="1772"/>
        <v>0</v>
      </c>
      <c r="AF4770" s="2">
        <f t="shared" si="1773"/>
        <v>8190</v>
      </c>
      <c r="AG4770" s="2">
        <f t="shared" si="1774"/>
        <v>0</v>
      </c>
    </row>
    <row r="4771" spans="1:33">
      <c r="A4771" s="20" t="s">
        <v>26396</v>
      </c>
      <c r="B4771" s="151" t="s">
        <v>26436</v>
      </c>
      <c r="C4771" s="21" t="s">
        <v>887</v>
      </c>
      <c r="D4771" s="109" t="s">
        <v>4063</v>
      </c>
      <c r="E4771" s="109" t="s">
        <v>26439</v>
      </c>
      <c r="F4771" s="391" t="s">
        <v>26437</v>
      </c>
      <c r="G4771" s="23" t="s">
        <v>26962</v>
      </c>
      <c r="H4771" s="23" t="s">
        <v>26961</v>
      </c>
      <c r="I4771" s="23"/>
      <c r="J4771" s="23"/>
      <c r="K4771" s="23"/>
      <c r="L4771" s="375" t="s">
        <v>7787</v>
      </c>
      <c r="M4771" s="351" t="s">
        <v>7787</v>
      </c>
      <c r="N4771" s="267">
        <f t="shared" ref="N4771" si="1859">SUM(L4771:M4771)</f>
        <v>0</v>
      </c>
      <c r="O4771" s="268">
        <f t="shared" ref="O4771" si="1860">SUM(P4771:Z4771)</f>
        <v>150</v>
      </c>
      <c r="P4771" s="239"/>
      <c r="Q4771" s="241"/>
      <c r="R4771" s="239"/>
      <c r="S4771" s="239"/>
      <c r="T4771" s="241">
        <f>2100-480-90-120-120-180-60-150-60-30-30-30-180-150-180-90</f>
        <v>150</v>
      </c>
      <c r="U4771" s="241"/>
      <c r="V4771" s="240"/>
      <c r="W4771" s="240"/>
      <c r="X4771" s="278"/>
      <c r="Y4771" s="239"/>
      <c r="Z4771" s="237"/>
      <c r="AA4771" s="279"/>
      <c r="AB4771" s="238" t="s">
        <v>26438</v>
      </c>
      <c r="AC4771" s="196">
        <f t="shared" si="1770"/>
        <v>150</v>
      </c>
      <c r="AD4771" s="196">
        <f t="shared" si="1771"/>
        <v>150</v>
      </c>
      <c r="AE4771" s="196">
        <f t="shared" si="1772"/>
        <v>0</v>
      </c>
      <c r="AF4771" s="2">
        <f t="shared" si="1773"/>
        <v>150</v>
      </c>
      <c r="AG4771" s="2">
        <f t="shared" si="1774"/>
        <v>0</v>
      </c>
    </row>
    <row r="4772" spans="1:33" ht="18.600000000000001" customHeight="1">
      <c r="A4772" s="20" t="s">
        <v>3054</v>
      </c>
      <c r="B4772" s="161"/>
      <c r="C4772" s="21" t="s">
        <v>888</v>
      </c>
      <c r="D4772" s="109" t="s">
        <v>15167</v>
      </c>
      <c r="E4772" s="109"/>
      <c r="F4772" s="391" t="s">
        <v>17021</v>
      </c>
      <c r="G4772" s="23" t="s">
        <v>16183</v>
      </c>
      <c r="H4772" s="23"/>
      <c r="I4772" s="23"/>
      <c r="J4772" s="23"/>
      <c r="K4772" s="23"/>
      <c r="L4772" s="375"/>
      <c r="M4772" s="351" t="s">
        <v>7787</v>
      </c>
      <c r="N4772" s="267">
        <f t="shared" si="1728"/>
        <v>0</v>
      </c>
      <c r="O4772" s="268">
        <f t="shared" si="1729"/>
        <v>0</v>
      </c>
      <c r="P4772" s="239"/>
      <c r="Q4772" s="248"/>
      <c r="R4772" s="248"/>
      <c r="S4772" s="239"/>
      <c r="T4772" s="239"/>
      <c r="U4772" s="240"/>
      <c r="V4772" s="240"/>
      <c r="W4772" s="240">
        <v>0</v>
      </c>
      <c r="X4772" s="278"/>
      <c r="Y4772" s="237"/>
      <c r="Z4772" s="237"/>
      <c r="AA4772" s="279"/>
      <c r="AB4772" s="238"/>
      <c r="AC4772" s="196">
        <f t="shared" si="1770"/>
        <v>0</v>
      </c>
      <c r="AD4772" s="196">
        <f t="shared" si="1771"/>
        <v>0</v>
      </c>
      <c r="AE4772" s="196">
        <f t="shared" si="1772"/>
        <v>0</v>
      </c>
      <c r="AF4772" s="2">
        <f t="shared" si="1773"/>
        <v>0</v>
      </c>
      <c r="AG4772" s="2">
        <f t="shared" si="1774"/>
        <v>0</v>
      </c>
    </row>
    <row r="4773" spans="1:33">
      <c r="A4773" s="20" t="s">
        <v>21559</v>
      </c>
      <c r="B4773" s="161"/>
      <c r="C4773" s="21" t="s">
        <v>888</v>
      </c>
      <c r="D4773" s="109" t="s">
        <v>3137</v>
      </c>
      <c r="E4773" s="109"/>
      <c r="F4773" s="391" t="s">
        <v>5299</v>
      </c>
      <c r="G4773" s="23" t="s">
        <v>17560</v>
      </c>
      <c r="H4773" s="23" t="s">
        <v>25385</v>
      </c>
      <c r="I4773" s="23"/>
      <c r="J4773" s="23"/>
      <c r="K4773" s="23"/>
      <c r="L4773" s="375" t="s">
        <v>45</v>
      </c>
      <c r="M4773" s="351" t="s">
        <v>7787</v>
      </c>
      <c r="N4773" s="267">
        <f t="shared" si="1728"/>
        <v>0</v>
      </c>
      <c r="O4773" s="268">
        <f t="shared" si="1729"/>
        <v>120</v>
      </c>
      <c r="P4773" s="239"/>
      <c r="Q4773" s="248"/>
      <c r="R4773" s="241"/>
      <c r="S4773" s="239"/>
      <c r="T4773" s="239"/>
      <c r="U4773" s="240">
        <v>120</v>
      </c>
      <c r="V4773" s="240"/>
      <c r="W4773" s="240"/>
      <c r="X4773" s="278"/>
      <c r="Y4773" s="237"/>
      <c r="Z4773" s="237"/>
      <c r="AA4773" s="279"/>
      <c r="AB4773" s="238" t="s">
        <v>25586</v>
      </c>
      <c r="AC4773" s="196">
        <f t="shared" si="1770"/>
        <v>120</v>
      </c>
      <c r="AD4773" s="196">
        <f t="shared" si="1771"/>
        <v>120</v>
      </c>
      <c r="AE4773" s="196">
        <f t="shared" si="1772"/>
        <v>0</v>
      </c>
      <c r="AF4773" s="2">
        <f t="shared" si="1773"/>
        <v>120</v>
      </c>
      <c r="AG4773" s="2">
        <f t="shared" si="1774"/>
        <v>0</v>
      </c>
    </row>
    <row r="4774" spans="1:33">
      <c r="A4774" s="20" t="s">
        <v>3056</v>
      </c>
      <c r="B4774" s="161"/>
      <c r="C4774" s="21" t="s">
        <v>689</v>
      </c>
      <c r="D4774" s="109" t="s">
        <v>17002</v>
      </c>
      <c r="E4774" s="109" t="s">
        <v>16658</v>
      </c>
      <c r="F4774" s="391" t="s">
        <v>17022</v>
      </c>
      <c r="G4774" s="23" t="s">
        <v>17001</v>
      </c>
      <c r="H4774" s="23"/>
      <c r="I4774" s="23"/>
      <c r="J4774" s="23"/>
      <c r="K4774" s="23"/>
      <c r="L4774" s="375" t="s">
        <v>7787</v>
      </c>
      <c r="M4774" s="351"/>
      <c r="N4774" s="267">
        <f t="shared" si="1728"/>
        <v>0</v>
      </c>
      <c r="O4774" s="268">
        <f t="shared" si="1729"/>
        <v>0</v>
      </c>
      <c r="P4774" s="239"/>
      <c r="Q4774" s="239"/>
      <c r="R4774" s="239"/>
      <c r="S4774" s="239"/>
      <c r="T4774" s="239"/>
      <c r="U4774" s="240"/>
      <c r="V4774" s="240"/>
      <c r="W4774" s="240"/>
      <c r="X4774" s="278"/>
      <c r="Y4774" s="237"/>
      <c r="Z4774" s="237"/>
      <c r="AA4774" s="279"/>
      <c r="AB4774" s="238"/>
      <c r="AC4774" s="196">
        <f t="shared" si="1770"/>
        <v>0</v>
      </c>
      <c r="AD4774" s="196">
        <f t="shared" si="1771"/>
        <v>0</v>
      </c>
      <c r="AE4774" s="196">
        <f t="shared" si="1772"/>
        <v>0</v>
      </c>
      <c r="AF4774" s="2">
        <f t="shared" si="1773"/>
        <v>0</v>
      </c>
      <c r="AG4774" s="2">
        <f t="shared" si="1774"/>
        <v>0</v>
      </c>
    </row>
    <row r="4775" spans="1:33">
      <c r="A4775" s="20" t="s">
        <v>3055</v>
      </c>
      <c r="B4775" s="150"/>
      <c r="C4775" s="21" t="s">
        <v>689</v>
      </c>
      <c r="D4775" s="109" t="s">
        <v>17002</v>
      </c>
      <c r="E4775" s="109" t="s">
        <v>15965</v>
      </c>
      <c r="F4775" s="391" t="s">
        <v>17022</v>
      </c>
      <c r="G4775" s="23" t="s">
        <v>17001</v>
      </c>
      <c r="H4775" s="23"/>
      <c r="I4775" s="23"/>
      <c r="J4775" s="23"/>
      <c r="K4775" s="23"/>
      <c r="L4775" s="375"/>
      <c r="M4775" s="351"/>
      <c r="N4775" s="267">
        <f t="shared" si="1728"/>
        <v>0</v>
      </c>
      <c r="O4775" s="268">
        <f t="shared" si="1729"/>
        <v>0</v>
      </c>
      <c r="P4775" s="239"/>
      <c r="Q4775" s="239"/>
      <c r="R4775" s="239"/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/>
      <c r="AC4775" s="196">
        <f t="shared" si="1770"/>
        <v>0</v>
      </c>
      <c r="AD4775" s="196">
        <f t="shared" si="1771"/>
        <v>0</v>
      </c>
      <c r="AE4775" s="196">
        <f t="shared" si="1772"/>
        <v>0</v>
      </c>
      <c r="AF4775" s="2">
        <f t="shared" si="1773"/>
        <v>0</v>
      </c>
      <c r="AG4775" s="2">
        <f t="shared" si="1774"/>
        <v>0</v>
      </c>
    </row>
    <row r="4776" spans="1:33">
      <c r="A4776" s="20" t="s">
        <v>3057</v>
      </c>
      <c r="B4776" s="150"/>
      <c r="C4776" s="21" t="s">
        <v>689</v>
      </c>
      <c r="D4776" s="109" t="s">
        <v>17002</v>
      </c>
      <c r="E4776" s="109"/>
      <c r="F4776" s="391" t="s">
        <v>17022</v>
      </c>
      <c r="G4776" s="23" t="s">
        <v>17001</v>
      </c>
      <c r="H4776" s="23" t="s">
        <v>17023</v>
      </c>
      <c r="I4776" s="23"/>
      <c r="J4776" s="23"/>
      <c r="K4776" s="23"/>
      <c r="L4776" s="375" t="s">
        <v>7787</v>
      </c>
      <c r="M4776" s="351" t="s">
        <v>7787</v>
      </c>
      <c r="N4776" s="267">
        <f t="shared" si="1728"/>
        <v>0</v>
      </c>
      <c r="O4776" s="268">
        <f t="shared" si="1729"/>
        <v>0</v>
      </c>
      <c r="P4776" s="239"/>
      <c r="Q4776" s="239"/>
      <c r="R4776" s="239"/>
      <c r="S4776" s="239"/>
      <c r="T4776" s="239"/>
      <c r="U4776" s="240"/>
      <c r="V4776" s="240"/>
      <c r="W4776" s="240"/>
      <c r="X4776" s="278"/>
      <c r="Y4776" s="237"/>
      <c r="Z4776" s="237"/>
      <c r="AA4776" s="279"/>
      <c r="AB4776" s="238"/>
      <c r="AC4776" s="196">
        <f t="shared" si="1770"/>
        <v>0</v>
      </c>
      <c r="AD4776" s="196">
        <f t="shared" si="1771"/>
        <v>0</v>
      </c>
      <c r="AE4776" s="196">
        <f t="shared" si="1772"/>
        <v>0</v>
      </c>
      <c r="AF4776" s="2">
        <f t="shared" si="1773"/>
        <v>0</v>
      </c>
      <c r="AG4776" s="2">
        <f t="shared" si="1774"/>
        <v>0</v>
      </c>
    </row>
    <row r="4777" spans="1:33">
      <c r="A4777" s="20" t="s">
        <v>3064</v>
      </c>
      <c r="B4777" s="150"/>
      <c r="C4777" s="21" t="s">
        <v>890</v>
      </c>
      <c r="D4777" s="109" t="s">
        <v>15161</v>
      </c>
      <c r="E4777" s="109"/>
      <c r="F4777" s="391" t="s">
        <v>17024</v>
      </c>
      <c r="G4777" s="23"/>
      <c r="H4777" s="23"/>
      <c r="I4777" s="23"/>
      <c r="J4777" s="23"/>
      <c r="K4777" s="23"/>
      <c r="L4777" s="350"/>
      <c r="M4777" s="351"/>
      <c r="N4777" s="267">
        <f t="shared" si="1728"/>
        <v>0</v>
      </c>
      <c r="O4777" s="268">
        <f t="shared" si="1729"/>
        <v>0</v>
      </c>
      <c r="P4777" s="239"/>
      <c r="Q4777" s="239"/>
      <c r="R4777" s="239"/>
      <c r="S4777" s="239"/>
      <c r="T4777" s="239"/>
      <c r="U4777" s="240"/>
      <c r="V4777" s="240"/>
      <c r="W4777" s="240"/>
      <c r="X4777" s="278"/>
      <c r="Y4777" s="237"/>
      <c r="Z4777" s="237"/>
      <c r="AA4777" s="279"/>
      <c r="AB4777" s="238"/>
      <c r="AC4777" s="196">
        <f t="shared" ref="AC4777:AC4842" si="1861">SUM(P4777:AA4777)</f>
        <v>0</v>
      </c>
      <c r="AD4777" s="196">
        <f t="shared" ref="AD4777:AD4842" si="1862">SUM(P4777:AB4777)</f>
        <v>0</v>
      </c>
      <c r="AE4777" s="196">
        <f t="shared" ref="AE4777:AE4842" si="1863">SUM(AC4777-AD4777)</f>
        <v>0</v>
      </c>
      <c r="AF4777" s="2">
        <f t="shared" ref="AF4777:AF4842" si="1864">+AC4777</f>
        <v>0</v>
      </c>
      <c r="AG4777" s="2">
        <f t="shared" ref="AG4777:AG4842" si="1865">+AC4777-AF4777</f>
        <v>0</v>
      </c>
    </row>
    <row r="4778" spans="1:33">
      <c r="A4778" s="20" t="s">
        <v>3065</v>
      </c>
      <c r="B4778" s="150"/>
      <c r="C4778" s="21" t="s">
        <v>890</v>
      </c>
      <c r="D4778" s="109" t="s">
        <v>15167</v>
      </c>
      <c r="E4778" s="109"/>
      <c r="F4778" s="391" t="s">
        <v>17024</v>
      </c>
      <c r="G4778" s="23" t="s">
        <v>17025</v>
      </c>
      <c r="H4778" s="23" t="s">
        <v>17559</v>
      </c>
      <c r="I4778" s="23"/>
      <c r="J4778" s="23"/>
      <c r="K4778" s="23"/>
      <c r="L4778" s="375" t="s">
        <v>7787</v>
      </c>
      <c r="M4778" s="351"/>
      <c r="N4778" s="267">
        <f t="shared" si="1728"/>
        <v>0</v>
      </c>
      <c r="O4778" s="268">
        <f t="shared" si="1729"/>
        <v>0</v>
      </c>
      <c r="P4778" s="239"/>
      <c r="Q4778" s="239"/>
      <c r="R4778" s="239"/>
      <c r="S4778" s="239"/>
      <c r="T4778" s="239"/>
      <c r="U4778" s="240"/>
      <c r="V4778" s="240"/>
      <c r="W4778" s="240"/>
      <c r="X4778" s="278"/>
      <c r="Y4778" s="237"/>
      <c r="Z4778" s="237"/>
      <c r="AA4778" s="279"/>
      <c r="AB4778" s="238"/>
      <c r="AC4778" s="196">
        <f t="shared" si="1861"/>
        <v>0</v>
      </c>
      <c r="AD4778" s="196">
        <f t="shared" si="1862"/>
        <v>0</v>
      </c>
      <c r="AE4778" s="196">
        <f t="shared" si="1863"/>
        <v>0</v>
      </c>
      <c r="AF4778" s="2">
        <f t="shared" si="1864"/>
        <v>0</v>
      </c>
      <c r="AG4778" s="2">
        <f t="shared" si="1865"/>
        <v>0</v>
      </c>
    </row>
    <row r="4779" spans="1:33">
      <c r="A4779" s="20" t="s">
        <v>3058</v>
      </c>
      <c r="B4779" s="150"/>
      <c r="C4779" s="21" t="s">
        <v>889</v>
      </c>
      <c r="D4779" s="109" t="s">
        <v>15167</v>
      </c>
      <c r="E4779" s="109"/>
      <c r="F4779" s="391" t="s">
        <v>17026</v>
      </c>
      <c r="G4779" s="23" t="s">
        <v>16221</v>
      </c>
      <c r="H4779" s="23"/>
      <c r="I4779" s="23"/>
      <c r="J4779" s="23"/>
      <c r="K4779" s="23"/>
      <c r="L4779" s="375"/>
      <c r="M4779" s="351" t="s">
        <v>7787</v>
      </c>
      <c r="N4779" s="267">
        <f t="shared" si="1728"/>
        <v>0</v>
      </c>
      <c r="O4779" s="268">
        <f t="shared" si="1729"/>
        <v>180</v>
      </c>
      <c r="P4779" s="239"/>
      <c r="Q4779" s="239"/>
      <c r="R4779" s="239">
        <f>150+1020-990</f>
        <v>180</v>
      </c>
      <c r="S4779" s="239"/>
      <c r="T4779" s="239"/>
      <c r="U4779" s="240"/>
      <c r="V4779" s="240"/>
      <c r="W4779" s="240"/>
      <c r="X4779" s="278"/>
      <c r="Y4779" s="237"/>
      <c r="Z4779" s="237"/>
      <c r="AA4779" s="279"/>
      <c r="AB4779" s="238" t="s">
        <v>22240</v>
      </c>
      <c r="AC4779" s="196">
        <f t="shared" si="1861"/>
        <v>180</v>
      </c>
      <c r="AD4779" s="196">
        <f t="shared" si="1862"/>
        <v>180</v>
      </c>
      <c r="AE4779" s="196">
        <f t="shared" si="1863"/>
        <v>0</v>
      </c>
      <c r="AF4779" s="2">
        <f t="shared" si="1864"/>
        <v>180</v>
      </c>
      <c r="AG4779" s="2">
        <f t="shared" si="1865"/>
        <v>0</v>
      </c>
    </row>
    <row r="4780" spans="1:33">
      <c r="A4780" s="20" t="s">
        <v>3059</v>
      </c>
      <c r="B4780" s="150"/>
      <c r="C4780" s="21" t="s">
        <v>17027</v>
      </c>
      <c r="D4780" s="109" t="s">
        <v>4059</v>
      </c>
      <c r="E4780" s="109"/>
      <c r="F4780" s="391" t="s">
        <v>17028</v>
      </c>
      <c r="G4780" s="23" t="s">
        <v>16310</v>
      </c>
      <c r="H4780" s="23" t="s">
        <v>18248</v>
      </c>
      <c r="I4780" s="23"/>
      <c r="J4780" s="23"/>
      <c r="K4780" s="23"/>
      <c r="L4780" s="375" t="s">
        <v>7787</v>
      </c>
      <c r="M4780" s="351" t="s">
        <v>7787</v>
      </c>
      <c r="N4780" s="267">
        <f t="shared" si="1728"/>
        <v>0</v>
      </c>
      <c r="O4780" s="268">
        <f t="shared" si="1729"/>
        <v>0</v>
      </c>
      <c r="P4780" s="239"/>
      <c r="Q4780" s="239"/>
      <c r="R4780" s="239"/>
      <c r="S4780" s="239"/>
      <c r="T4780" s="239"/>
      <c r="U4780" s="240"/>
      <c r="V4780" s="240"/>
      <c r="W4780" s="240"/>
      <c r="X4780" s="278"/>
      <c r="Y4780" s="237"/>
      <c r="Z4780" s="237"/>
      <c r="AA4780" s="279"/>
      <c r="AB4780" s="238"/>
      <c r="AC4780" s="196">
        <f t="shared" si="1861"/>
        <v>0</v>
      </c>
      <c r="AD4780" s="196">
        <f t="shared" si="1862"/>
        <v>0</v>
      </c>
      <c r="AE4780" s="196">
        <f t="shared" si="1863"/>
        <v>0</v>
      </c>
      <c r="AF4780" s="2">
        <f t="shared" si="1864"/>
        <v>0</v>
      </c>
      <c r="AG4780" s="2">
        <f t="shared" si="1865"/>
        <v>0</v>
      </c>
    </row>
    <row r="4781" spans="1:33">
      <c r="A4781" s="20" t="s">
        <v>3062</v>
      </c>
      <c r="B4781" s="150"/>
      <c r="C4781" s="21" t="s">
        <v>687</v>
      </c>
      <c r="D4781" s="109" t="s">
        <v>17002</v>
      </c>
      <c r="E4781" s="109" t="s">
        <v>16658</v>
      </c>
      <c r="F4781" s="391" t="s">
        <v>17029</v>
      </c>
      <c r="G4781" s="23" t="s">
        <v>17001</v>
      </c>
      <c r="H4781" s="23"/>
      <c r="I4781" s="23"/>
      <c r="J4781" s="23"/>
      <c r="K4781" s="23"/>
      <c r="L4781" s="375"/>
      <c r="M4781" s="350"/>
      <c r="N4781" s="267">
        <f t="shared" si="1728"/>
        <v>0</v>
      </c>
      <c r="O4781" s="268">
        <f t="shared" si="1729"/>
        <v>0</v>
      </c>
      <c r="P4781" s="239"/>
      <c r="Q4781" s="239"/>
      <c r="R4781" s="239"/>
      <c r="S4781" s="239"/>
      <c r="T4781" s="239"/>
      <c r="U4781" s="240"/>
      <c r="V4781" s="240"/>
      <c r="W4781" s="240"/>
      <c r="X4781" s="278"/>
      <c r="Y4781" s="237"/>
      <c r="Z4781" s="237"/>
      <c r="AA4781" s="279"/>
      <c r="AB4781" s="238"/>
      <c r="AC4781" s="196">
        <f t="shared" si="1861"/>
        <v>0</v>
      </c>
      <c r="AD4781" s="196">
        <f t="shared" si="1862"/>
        <v>0</v>
      </c>
      <c r="AE4781" s="196">
        <f t="shared" si="1863"/>
        <v>0</v>
      </c>
      <c r="AF4781" s="2">
        <f t="shared" si="1864"/>
        <v>0</v>
      </c>
      <c r="AG4781" s="2">
        <f t="shared" si="1865"/>
        <v>0</v>
      </c>
    </row>
    <row r="4782" spans="1:33">
      <c r="A4782" s="20" t="s">
        <v>3061</v>
      </c>
      <c r="B4782" s="150"/>
      <c r="C4782" s="21" t="s">
        <v>687</v>
      </c>
      <c r="D4782" s="109" t="s">
        <v>17002</v>
      </c>
      <c r="E4782" s="109" t="s">
        <v>15965</v>
      </c>
      <c r="F4782" s="391" t="s">
        <v>17029</v>
      </c>
      <c r="G4782" s="23" t="s">
        <v>17001</v>
      </c>
      <c r="H4782" s="23"/>
      <c r="I4782" s="23"/>
      <c r="J4782" s="23"/>
      <c r="K4782" s="23"/>
      <c r="L4782" s="375"/>
      <c r="M4782" s="374"/>
      <c r="N4782" s="267">
        <f t="shared" si="1728"/>
        <v>0</v>
      </c>
      <c r="O4782" s="268">
        <f t="shared" si="1729"/>
        <v>0</v>
      </c>
      <c r="P4782" s="239"/>
      <c r="Q4782" s="239"/>
      <c r="R4782" s="239"/>
      <c r="S4782" s="239"/>
      <c r="T4782" s="239"/>
      <c r="U4782" s="240"/>
      <c r="V4782" s="240"/>
      <c r="W4782" s="240"/>
      <c r="X4782" s="278"/>
      <c r="Y4782" s="237"/>
      <c r="Z4782" s="237"/>
      <c r="AA4782" s="279"/>
      <c r="AB4782" s="238"/>
      <c r="AC4782" s="196">
        <f t="shared" si="1861"/>
        <v>0</v>
      </c>
      <c r="AD4782" s="196">
        <f t="shared" si="1862"/>
        <v>0</v>
      </c>
      <c r="AE4782" s="196">
        <f t="shared" si="1863"/>
        <v>0</v>
      </c>
      <c r="AF4782" s="2">
        <f t="shared" si="1864"/>
        <v>0</v>
      </c>
      <c r="AG4782" s="2">
        <f t="shared" si="1865"/>
        <v>0</v>
      </c>
    </row>
    <row r="4783" spans="1:33">
      <c r="A4783" s="20" t="s">
        <v>3060</v>
      </c>
      <c r="B4783" s="150"/>
      <c r="C4783" s="21" t="s">
        <v>687</v>
      </c>
      <c r="D4783" s="109" t="s">
        <v>17002</v>
      </c>
      <c r="E4783" s="109"/>
      <c r="F4783" s="391" t="s">
        <v>17029</v>
      </c>
      <c r="G4783" s="23" t="s">
        <v>17001</v>
      </c>
      <c r="H4783" s="23"/>
      <c r="I4783" s="23"/>
      <c r="J4783" s="23"/>
      <c r="K4783" s="23"/>
      <c r="L4783" s="375" t="s">
        <v>7787</v>
      </c>
      <c r="M4783" s="359" t="s">
        <v>7787</v>
      </c>
      <c r="N4783" s="267">
        <f t="shared" si="1728"/>
        <v>0</v>
      </c>
      <c r="O4783" s="268">
        <f t="shared" si="1729"/>
        <v>0</v>
      </c>
      <c r="P4783" s="239"/>
      <c r="Q4783" s="239"/>
      <c r="R4783" s="239"/>
      <c r="S4783" s="239"/>
      <c r="T4783" s="239"/>
      <c r="U4783" s="240"/>
      <c r="V4783" s="240"/>
      <c r="W4783" s="240"/>
      <c r="X4783" s="278"/>
      <c r="Y4783" s="237"/>
      <c r="Z4783" s="237"/>
      <c r="AA4783" s="279"/>
      <c r="AB4783" s="238"/>
      <c r="AC4783" s="196">
        <f t="shared" si="1861"/>
        <v>0</v>
      </c>
      <c r="AD4783" s="196">
        <f t="shared" si="1862"/>
        <v>0</v>
      </c>
      <c r="AE4783" s="196">
        <f t="shared" si="1863"/>
        <v>0</v>
      </c>
      <c r="AF4783" s="2">
        <f t="shared" si="1864"/>
        <v>0</v>
      </c>
      <c r="AG4783" s="2">
        <f t="shared" si="1865"/>
        <v>0</v>
      </c>
    </row>
    <row r="4784" spans="1:33">
      <c r="A4784" s="20" t="s">
        <v>3063</v>
      </c>
      <c r="B4784" s="150"/>
      <c r="C4784" s="21" t="s">
        <v>17030</v>
      </c>
      <c r="D4784" s="109" t="s">
        <v>16073</v>
      </c>
      <c r="E4784" s="109" t="s">
        <v>17031</v>
      </c>
      <c r="F4784" s="391" t="s">
        <v>17032</v>
      </c>
      <c r="G4784" s="23" t="s">
        <v>16285</v>
      </c>
      <c r="H4784" s="23"/>
      <c r="I4784" s="23"/>
      <c r="J4784" s="23"/>
      <c r="K4784" s="23"/>
      <c r="L4784" s="375"/>
      <c r="M4784" s="351" t="s">
        <v>45</v>
      </c>
      <c r="N4784" s="267">
        <f t="shared" si="1728"/>
        <v>0</v>
      </c>
      <c r="O4784" s="268">
        <f t="shared" si="1729"/>
        <v>0</v>
      </c>
      <c r="P4784" s="239"/>
      <c r="Q4784" s="239"/>
      <c r="R4784" s="239"/>
      <c r="S4784" s="239"/>
      <c r="T4784" s="239"/>
      <c r="U4784" s="240"/>
      <c r="V4784" s="240"/>
      <c r="W4784" s="240"/>
      <c r="X4784" s="278"/>
      <c r="Y4784" s="237"/>
      <c r="Z4784" s="237"/>
      <c r="AA4784" s="279"/>
      <c r="AB4784" s="238"/>
      <c r="AC4784" s="196">
        <f t="shared" si="1861"/>
        <v>0</v>
      </c>
      <c r="AD4784" s="196">
        <f t="shared" si="1862"/>
        <v>0</v>
      </c>
      <c r="AE4784" s="196">
        <f t="shared" si="1863"/>
        <v>0</v>
      </c>
      <c r="AF4784" s="2">
        <f t="shared" si="1864"/>
        <v>0</v>
      </c>
      <c r="AG4784" s="2">
        <f t="shared" si="1865"/>
        <v>0</v>
      </c>
    </row>
    <row r="4785" spans="1:33">
      <c r="A4785" s="20" t="s">
        <v>6900</v>
      </c>
      <c r="B4785" s="150"/>
      <c r="C4785" s="21" t="s">
        <v>17030</v>
      </c>
      <c r="D4785" s="109" t="s">
        <v>16073</v>
      </c>
      <c r="E4785" s="109"/>
      <c r="F4785" s="393" t="s">
        <v>17033</v>
      </c>
      <c r="G4785" s="23" t="s">
        <v>13271</v>
      </c>
      <c r="H4785" s="23" t="s">
        <v>24394</v>
      </c>
      <c r="I4785" s="23" t="s">
        <v>25214</v>
      </c>
      <c r="J4785" s="23" t="s">
        <v>26175</v>
      </c>
      <c r="K4785" s="23"/>
      <c r="L4785" s="375" t="s">
        <v>27591</v>
      </c>
      <c r="M4785" s="351" t="s">
        <v>7787</v>
      </c>
      <c r="N4785" s="267">
        <f t="shared" si="1728"/>
        <v>0</v>
      </c>
      <c r="O4785" s="268">
        <f t="shared" si="1729"/>
        <v>400</v>
      </c>
      <c r="P4785" s="239"/>
      <c r="Q4785" s="248"/>
      <c r="R4785" s="248">
        <f>360+280-60-400-60-40+860-200-360-120+900-800-100-100+400-400-100+400-360+500-200</f>
        <v>400</v>
      </c>
      <c r="S4785" s="239"/>
      <c r="T4785" s="248"/>
      <c r="U4785" s="240"/>
      <c r="V4785" s="240"/>
      <c r="W4785" s="240"/>
      <c r="X4785" s="278"/>
      <c r="Y4785" s="239"/>
      <c r="Z4785" s="237"/>
      <c r="AA4785" s="279"/>
      <c r="AB4785" s="238" t="s">
        <v>27589</v>
      </c>
      <c r="AC4785" s="196">
        <f t="shared" si="1861"/>
        <v>400</v>
      </c>
      <c r="AD4785" s="196">
        <f t="shared" si="1862"/>
        <v>400</v>
      </c>
      <c r="AE4785" s="196">
        <f t="shared" si="1863"/>
        <v>0</v>
      </c>
      <c r="AF4785" s="2">
        <f t="shared" si="1864"/>
        <v>400</v>
      </c>
      <c r="AG4785" s="2">
        <f t="shared" si="1865"/>
        <v>0</v>
      </c>
    </row>
    <row r="4786" spans="1:33">
      <c r="A4786" s="20" t="s">
        <v>6901</v>
      </c>
      <c r="B4786" s="150" t="s">
        <v>17034</v>
      </c>
      <c r="C4786" s="21" t="s">
        <v>17035</v>
      </c>
      <c r="D4786" s="109" t="s">
        <v>15167</v>
      </c>
      <c r="E4786" s="109"/>
      <c r="F4786" s="391" t="s">
        <v>17036</v>
      </c>
      <c r="G4786" s="23" t="s">
        <v>17037</v>
      </c>
      <c r="H4786" s="23"/>
      <c r="I4786" s="23"/>
      <c r="J4786" s="23"/>
      <c r="K4786" s="23"/>
      <c r="L4786" s="375" t="s">
        <v>7787</v>
      </c>
      <c r="M4786" s="351"/>
      <c r="N4786" s="267">
        <f t="shared" si="1728"/>
        <v>0</v>
      </c>
      <c r="O4786" s="268">
        <f t="shared" si="1729"/>
        <v>0</v>
      </c>
      <c r="P4786" s="239"/>
      <c r="Q4786" s="239"/>
      <c r="R4786" s="239"/>
      <c r="S4786" s="239"/>
      <c r="T4786" s="239"/>
      <c r="U4786" s="240"/>
      <c r="V4786" s="240"/>
      <c r="W4786" s="240"/>
      <c r="X4786" s="278"/>
      <c r="Y4786" s="239"/>
      <c r="Z4786" s="237"/>
      <c r="AA4786" s="279"/>
      <c r="AB4786" s="238"/>
      <c r="AC4786" s="196">
        <f t="shared" si="1861"/>
        <v>0</v>
      </c>
      <c r="AD4786" s="196">
        <f t="shared" si="1862"/>
        <v>0</v>
      </c>
      <c r="AE4786" s="196">
        <f t="shared" si="1863"/>
        <v>0</v>
      </c>
      <c r="AF4786" s="2">
        <f t="shared" si="1864"/>
        <v>0</v>
      </c>
      <c r="AG4786" s="2">
        <f t="shared" si="1865"/>
        <v>0</v>
      </c>
    </row>
    <row r="4787" spans="1:33">
      <c r="A4787" s="20" t="s">
        <v>6910</v>
      </c>
      <c r="B4787" s="150"/>
      <c r="C4787" s="21" t="s">
        <v>17038</v>
      </c>
      <c r="D4787" s="109" t="s">
        <v>15161</v>
      </c>
      <c r="E4787" s="109"/>
      <c r="F4787" s="391" t="s">
        <v>17039</v>
      </c>
      <c r="G4787" s="23" t="s">
        <v>16142</v>
      </c>
      <c r="H4787" s="23"/>
      <c r="I4787" s="23"/>
      <c r="J4787" s="23"/>
      <c r="K4787" s="23"/>
      <c r="L4787" s="375" t="s">
        <v>7787</v>
      </c>
      <c r="M4787" s="357" t="s">
        <v>7787</v>
      </c>
      <c r="N4787" s="267">
        <f t="shared" si="1728"/>
        <v>0</v>
      </c>
      <c r="O4787" s="268">
        <f t="shared" si="1729"/>
        <v>0</v>
      </c>
      <c r="P4787" s="239"/>
      <c r="Q4787" s="239"/>
      <c r="R4787" s="239"/>
      <c r="S4787" s="239"/>
      <c r="T4787" s="239"/>
      <c r="U4787" s="240"/>
      <c r="V4787" s="240"/>
      <c r="W4787" s="240"/>
      <c r="X4787" s="278"/>
      <c r="Y4787" s="239"/>
      <c r="Z4787" s="237"/>
      <c r="AA4787" s="279"/>
      <c r="AB4787" s="238"/>
      <c r="AC4787" s="196">
        <f t="shared" si="1861"/>
        <v>0</v>
      </c>
      <c r="AD4787" s="196">
        <f t="shared" si="1862"/>
        <v>0</v>
      </c>
      <c r="AE4787" s="196">
        <f t="shared" si="1863"/>
        <v>0</v>
      </c>
      <c r="AF4787" s="2">
        <f t="shared" si="1864"/>
        <v>0</v>
      </c>
      <c r="AG4787" s="2">
        <f t="shared" si="1865"/>
        <v>0</v>
      </c>
    </row>
    <row r="4788" spans="1:33">
      <c r="A4788" s="20" t="s">
        <v>9475</v>
      </c>
      <c r="B4788" s="150"/>
      <c r="C4788" s="21" t="s">
        <v>17038</v>
      </c>
      <c r="D4788" s="109" t="s">
        <v>16363</v>
      </c>
      <c r="E4788" s="109"/>
      <c r="F4788" s="391" t="s">
        <v>17039</v>
      </c>
      <c r="G4788" s="23" t="s">
        <v>16142</v>
      </c>
      <c r="H4788" s="23"/>
      <c r="I4788" s="23"/>
      <c r="J4788" s="23"/>
      <c r="K4788" s="23"/>
      <c r="L4788" s="375" t="s">
        <v>7787</v>
      </c>
      <c r="M4788" s="357" t="s">
        <v>7787</v>
      </c>
      <c r="N4788" s="267">
        <f t="shared" si="1728"/>
        <v>0</v>
      </c>
      <c r="O4788" s="268">
        <f t="shared" si="1729"/>
        <v>0</v>
      </c>
      <c r="P4788" s="239"/>
      <c r="Q4788" s="239"/>
      <c r="R4788" s="239"/>
      <c r="S4788" s="239"/>
      <c r="T4788" s="239"/>
      <c r="U4788" s="240"/>
      <c r="V4788" s="240"/>
      <c r="W4788" s="240"/>
      <c r="X4788" s="278"/>
      <c r="Y4788" s="239"/>
      <c r="Z4788" s="237"/>
      <c r="AA4788" s="279"/>
      <c r="AB4788" s="238"/>
      <c r="AC4788" s="196">
        <f t="shared" si="1861"/>
        <v>0</v>
      </c>
      <c r="AD4788" s="196">
        <f t="shared" si="1862"/>
        <v>0</v>
      </c>
      <c r="AE4788" s="196">
        <f t="shared" si="1863"/>
        <v>0</v>
      </c>
      <c r="AF4788" s="2">
        <f t="shared" si="1864"/>
        <v>0</v>
      </c>
      <c r="AG4788" s="2">
        <f t="shared" si="1865"/>
        <v>0</v>
      </c>
    </row>
    <row r="4789" spans="1:33">
      <c r="A4789" s="20" t="s">
        <v>6902</v>
      </c>
      <c r="B4789" s="150"/>
      <c r="C4789" s="21" t="s">
        <v>17040</v>
      </c>
      <c r="D4789" s="109" t="s">
        <v>16313</v>
      </c>
      <c r="E4789" s="109"/>
      <c r="F4789" s="391" t="s">
        <v>17041</v>
      </c>
      <c r="G4789" s="23" t="s">
        <v>16141</v>
      </c>
      <c r="H4789" s="23"/>
      <c r="I4789" s="23"/>
      <c r="J4789" s="23"/>
      <c r="K4789" s="23"/>
      <c r="L4789" s="375" t="s">
        <v>7787</v>
      </c>
      <c r="M4789" s="351"/>
      <c r="N4789" s="267">
        <f t="shared" si="1728"/>
        <v>0</v>
      </c>
      <c r="O4789" s="268">
        <f t="shared" si="1729"/>
        <v>0</v>
      </c>
      <c r="P4789" s="239"/>
      <c r="Q4789" s="239"/>
      <c r="R4789" s="239"/>
      <c r="S4789" s="239"/>
      <c r="T4789" s="239"/>
      <c r="U4789" s="240"/>
      <c r="V4789" s="239"/>
      <c r="W4789" s="240"/>
      <c r="X4789" s="278"/>
      <c r="Y4789" s="237"/>
      <c r="Z4789" s="237"/>
      <c r="AA4789" s="279"/>
      <c r="AB4789" s="238"/>
      <c r="AC4789" s="196">
        <f t="shared" si="1861"/>
        <v>0</v>
      </c>
      <c r="AD4789" s="196">
        <f t="shared" si="1862"/>
        <v>0</v>
      </c>
      <c r="AE4789" s="196">
        <f t="shared" si="1863"/>
        <v>0</v>
      </c>
      <c r="AF4789" s="2">
        <f t="shared" si="1864"/>
        <v>0</v>
      </c>
      <c r="AG4789" s="2">
        <f t="shared" si="1865"/>
        <v>0</v>
      </c>
    </row>
    <row r="4790" spans="1:33">
      <c r="A4790" s="20" t="s">
        <v>6914</v>
      </c>
      <c r="B4790" s="150"/>
      <c r="C4790" s="21" t="s">
        <v>17042</v>
      </c>
      <c r="D4790" s="109" t="s">
        <v>15167</v>
      </c>
      <c r="E4790" s="109" t="s">
        <v>16220</v>
      </c>
      <c r="F4790" s="391" t="s">
        <v>17043</v>
      </c>
      <c r="G4790" s="23" t="s">
        <v>16271</v>
      </c>
      <c r="H4790" s="23" t="s">
        <v>16221</v>
      </c>
      <c r="I4790" s="23" t="s">
        <v>13349</v>
      </c>
      <c r="J4790" s="23" t="s">
        <v>24973</v>
      </c>
      <c r="K4790" s="23"/>
      <c r="L4790" s="375" t="s">
        <v>45</v>
      </c>
      <c r="M4790" s="351" t="s">
        <v>7787</v>
      </c>
      <c r="N4790" s="267">
        <f t="shared" si="1728"/>
        <v>0</v>
      </c>
      <c r="O4790" s="268">
        <f t="shared" si="1729"/>
        <v>60</v>
      </c>
      <c r="P4790" s="239"/>
      <c r="Q4790" s="239"/>
      <c r="R4790" s="239">
        <f>690-630</f>
        <v>60</v>
      </c>
      <c r="S4790" s="239"/>
      <c r="T4790" s="239"/>
      <c r="U4790" s="240"/>
      <c r="V4790" s="240"/>
      <c r="W4790" s="240"/>
      <c r="X4790" s="278"/>
      <c r="Y4790" s="237"/>
      <c r="Z4790" s="237"/>
      <c r="AA4790" s="279"/>
      <c r="AB4790" s="238" t="s">
        <v>27012</v>
      </c>
      <c r="AC4790" s="196">
        <f t="shared" si="1861"/>
        <v>60</v>
      </c>
      <c r="AD4790" s="196">
        <f t="shared" si="1862"/>
        <v>60</v>
      </c>
      <c r="AE4790" s="196">
        <f t="shared" si="1863"/>
        <v>0</v>
      </c>
      <c r="AF4790" s="2">
        <f t="shared" si="1864"/>
        <v>60</v>
      </c>
      <c r="AG4790" s="2">
        <f t="shared" si="1865"/>
        <v>0</v>
      </c>
    </row>
    <row r="4791" spans="1:33">
      <c r="A4791" s="20" t="s">
        <v>7113</v>
      </c>
      <c r="B4791" s="150"/>
      <c r="C4791" s="21" t="s">
        <v>17044</v>
      </c>
      <c r="D4791" s="109" t="s">
        <v>15167</v>
      </c>
      <c r="E4791" s="109"/>
      <c r="F4791" s="391" t="s">
        <v>17045</v>
      </c>
      <c r="G4791" s="23" t="s">
        <v>17037</v>
      </c>
      <c r="H4791" s="23" t="s">
        <v>16544</v>
      </c>
      <c r="I4791" s="23" t="s">
        <v>13339</v>
      </c>
      <c r="J4791" s="23"/>
      <c r="K4791" s="23"/>
      <c r="L4791" s="375" t="s">
        <v>27620</v>
      </c>
      <c r="M4791" s="351" t="s">
        <v>7787</v>
      </c>
      <c r="N4791" s="267">
        <f t="shared" si="1728"/>
        <v>0</v>
      </c>
      <c r="O4791" s="268">
        <f t="shared" si="1729"/>
        <v>360</v>
      </c>
      <c r="P4791" s="239"/>
      <c r="Q4791" s="239"/>
      <c r="R4791" s="239">
        <f>330-180+1020-990+600-480-30+480-510+1140-510-510</f>
        <v>360</v>
      </c>
      <c r="S4791" s="239"/>
      <c r="T4791" s="239"/>
      <c r="U4791" s="240"/>
      <c r="V4791" s="240"/>
      <c r="W4791" s="240"/>
      <c r="X4791" s="278"/>
      <c r="Y4791" s="237"/>
      <c r="Z4791" s="237"/>
      <c r="AA4791" s="239"/>
      <c r="AB4791" s="238" t="s">
        <v>27616</v>
      </c>
      <c r="AC4791" s="196">
        <f t="shared" si="1861"/>
        <v>360</v>
      </c>
      <c r="AD4791" s="196">
        <f t="shared" si="1862"/>
        <v>360</v>
      </c>
      <c r="AE4791" s="196">
        <f t="shared" si="1863"/>
        <v>0</v>
      </c>
      <c r="AF4791" s="2">
        <f t="shared" si="1864"/>
        <v>360</v>
      </c>
      <c r="AG4791" s="2">
        <f t="shared" si="1865"/>
        <v>0</v>
      </c>
    </row>
    <row r="4792" spans="1:33">
      <c r="A4792" s="20" t="s">
        <v>21563</v>
      </c>
      <c r="B4792" s="150"/>
      <c r="C4792" s="21" t="s">
        <v>17046</v>
      </c>
      <c r="D4792" s="109" t="s">
        <v>15167</v>
      </c>
      <c r="E4792" s="109"/>
      <c r="F4792" s="391" t="s">
        <v>17047</v>
      </c>
      <c r="G4792" s="23" t="s">
        <v>6133</v>
      </c>
      <c r="H4792" s="23" t="s">
        <v>21931</v>
      </c>
      <c r="I4792" s="23" t="s">
        <v>23572</v>
      </c>
      <c r="J4792" s="23" t="s">
        <v>25963</v>
      </c>
      <c r="K4792" s="23"/>
      <c r="L4792" s="375">
        <v>4505</v>
      </c>
      <c r="M4792" s="351" t="s">
        <v>7787</v>
      </c>
      <c r="N4792" s="267">
        <f t="shared" si="1728"/>
        <v>4505</v>
      </c>
      <c r="O4792" s="268">
        <f t="shared" si="1729"/>
        <v>0</v>
      </c>
      <c r="P4792" s="239"/>
      <c r="Q4792" s="239"/>
      <c r="R4792" s="239"/>
      <c r="S4792" s="239"/>
      <c r="T4792" s="239"/>
      <c r="U4792" s="240"/>
      <c r="V4792" s="239"/>
      <c r="W4792" s="240"/>
      <c r="X4792" s="278"/>
      <c r="Y4792" s="237"/>
      <c r="Z4792" s="237"/>
      <c r="AA4792" s="279"/>
      <c r="AB4792" s="238"/>
      <c r="AC4792" s="196">
        <f t="shared" si="1861"/>
        <v>0</v>
      </c>
      <c r="AD4792" s="196">
        <f t="shared" si="1862"/>
        <v>0</v>
      </c>
      <c r="AE4792" s="196">
        <f t="shared" si="1863"/>
        <v>0</v>
      </c>
      <c r="AF4792" s="2">
        <f t="shared" si="1864"/>
        <v>0</v>
      </c>
      <c r="AG4792" s="2">
        <f t="shared" si="1865"/>
        <v>0</v>
      </c>
    </row>
    <row r="4793" spans="1:33">
      <c r="A4793" s="20" t="s">
        <v>8219</v>
      </c>
      <c r="B4793" s="150"/>
      <c r="C4793" s="21" t="s">
        <v>17046</v>
      </c>
      <c r="D4793" s="109" t="s">
        <v>16543</v>
      </c>
      <c r="E4793" s="109"/>
      <c r="F4793" s="391" t="s">
        <v>17047</v>
      </c>
      <c r="G4793" s="23" t="s">
        <v>17048</v>
      </c>
      <c r="H4793" s="23"/>
      <c r="I4793" s="23"/>
      <c r="J4793" s="23"/>
      <c r="K4793" s="23"/>
      <c r="L4793" s="375" t="s">
        <v>7787</v>
      </c>
      <c r="M4793" s="351" t="s">
        <v>7787</v>
      </c>
      <c r="N4793" s="267">
        <f t="shared" si="1728"/>
        <v>0</v>
      </c>
      <c r="O4793" s="268">
        <f t="shared" si="1729"/>
        <v>0</v>
      </c>
      <c r="P4793" s="239"/>
      <c r="Q4793" s="239"/>
      <c r="R4793" s="239"/>
      <c r="S4793" s="239"/>
      <c r="T4793" s="239"/>
      <c r="U4793" s="240"/>
      <c r="V4793" s="240"/>
      <c r="W4793" s="240"/>
      <c r="X4793" s="278"/>
      <c r="Y4793" s="237"/>
      <c r="Z4793" s="237"/>
      <c r="AA4793" s="279"/>
      <c r="AB4793" s="238"/>
      <c r="AC4793" s="196">
        <f t="shared" si="1861"/>
        <v>0</v>
      </c>
      <c r="AD4793" s="196">
        <f t="shared" si="1862"/>
        <v>0</v>
      </c>
      <c r="AE4793" s="196">
        <f t="shared" si="1863"/>
        <v>0</v>
      </c>
      <c r="AF4793" s="2">
        <f t="shared" si="1864"/>
        <v>0</v>
      </c>
      <c r="AG4793" s="2">
        <f t="shared" si="1865"/>
        <v>0</v>
      </c>
    </row>
    <row r="4794" spans="1:33">
      <c r="A4794" s="20" t="s">
        <v>8132</v>
      </c>
      <c r="B4794" s="150"/>
      <c r="C4794" s="21" t="s">
        <v>17049</v>
      </c>
      <c r="D4794" s="109" t="s">
        <v>16589</v>
      </c>
      <c r="E4794" s="109" t="s">
        <v>18372</v>
      </c>
      <c r="F4794" s="391" t="s">
        <v>17050</v>
      </c>
      <c r="G4794" s="23" t="s">
        <v>16271</v>
      </c>
      <c r="H4794" s="23"/>
      <c r="I4794" s="23"/>
      <c r="J4794" s="23"/>
      <c r="K4794" s="23"/>
      <c r="L4794" s="375" t="s">
        <v>7787</v>
      </c>
      <c r="M4794" s="351" t="s">
        <v>7787</v>
      </c>
      <c r="N4794" s="267">
        <f t="shared" si="1728"/>
        <v>0</v>
      </c>
      <c r="O4794" s="268">
        <f t="shared" si="1729"/>
        <v>0</v>
      </c>
      <c r="P4794" s="239"/>
      <c r="Q4794" s="239"/>
      <c r="R4794" s="239"/>
      <c r="S4794" s="239"/>
      <c r="T4794" s="239"/>
      <c r="U4794" s="240"/>
      <c r="V4794" s="240"/>
      <c r="W4794" s="240"/>
      <c r="X4794" s="278"/>
      <c r="Y4794" s="237"/>
      <c r="Z4794" s="237"/>
      <c r="AA4794" s="279"/>
      <c r="AB4794" s="238"/>
      <c r="AC4794" s="196">
        <f t="shared" si="1861"/>
        <v>0</v>
      </c>
      <c r="AD4794" s="196">
        <f t="shared" si="1862"/>
        <v>0</v>
      </c>
      <c r="AE4794" s="196">
        <f t="shared" si="1863"/>
        <v>0</v>
      </c>
      <c r="AF4794" s="2">
        <f t="shared" si="1864"/>
        <v>0</v>
      </c>
      <c r="AG4794" s="2">
        <f t="shared" si="1865"/>
        <v>0</v>
      </c>
    </row>
    <row r="4795" spans="1:33">
      <c r="A4795" s="20" t="s">
        <v>18408</v>
      </c>
      <c r="B4795" s="150"/>
      <c r="C4795" s="21" t="s">
        <v>8130</v>
      </c>
      <c r="D4795" s="109" t="s">
        <v>8090</v>
      </c>
      <c r="E4795" s="109" t="s">
        <v>18371</v>
      </c>
      <c r="F4795" s="391" t="s">
        <v>8139</v>
      </c>
      <c r="G4795" s="23" t="s">
        <v>14025</v>
      </c>
      <c r="H4795" s="23"/>
      <c r="I4795" s="23"/>
      <c r="J4795" s="23"/>
      <c r="K4795" s="23"/>
      <c r="L4795" s="375" t="s">
        <v>7787</v>
      </c>
      <c r="M4795" s="351" t="s">
        <v>7787</v>
      </c>
      <c r="N4795" s="267">
        <f t="shared" ref="N4795:N4862" si="1866">SUM(L4795:M4795)</f>
        <v>0</v>
      </c>
      <c r="O4795" s="268">
        <f t="shared" ref="O4795:O4862" si="1867">SUM(P4795:Z4795)</f>
        <v>0</v>
      </c>
      <c r="P4795" s="239"/>
      <c r="Q4795" s="239"/>
      <c r="R4795" s="239"/>
      <c r="S4795" s="239"/>
      <c r="T4795" s="239"/>
      <c r="U4795" s="240"/>
      <c r="V4795" s="240"/>
      <c r="W4795" s="240"/>
      <c r="X4795" s="278"/>
      <c r="Y4795" s="237"/>
      <c r="Z4795" s="237"/>
      <c r="AA4795" s="279"/>
      <c r="AB4795" s="238"/>
      <c r="AC4795" s="196">
        <f t="shared" si="1861"/>
        <v>0</v>
      </c>
      <c r="AD4795" s="196">
        <f t="shared" si="1862"/>
        <v>0</v>
      </c>
      <c r="AE4795" s="196">
        <f t="shared" si="1863"/>
        <v>0</v>
      </c>
      <c r="AF4795" s="2">
        <f t="shared" si="1864"/>
        <v>0</v>
      </c>
      <c r="AG4795" s="2">
        <f t="shared" si="1865"/>
        <v>0</v>
      </c>
    </row>
    <row r="4796" spans="1:33">
      <c r="A4796" s="20" t="s">
        <v>9507</v>
      </c>
      <c r="B4796" s="150"/>
      <c r="C4796" s="21" t="s">
        <v>17049</v>
      </c>
      <c r="D4796" s="109" t="s">
        <v>17051</v>
      </c>
      <c r="E4796" s="109" t="s">
        <v>3128</v>
      </c>
      <c r="F4796" s="391" t="s">
        <v>17050</v>
      </c>
      <c r="G4796" s="23" t="s">
        <v>16218</v>
      </c>
      <c r="H4796" s="23" t="s">
        <v>13350</v>
      </c>
      <c r="I4796" s="23"/>
      <c r="J4796" s="23"/>
      <c r="K4796" s="23"/>
      <c r="L4796" s="375"/>
      <c r="M4796" s="351" t="s">
        <v>7787</v>
      </c>
      <c r="N4796" s="267">
        <f t="shared" si="1866"/>
        <v>0</v>
      </c>
      <c r="O4796" s="268">
        <f t="shared" si="1867"/>
        <v>0</v>
      </c>
      <c r="P4796" s="239"/>
      <c r="Q4796" s="239"/>
      <c r="R4796" s="239"/>
      <c r="S4796" s="239"/>
      <c r="T4796" s="239"/>
      <c r="U4796" s="240"/>
      <c r="V4796" s="240"/>
      <c r="W4796" s="240"/>
      <c r="X4796" s="278"/>
      <c r="Y4796" s="237"/>
      <c r="Z4796" s="237"/>
      <c r="AA4796" s="279"/>
      <c r="AB4796" s="238"/>
      <c r="AC4796" s="196">
        <f t="shared" si="1861"/>
        <v>0</v>
      </c>
      <c r="AD4796" s="196">
        <f t="shared" si="1862"/>
        <v>0</v>
      </c>
      <c r="AE4796" s="196">
        <f t="shared" si="1863"/>
        <v>0</v>
      </c>
      <c r="AF4796" s="2">
        <f t="shared" si="1864"/>
        <v>0</v>
      </c>
      <c r="AG4796" s="2">
        <f t="shared" si="1865"/>
        <v>0</v>
      </c>
    </row>
    <row r="4797" spans="1:33">
      <c r="A4797" s="20" t="s">
        <v>7869</v>
      </c>
      <c r="B4797" s="150"/>
      <c r="C4797" s="21" t="s">
        <v>17052</v>
      </c>
      <c r="D4797" s="109" t="s">
        <v>17002</v>
      </c>
      <c r="E4797" s="109" t="s">
        <v>17053</v>
      </c>
      <c r="F4797" s="391" t="s">
        <v>17054</v>
      </c>
      <c r="G4797" s="23" t="s">
        <v>17001</v>
      </c>
      <c r="H4797" s="23"/>
      <c r="I4797" s="23"/>
      <c r="J4797" s="23"/>
      <c r="K4797" s="23"/>
      <c r="L4797" s="375" t="s">
        <v>7787</v>
      </c>
      <c r="M4797" s="351" t="s">
        <v>7787</v>
      </c>
      <c r="N4797" s="267">
        <f t="shared" si="1866"/>
        <v>0</v>
      </c>
      <c r="O4797" s="268">
        <f t="shared" si="1867"/>
        <v>0</v>
      </c>
      <c r="P4797" s="239"/>
      <c r="Q4797" s="239"/>
      <c r="R4797" s="239"/>
      <c r="S4797" s="239"/>
      <c r="T4797" s="239"/>
      <c r="U4797" s="240"/>
      <c r="V4797" s="240"/>
      <c r="W4797" s="240"/>
      <c r="X4797" s="278"/>
      <c r="Y4797" s="237"/>
      <c r="Z4797" s="237"/>
      <c r="AA4797" s="279"/>
      <c r="AB4797" s="238"/>
      <c r="AC4797" s="196">
        <f t="shared" si="1861"/>
        <v>0</v>
      </c>
      <c r="AD4797" s="196">
        <f t="shared" si="1862"/>
        <v>0</v>
      </c>
      <c r="AE4797" s="196">
        <f t="shared" si="1863"/>
        <v>0</v>
      </c>
      <c r="AF4797" s="2">
        <f t="shared" si="1864"/>
        <v>0</v>
      </c>
      <c r="AG4797" s="2">
        <f t="shared" si="1865"/>
        <v>0</v>
      </c>
    </row>
    <row r="4798" spans="1:33">
      <c r="A4798" s="20" t="s">
        <v>8137</v>
      </c>
      <c r="B4798" s="150"/>
      <c r="C4798" s="21" t="s">
        <v>17052</v>
      </c>
      <c r="D4798" s="109" t="s">
        <v>17002</v>
      </c>
      <c r="E4798" s="109" t="s">
        <v>17055</v>
      </c>
      <c r="F4798" s="391" t="s">
        <v>17054</v>
      </c>
      <c r="G4798" s="23" t="s">
        <v>17001</v>
      </c>
      <c r="H4798" s="23"/>
      <c r="I4798" s="23"/>
      <c r="J4798" s="23"/>
      <c r="K4798" s="23"/>
      <c r="L4798" s="375"/>
      <c r="M4798" s="351"/>
      <c r="N4798" s="267">
        <f t="shared" si="1866"/>
        <v>0</v>
      </c>
      <c r="O4798" s="268">
        <f t="shared" si="1867"/>
        <v>0</v>
      </c>
      <c r="P4798" s="239"/>
      <c r="Q4798" s="239"/>
      <c r="R4798" s="239"/>
      <c r="S4798" s="239"/>
      <c r="T4798" s="239"/>
      <c r="U4798" s="240"/>
      <c r="V4798" s="240"/>
      <c r="W4798" s="240"/>
      <c r="X4798" s="278"/>
      <c r="Y4798" s="237"/>
      <c r="Z4798" s="237"/>
      <c r="AA4798" s="279"/>
      <c r="AB4798" s="238"/>
      <c r="AC4798" s="196">
        <f t="shared" si="1861"/>
        <v>0</v>
      </c>
      <c r="AD4798" s="196">
        <f t="shared" si="1862"/>
        <v>0</v>
      </c>
      <c r="AE4798" s="196">
        <f t="shared" si="1863"/>
        <v>0</v>
      </c>
      <c r="AF4798" s="2">
        <f t="shared" si="1864"/>
        <v>0</v>
      </c>
      <c r="AG4798" s="2">
        <f t="shared" si="1865"/>
        <v>0</v>
      </c>
    </row>
    <row r="4799" spans="1:33">
      <c r="A4799" s="20" t="s">
        <v>8138</v>
      </c>
      <c r="B4799" s="150"/>
      <c r="C4799" s="21" t="s">
        <v>17052</v>
      </c>
      <c r="D4799" s="109" t="s">
        <v>17002</v>
      </c>
      <c r="E4799" s="109" t="s">
        <v>17056</v>
      </c>
      <c r="F4799" s="391" t="s">
        <v>17054</v>
      </c>
      <c r="G4799" s="23" t="s">
        <v>17001</v>
      </c>
      <c r="H4799" s="23"/>
      <c r="I4799" s="23"/>
      <c r="J4799" s="23"/>
      <c r="K4799" s="23"/>
      <c r="L4799" s="375"/>
      <c r="M4799" s="351"/>
      <c r="N4799" s="267">
        <f t="shared" si="1866"/>
        <v>0</v>
      </c>
      <c r="O4799" s="268">
        <f t="shared" si="1867"/>
        <v>0</v>
      </c>
      <c r="P4799" s="239"/>
      <c r="Q4799" s="239"/>
      <c r="R4799" s="239"/>
      <c r="S4799" s="239"/>
      <c r="T4799" s="239"/>
      <c r="U4799" s="240"/>
      <c r="V4799" s="240"/>
      <c r="W4799" s="240"/>
      <c r="X4799" s="278"/>
      <c r="Y4799" s="237"/>
      <c r="Z4799" s="237"/>
      <c r="AA4799" s="279"/>
      <c r="AB4799" s="238"/>
      <c r="AC4799" s="196">
        <f t="shared" si="1861"/>
        <v>0</v>
      </c>
      <c r="AD4799" s="196">
        <f t="shared" si="1862"/>
        <v>0</v>
      </c>
      <c r="AE4799" s="196">
        <f t="shared" si="1863"/>
        <v>0</v>
      </c>
      <c r="AF4799" s="2">
        <f t="shared" si="1864"/>
        <v>0</v>
      </c>
      <c r="AG4799" s="2">
        <f t="shared" si="1865"/>
        <v>0</v>
      </c>
    </row>
    <row r="4800" spans="1:33">
      <c r="A4800" s="20" t="s">
        <v>8216</v>
      </c>
      <c r="B4800" s="150"/>
      <c r="C4800" s="21" t="s">
        <v>17057</v>
      </c>
      <c r="D4800" s="109" t="s">
        <v>16543</v>
      </c>
      <c r="E4800" s="109" t="s">
        <v>26546</v>
      </c>
      <c r="F4800" s="391" t="s">
        <v>17058</v>
      </c>
      <c r="G4800" s="23" t="s">
        <v>17059</v>
      </c>
      <c r="H4800" s="23" t="s">
        <v>16997</v>
      </c>
      <c r="I4800" s="23" t="s">
        <v>16544</v>
      </c>
      <c r="J4800" s="23" t="s">
        <v>17060</v>
      </c>
      <c r="K4800" s="23" t="s">
        <v>16833</v>
      </c>
      <c r="L4800" s="375"/>
      <c r="M4800" s="351" t="s">
        <v>7787</v>
      </c>
      <c r="N4800" s="267">
        <f t="shared" si="1866"/>
        <v>0</v>
      </c>
      <c r="O4800" s="268">
        <f t="shared" si="1867"/>
        <v>0</v>
      </c>
      <c r="P4800" s="239"/>
      <c r="Q4800" s="239"/>
      <c r="R4800" s="239"/>
      <c r="S4800" s="239"/>
      <c r="T4800" s="239"/>
      <c r="U4800" s="240"/>
      <c r="V4800" s="240"/>
      <c r="W4800" s="240"/>
      <c r="X4800" s="278"/>
      <c r="Y4800" s="237"/>
      <c r="Z4800" s="237"/>
      <c r="AA4800" s="279"/>
      <c r="AB4800" s="238"/>
      <c r="AC4800" s="196">
        <f t="shared" si="1861"/>
        <v>0</v>
      </c>
      <c r="AD4800" s="196">
        <f t="shared" si="1862"/>
        <v>0</v>
      </c>
      <c r="AE4800" s="196">
        <f t="shared" si="1863"/>
        <v>0</v>
      </c>
      <c r="AF4800" s="2">
        <f t="shared" si="1864"/>
        <v>0</v>
      </c>
      <c r="AG4800" s="2">
        <f t="shared" si="1865"/>
        <v>0</v>
      </c>
    </row>
    <row r="4801" spans="1:33">
      <c r="A4801" s="20" t="s">
        <v>21560</v>
      </c>
      <c r="B4801" s="150"/>
      <c r="C4801" s="21" t="s">
        <v>8223</v>
      </c>
      <c r="D4801" s="109" t="s">
        <v>6766</v>
      </c>
      <c r="E4801" s="109"/>
      <c r="F4801" s="391" t="s">
        <v>8225</v>
      </c>
      <c r="G4801" s="23" t="s">
        <v>6133</v>
      </c>
      <c r="H4801" s="23" t="s">
        <v>13888</v>
      </c>
      <c r="I4801" s="23" t="s">
        <v>26441</v>
      </c>
      <c r="J4801" s="23"/>
      <c r="K4801" s="23"/>
      <c r="L4801" s="375" t="s">
        <v>45</v>
      </c>
      <c r="M4801" s="351" t="s">
        <v>45</v>
      </c>
      <c r="N4801" s="267">
        <f t="shared" si="1866"/>
        <v>0</v>
      </c>
      <c r="O4801" s="268">
        <f t="shared" si="1867"/>
        <v>0</v>
      </c>
      <c r="P4801" s="239"/>
      <c r="Q4801" s="239"/>
      <c r="R4801" s="240"/>
      <c r="S4801" s="243"/>
      <c r="T4801" s="240"/>
      <c r="U4801" s="240"/>
      <c r="V4801" s="240"/>
      <c r="W4801" s="240"/>
      <c r="X4801" s="278"/>
      <c r="Y4801" s="237"/>
      <c r="Z4801" s="237"/>
      <c r="AA4801" s="279"/>
      <c r="AB4801" s="238"/>
      <c r="AC4801" s="196">
        <f t="shared" si="1861"/>
        <v>0</v>
      </c>
      <c r="AD4801" s="196">
        <f t="shared" si="1862"/>
        <v>0</v>
      </c>
      <c r="AE4801" s="196">
        <f t="shared" si="1863"/>
        <v>0</v>
      </c>
      <c r="AF4801" s="2">
        <f t="shared" si="1864"/>
        <v>0</v>
      </c>
      <c r="AG4801" s="2">
        <f t="shared" si="1865"/>
        <v>0</v>
      </c>
    </row>
    <row r="4802" spans="1:33">
      <c r="A4802" s="20"/>
      <c r="B4802" s="150"/>
      <c r="C4802" s="21" t="s">
        <v>27466</v>
      </c>
      <c r="D4802" s="109" t="s">
        <v>7389</v>
      </c>
      <c r="E4802" s="109" t="s">
        <v>24177</v>
      </c>
      <c r="F4802" s="391" t="s">
        <v>27467</v>
      </c>
      <c r="G4802" s="23" t="s">
        <v>10645</v>
      </c>
      <c r="H4802" s="23" t="s">
        <v>5563</v>
      </c>
      <c r="I4802" s="23" t="s">
        <v>27468</v>
      </c>
      <c r="J4802" s="23"/>
      <c r="K4802" s="23"/>
      <c r="L4802" s="375" t="s">
        <v>7787</v>
      </c>
      <c r="M4802" s="351" t="s">
        <v>7787</v>
      </c>
      <c r="N4802" s="267">
        <f t="shared" ref="N4802" si="1868">SUM(L4802:M4802)</f>
        <v>0</v>
      </c>
      <c r="O4802" s="268">
        <f t="shared" ref="O4802" si="1869">SUM(P4802:Z4802)</f>
        <v>11880</v>
      </c>
      <c r="P4802" s="239"/>
      <c r="Q4802" s="239"/>
      <c r="R4802" s="244"/>
      <c r="S4802" s="243"/>
      <c r="T4802" s="244"/>
      <c r="U4802" s="240">
        <f>6480-5010+6480-6990+6480-5010+6480-3000+4320+4320-9990+4320+6480-9990+6480+6480-5010-2160+6480-3990+8640-6000-5010+2130-3000+2160-2010+2160-3000+2160</f>
        <v>11880</v>
      </c>
      <c r="V4802" s="240"/>
      <c r="W4802" s="240"/>
      <c r="X4802" s="278"/>
      <c r="Y4802" s="237"/>
      <c r="Z4802" s="237"/>
      <c r="AA4802" s="279"/>
      <c r="AB4802" s="238" t="s">
        <v>27537</v>
      </c>
      <c r="AC4802" s="196">
        <f t="shared" ref="AC4802" si="1870">SUM(P4802:AA4802)</f>
        <v>11880</v>
      </c>
      <c r="AD4802" s="196">
        <f t="shared" ref="AD4802" si="1871">SUM(P4802:AB4802)</f>
        <v>11880</v>
      </c>
      <c r="AE4802" s="196">
        <f t="shared" ref="AE4802" si="1872">SUM(AC4802-AD4802)</f>
        <v>0</v>
      </c>
      <c r="AF4802" s="2">
        <f t="shared" ref="AF4802" si="1873">+AC4802</f>
        <v>11880</v>
      </c>
      <c r="AG4802" s="2">
        <f t="shared" ref="AG4802" si="1874">+AC4802-AF4802</f>
        <v>0</v>
      </c>
    </row>
    <row r="4803" spans="1:33">
      <c r="A4803" s="20" t="s">
        <v>8267</v>
      </c>
      <c r="B4803" s="150"/>
      <c r="C4803" s="21" t="s">
        <v>17061</v>
      </c>
      <c r="D4803" s="109" t="s">
        <v>15161</v>
      </c>
      <c r="E4803" s="109"/>
      <c r="F4803" s="391" t="s">
        <v>17062</v>
      </c>
      <c r="G4803" s="23" t="s">
        <v>16142</v>
      </c>
      <c r="H4803" s="23"/>
      <c r="I4803" s="23"/>
      <c r="J4803" s="23"/>
      <c r="K4803" s="23"/>
      <c r="L4803" s="375" t="s">
        <v>7787</v>
      </c>
      <c r="M4803" s="351" t="s">
        <v>7787</v>
      </c>
      <c r="N4803" s="267">
        <f t="shared" si="1866"/>
        <v>0</v>
      </c>
      <c r="O4803" s="268">
        <f t="shared" si="1867"/>
        <v>0</v>
      </c>
      <c r="P4803" s="239"/>
      <c r="Q4803" s="239"/>
      <c r="R4803" s="239"/>
      <c r="S4803" s="239"/>
      <c r="T4803" s="239"/>
      <c r="U4803" s="240"/>
      <c r="V4803" s="240"/>
      <c r="W4803" s="240"/>
      <c r="X4803" s="278"/>
      <c r="Y4803" s="237"/>
      <c r="Z4803" s="237"/>
      <c r="AA4803" s="279"/>
      <c r="AB4803" s="238"/>
      <c r="AC4803" s="196">
        <f t="shared" si="1861"/>
        <v>0</v>
      </c>
      <c r="AD4803" s="196">
        <f t="shared" si="1862"/>
        <v>0</v>
      </c>
      <c r="AE4803" s="196">
        <f t="shared" si="1863"/>
        <v>0</v>
      </c>
      <c r="AF4803" s="2">
        <f t="shared" si="1864"/>
        <v>0</v>
      </c>
      <c r="AG4803" s="2">
        <f t="shared" si="1865"/>
        <v>0</v>
      </c>
    </row>
    <row r="4804" spans="1:33">
      <c r="A4804" s="20" t="s">
        <v>8560</v>
      </c>
      <c r="B4804" s="150"/>
      <c r="C4804" s="21" t="s">
        <v>17063</v>
      </c>
      <c r="D4804" s="109" t="s">
        <v>16543</v>
      </c>
      <c r="E4804" s="109" t="s">
        <v>26066</v>
      </c>
      <c r="F4804" s="391" t="s">
        <v>17064</v>
      </c>
      <c r="G4804" s="23" t="s">
        <v>16542</v>
      </c>
      <c r="H4804" s="23" t="s">
        <v>16997</v>
      </c>
      <c r="I4804" s="23" t="s">
        <v>16468</v>
      </c>
      <c r="J4804" s="23" t="s">
        <v>16544</v>
      </c>
      <c r="K4804" s="23" t="s">
        <v>18853</v>
      </c>
      <c r="L4804" s="375" t="s">
        <v>7787</v>
      </c>
      <c r="M4804" s="351" t="s">
        <v>7787</v>
      </c>
      <c r="N4804" s="267">
        <f t="shared" si="1866"/>
        <v>0</v>
      </c>
      <c r="O4804" s="268">
        <f t="shared" si="1867"/>
        <v>7680</v>
      </c>
      <c r="P4804" s="239"/>
      <c r="Q4804" s="239"/>
      <c r="R4804" s="239"/>
      <c r="S4804" s="239"/>
      <c r="T4804" s="239">
        <f>7200-3090-1020-1500-1020+14400-1020-1200-1020-2010-720-300-1020</f>
        <v>7680</v>
      </c>
      <c r="U4804" s="240"/>
      <c r="V4804" s="240"/>
      <c r="W4804" s="240"/>
      <c r="X4804" s="278"/>
      <c r="Y4804" s="237"/>
      <c r="Z4804" s="237"/>
      <c r="AA4804" s="279"/>
      <c r="AB4804" s="238" t="s">
        <v>26197</v>
      </c>
      <c r="AC4804" s="196">
        <f t="shared" si="1861"/>
        <v>7680</v>
      </c>
      <c r="AD4804" s="196">
        <f t="shared" si="1862"/>
        <v>7680</v>
      </c>
      <c r="AE4804" s="196">
        <f t="shared" si="1863"/>
        <v>0</v>
      </c>
      <c r="AF4804" s="2">
        <f t="shared" si="1864"/>
        <v>7680</v>
      </c>
      <c r="AG4804" s="2">
        <f t="shared" si="1865"/>
        <v>0</v>
      </c>
    </row>
    <row r="4805" spans="1:33">
      <c r="A4805" s="20" t="s">
        <v>8564</v>
      </c>
      <c r="B4805" s="150"/>
      <c r="C4805" s="21" t="s">
        <v>8616</v>
      </c>
      <c r="D4805" s="109" t="s">
        <v>16543</v>
      </c>
      <c r="E4805" s="109" t="s">
        <v>26546</v>
      </c>
      <c r="F4805" s="391" t="s">
        <v>17065</v>
      </c>
      <c r="G4805" s="23" t="s">
        <v>24969</v>
      </c>
      <c r="H4805" s="23" t="s">
        <v>16468</v>
      </c>
      <c r="I4805" s="23" t="s">
        <v>16544</v>
      </c>
      <c r="J4805" s="23" t="s">
        <v>16833</v>
      </c>
      <c r="K4805" s="23" t="s">
        <v>18853</v>
      </c>
      <c r="L4805" s="375" t="s">
        <v>45</v>
      </c>
      <c r="M4805" s="351" t="s">
        <v>7787</v>
      </c>
      <c r="N4805" s="267">
        <f t="shared" si="1866"/>
        <v>0</v>
      </c>
      <c r="O4805" s="268">
        <f t="shared" si="1867"/>
        <v>2550</v>
      </c>
      <c r="P4805" s="239"/>
      <c r="Q4805" s="239"/>
      <c r="R4805" s="239"/>
      <c r="S4805" s="239"/>
      <c r="T4805" s="239">
        <f>3060-510</f>
        <v>2550</v>
      </c>
      <c r="U4805" s="239"/>
      <c r="V4805" s="240"/>
      <c r="W4805" s="240"/>
      <c r="X4805" s="278"/>
      <c r="Y4805" s="237"/>
      <c r="Z4805" s="237"/>
      <c r="AA4805" s="279"/>
      <c r="AB4805" s="238" t="s">
        <v>27438</v>
      </c>
      <c r="AC4805" s="196">
        <f t="shared" si="1861"/>
        <v>2550</v>
      </c>
      <c r="AD4805" s="196">
        <f t="shared" si="1862"/>
        <v>2550</v>
      </c>
      <c r="AE4805" s="196">
        <f t="shared" si="1863"/>
        <v>0</v>
      </c>
      <c r="AF4805" s="2">
        <f t="shared" si="1864"/>
        <v>2550</v>
      </c>
      <c r="AG4805" s="2">
        <f t="shared" si="1865"/>
        <v>0</v>
      </c>
    </row>
    <row r="4806" spans="1:33">
      <c r="A4806" s="20" t="s">
        <v>9975</v>
      </c>
      <c r="B4806" s="150"/>
      <c r="C4806" s="21" t="s">
        <v>17066</v>
      </c>
      <c r="D4806" s="109" t="s">
        <v>17002</v>
      </c>
      <c r="E4806" s="109"/>
      <c r="F4806" s="391" t="s">
        <v>17067</v>
      </c>
      <c r="G4806" s="23" t="s">
        <v>17001</v>
      </c>
      <c r="H4806" s="23"/>
      <c r="I4806" s="23"/>
      <c r="J4806" s="23"/>
      <c r="K4806" s="23"/>
      <c r="L4806" s="375" t="s">
        <v>7787</v>
      </c>
      <c r="M4806" s="351" t="s">
        <v>7787</v>
      </c>
      <c r="N4806" s="267">
        <f t="shared" si="1866"/>
        <v>0</v>
      </c>
      <c r="O4806" s="268">
        <f t="shared" si="1867"/>
        <v>0</v>
      </c>
      <c r="P4806" s="239"/>
      <c r="Q4806" s="239"/>
      <c r="R4806" s="239"/>
      <c r="S4806" s="239"/>
      <c r="T4806" s="239"/>
      <c r="U4806" s="240"/>
      <c r="V4806" s="240"/>
      <c r="W4806" s="240"/>
      <c r="X4806" s="278"/>
      <c r="Y4806" s="237"/>
      <c r="Z4806" s="237"/>
      <c r="AA4806" s="279"/>
      <c r="AB4806" s="238"/>
      <c r="AC4806" s="196">
        <f t="shared" si="1861"/>
        <v>0</v>
      </c>
      <c r="AD4806" s="196">
        <f t="shared" si="1862"/>
        <v>0</v>
      </c>
      <c r="AE4806" s="196">
        <f t="shared" si="1863"/>
        <v>0</v>
      </c>
      <c r="AF4806" s="2">
        <f t="shared" si="1864"/>
        <v>0</v>
      </c>
      <c r="AG4806" s="2">
        <f t="shared" si="1865"/>
        <v>0</v>
      </c>
    </row>
    <row r="4807" spans="1:33">
      <c r="A4807" s="20" t="s">
        <v>9976</v>
      </c>
      <c r="B4807" s="150"/>
      <c r="C4807" s="21" t="s">
        <v>17068</v>
      </c>
      <c r="D4807" s="109" t="s">
        <v>17002</v>
      </c>
      <c r="E4807" s="109"/>
      <c r="F4807" s="391" t="s">
        <v>17069</v>
      </c>
      <c r="G4807" s="23" t="s">
        <v>17001</v>
      </c>
      <c r="H4807" s="23"/>
      <c r="I4807" s="23"/>
      <c r="J4807" s="23"/>
      <c r="K4807" s="23"/>
      <c r="L4807" s="375" t="s">
        <v>7787</v>
      </c>
      <c r="M4807" s="351" t="s">
        <v>7787</v>
      </c>
      <c r="N4807" s="267">
        <f t="shared" si="1866"/>
        <v>0</v>
      </c>
      <c r="O4807" s="268">
        <f t="shared" si="1867"/>
        <v>0</v>
      </c>
      <c r="P4807" s="239"/>
      <c r="Q4807" s="239"/>
      <c r="R4807" s="239"/>
      <c r="S4807" s="239"/>
      <c r="T4807" s="239"/>
      <c r="U4807" s="240"/>
      <c r="V4807" s="240"/>
      <c r="W4807" s="240"/>
      <c r="X4807" s="278"/>
      <c r="Y4807" s="237"/>
      <c r="Z4807" s="237"/>
      <c r="AA4807" s="279"/>
      <c r="AB4807" s="238"/>
      <c r="AC4807" s="196">
        <f t="shared" si="1861"/>
        <v>0</v>
      </c>
      <c r="AD4807" s="196">
        <f t="shared" si="1862"/>
        <v>0</v>
      </c>
      <c r="AE4807" s="196">
        <f t="shared" si="1863"/>
        <v>0</v>
      </c>
      <c r="AF4807" s="2">
        <f t="shared" si="1864"/>
        <v>0</v>
      </c>
      <c r="AG4807" s="2">
        <f t="shared" si="1865"/>
        <v>0</v>
      </c>
    </row>
    <row r="4808" spans="1:33">
      <c r="A4808" s="20" t="s">
        <v>9733</v>
      </c>
      <c r="B4808" s="150"/>
      <c r="C4808" s="21" t="s">
        <v>17070</v>
      </c>
      <c r="D4808" s="109" t="s">
        <v>15167</v>
      </c>
      <c r="E4808" s="109"/>
      <c r="F4808" s="391" t="s">
        <v>17071</v>
      </c>
      <c r="G4808" s="23" t="s">
        <v>16183</v>
      </c>
      <c r="H4808" s="23"/>
      <c r="I4808" s="23"/>
      <c r="J4808" s="23"/>
      <c r="K4808" s="23"/>
      <c r="L4808" s="375" t="s">
        <v>7787</v>
      </c>
      <c r="M4808" s="351" t="s">
        <v>7787</v>
      </c>
      <c r="N4808" s="267">
        <f t="shared" si="1866"/>
        <v>0</v>
      </c>
      <c r="O4808" s="268">
        <f t="shared" si="1867"/>
        <v>0</v>
      </c>
      <c r="P4808" s="239"/>
      <c r="Q4808" s="239"/>
      <c r="R4808" s="239"/>
      <c r="S4808" s="239"/>
      <c r="T4808" s="239"/>
      <c r="U4808" s="240"/>
      <c r="V4808" s="240"/>
      <c r="W4808" s="240"/>
      <c r="X4808" s="278"/>
      <c r="Y4808" s="237"/>
      <c r="Z4808" s="237"/>
      <c r="AA4808" s="279"/>
      <c r="AB4808" s="238"/>
      <c r="AC4808" s="196">
        <f t="shared" si="1861"/>
        <v>0</v>
      </c>
      <c r="AD4808" s="196">
        <f t="shared" si="1862"/>
        <v>0</v>
      </c>
      <c r="AE4808" s="196">
        <f t="shared" si="1863"/>
        <v>0</v>
      </c>
      <c r="AF4808" s="2">
        <f t="shared" si="1864"/>
        <v>0</v>
      </c>
      <c r="AG4808" s="2">
        <f t="shared" si="1865"/>
        <v>0</v>
      </c>
    </row>
    <row r="4809" spans="1:33">
      <c r="A4809" s="20" t="s">
        <v>10591</v>
      </c>
      <c r="B4809" s="150"/>
      <c r="C4809" s="21" t="s">
        <v>17072</v>
      </c>
      <c r="D4809" s="109" t="s">
        <v>16565</v>
      </c>
      <c r="E4809" s="109" t="s">
        <v>16658</v>
      </c>
      <c r="F4809" s="391" t="s">
        <v>17073</v>
      </c>
      <c r="G4809" s="23" t="s">
        <v>17074</v>
      </c>
      <c r="H4809" s="23"/>
      <c r="I4809" s="23"/>
      <c r="J4809" s="23"/>
      <c r="K4809" s="23"/>
      <c r="L4809" s="375" t="s">
        <v>7787</v>
      </c>
      <c r="M4809" s="351"/>
      <c r="N4809" s="267">
        <f t="shared" si="1866"/>
        <v>0</v>
      </c>
      <c r="O4809" s="268">
        <f t="shared" si="1867"/>
        <v>0</v>
      </c>
      <c r="P4809" s="239"/>
      <c r="Q4809" s="239"/>
      <c r="R4809" s="239"/>
      <c r="S4809" s="239"/>
      <c r="T4809" s="239"/>
      <c r="U4809" s="240"/>
      <c r="V4809" s="240"/>
      <c r="W4809" s="240"/>
      <c r="X4809" s="278"/>
      <c r="Y4809" s="237"/>
      <c r="Z4809" s="237"/>
      <c r="AA4809" s="279"/>
      <c r="AB4809" s="238"/>
      <c r="AC4809" s="196">
        <f t="shared" si="1861"/>
        <v>0</v>
      </c>
      <c r="AD4809" s="196">
        <f t="shared" si="1862"/>
        <v>0</v>
      </c>
      <c r="AE4809" s="196">
        <f t="shared" si="1863"/>
        <v>0</v>
      </c>
      <c r="AF4809" s="2">
        <f t="shared" si="1864"/>
        <v>0</v>
      </c>
      <c r="AG4809" s="2">
        <f t="shared" si="1865"/>
        <v>0</v>
      </c>
    </row>
    <row r="4810" spans="1:33">
      <c r="A4810" s="20" t="s">
        <v>25059</v>
      </c>
      <c r="B4810" s="150"/>
      <c r="C4810" s="21" t="s">
        <v>10601</v>
      </c>
      <c r="D4810" s="109" t="s">
        <v>3137</v>
      </c>
      <c r="E4810" s="109"/>
      <c r="F4810" s="391" t="s">
        <v>10611</v>
      </c>
      <c r="G4810" s="23" t="s">
        <v>25126</v>
      </c>
      <c r="H4810" s="23"/>
      <c r="I4810" s="23"/>
      <c r="J4810" s="23"/>
      <c r="K4810" s="23"/>
      <c r="L4810" s="375" t="s">
        <v>45</v>
      </c>
      <c r="M4810" s="351"/>
      <c r="N4810" s="267">
        <f t="shared" ref="N4810" si="1875">SUM(L4810:M4810)</f>
        <v>0</v>
      </c>
      <c r="O4810" s="268">
        <f t="shared" ref="O4810" si="1876">SUM(P4810:Z4810)</f>
        <v>30</v>
      </c>
      <c r="P4810" s="239"/>
      <c r="Q4810" s="239"/>
      <c r="R4810" s="239"/>
      <c r="S4810" s="239">
        <f>840-810</f>
        <v>30</v>
      </c>
      <c r="T4810" s="239"/>
      <c r="U4810" s="240"/>
      <c r="V4810" s="240"/>
      <c r="W4810" s="240"/>
      <c r="X4810" s="278"/>
      <c r="Y4810" s="237"/>
      <c r="Z4810" s="237"/>
      <c r="AA4810" s="279"/>
      <c r="AB4810" s="238" t="s">
        <v>25130</v>
      </c>
      <c r="AC4810" s="196">
        <f t="shared" si="1861"/>
        <v>30</v>
      </c>
      <c r="AD4810" s="196">
        <f t="shared" si="1862"/>
        <v>30</v>
      </c>
      <c r="AE4810" s="196">
        <f t="shared" si="1863"/>
        <v>0</v>
      </c>
      <c r="AF4810" s="2">
        <f t="shared" si="1864"/>
        <v>30</v>
      </c>
      <c r="AG4810" s="2">
        <f t="shared" si="1865"/>
        <v>0</v>
      </c>
    </row>
    <row r="4811" spans="1:33">
      <c r="A4811" s="20" t="s">
        <v>9777</v>
      </c>
      <c r="B4811" s="150"/>
      <c r="C4811" s="21" t="s">
        <v>17075</v>
      </c>
      <c r="D4811" s="109" t="s">
        <v>17002</v>
      </c>
      <c r="E4811" s="109"/>
      <c r="F4811" s="391" t="s">
        <v>17076</v>
      </c>
      <c r="G4811" s="23" t="s">
        <v>17001</v>
      </c>
      <c r="H4811" s="23"/>
      <c r="I4811" s="23"/>
      <c r="J4811" s="23"/>
      <c r="K4811" s="23"/>
      <c r="L4811" s="375" t="s">
        <v>7787</v>
      </c>
      <c r="M4811" s="351" t="s">
        <v>7787</v>
      </c>
      <c r="N4811" s="267">
        <f t="shared" si="1866"/>
        <v>0</v>
      </c>
      <c r="O4811" s="268">
        <f t="shared" si="1867"/>
        <v>0</v>
      </c>
      <c r="P4811" s="239"/>
      <c r="Q4811" s="239"/>
      <c r="R4811" s="239"/>
      <c r="S4811" s="239"/>
      <c r="T4811" s="239"/>
      <c r="U4811" s="240"/>
      <c r="V4811" s="240"/>
      <c r="W4811" s="240"/>
      <c r="X4811" s="278"/>
      <c r="Y4811" s="237"/>
      <c r="Z4811" s="237"/>
      <c r="AA4811" s="279"/>
      <c r="AB4811" s="238"/>
      <c r="AC4811" s="196">
        <f t="shared" si="1861"/>
        <v>0</v>
      </c>
      <c r="AD4811" s="196">
        <f t="shared" si="1862"/>
        <v>0</v>
      </c>
      <c r="AE4811" s="196">
        <f t="shared" si="1863"/>
        <v>0</v>
      </c>
      <c r="AF4811" s="2">
        <f t="shared" si="1864"/>
        <v>0</v>
      </c>
      <c r="AG4811" s="2">
        <f t="shared" si="1865"/>
        <v>0</v>
      </c>
    </row>
    <row r="4812" spans="1:33">
      <c r="A4812" s="20" t="s">
        <v>11022</v>
      </c>
      <c r="B4812" s="150"/>
      <c r="C4812" s="21" t="s">
        <v>11040</v>
      </c>
      <c r="D4812" s="109" t="s">
        <v>16073</v>
      </c>
      <c r="E4812" s="109"/>
      <c r="F4812" s="391" t="s">
        <v>17077</v>
      </c>
      <c r="G4812" s="23" t="s">
        <v>17078</v>
      </c>
      <c r="H4812" s="23"/>
      <c r="I4812" s="23"/>
      <c r="J4812" s="23"/>
      <c r="K4812" s="23"/>
      <c r="L4812" s="375"/>
      <c r="M4812" s="351"/>
      <c r="N4812" s="267">
        <f t="shared" si="1866"/>
        <v>0</v>
      </c>
      <c r="O4812" s="268">
        <f t="shared" si="1867"/>
        <v>0</v>
      </c>
      <c r="P4812" s="239"/>
      <c r="Q4812" s="239"/>
      <c r="R4812" s="239"/>
      <c r="S4812" s="239"/>
      <c r="T4812" s="239"/>
      <c r="U4812" s="240"/>
      <c r="V4812" s="240"/>
      <c r="W4812" s="240"/>
      <c r="X4812" s="278"/>
      <c r="Y4812" s="243"/>
      <c r="Z4812" s="237"/>
      <c r="AA4812" s="239"/>
      <c r="AB4812" s="238"/>
      <c r="AC4812" s="196">
        <f t="shared" si="1861"/>
        <v>0</v>
      </c>
      <c r="AD4812" s="196">
        <f t="shared" si="1862"/>
        <v>0</v>
      </c>
      <c r="AE4812" s="196">
        <f t="shared" si="1863"/>
        <v>0</v>
      </c>
      <c r="AF4812" s="2">
        <f t="shared" si="1864"/>
        <v>0</v>
      </c>
      <c r="AG4812" s="2">
        <f t="shared" si="1865"/>
        <v>0</v>
      </c>
    </row>
    <row r="4813" spans="1:33">
      <c r="A4813" s="20" t="s">
        <v>11859</v>
      </c>
      <c r="B4813" s="150"/>
      <c r="C4813" s="21" t="s">
        <v>17079</v>
      </c>
      <c r="D4813" s="109" t="s">
        <v>16543</v>
      </c>
      <c r="E4813" s="109"/>
      <c r="F4813" s="391" t="s">
        <v>17080</v>
      </c>
      <c r="G4813" s="23" t="s">
        <v>16997</v>
      </c>
      <c r="H4813" s="23" t="s">
        <v>17274</v>
      </c>
      <c r="I4813" s="23"/>
      <c r="J4813" s="23"/>
      <c r="K4813" s="23"/>
      <c r="L4813" s="375" t="s">
        <v>7787</v>
      </c>
      <c r="M4813" s="351" t="s">
        <v>7787</v>
      </c>
      <c r="N4813" s="267">
        <f t="shared" si="1866"/>
        <v>0</v>
      </c>
      <c r="O4813" s="268">
        <f t="shared" si="1867"/>
        <v>0</v>
      </c>
      <c r="P4813" s="239"/>
      <c r="Q4813" s="239"/>
      <c r="R4813" s="239"/>
      <c r="S4813" s="239"/>
      <c r="T4813" s="239"/>
      <c r="U4813" s="240"/>
      <c r="V4813" s="240"/>
      <c r="W4813" s="240"/>
      <c r="X4813" s="278"/>
      <c r="Y4813" s="239"/>
      <c r="Z4813" s="237"/>
      <c r="AA4813" s="239"/>
      <c r="AB4813" s="238"/>
      <c r="AC4813" s="196">
        <f t="shared" si="1861"/>
        <v>0</v>
      </c>
      <c r="AD4813" s="196">
        <f t="shared" si="1862"/>
        <v>0</v>
      </c>
      <c r="AE4813" s="196">
        <f t="shared" si="1863"/>
        <v>0</v>
      </c>
      <c r="AF4813" s="2">
        <f t="shared" si="1864"/>
        <v>0</v>
      </c>
      <c r="AG4813" s="2">
        <f t="shared" si="1865"/>
        <v>0</v>
      </c>
    </row>
    <row r="4814" spans="1:33">
      <c r="A4814" s="20" t="s">
        <v>11290</v>
      </c>
      <c r="B4814" s="150"/>
      <c r="C4814" s="21" t="s">
        <v>17081</v>
      </c>
      <c r="D4814" s="109" t="s">
        <v>16543</v>
      </c>
      <c r="E4814" s="109"/>
      <c r="F4814" s="391" t="s">
        <v>22668</v>
      </c>
      <c r="G4814" s="23" t="s">
        <v>17082</v>
      </c>
      <c r="H4814" s="23"/>
      <c r="I4814" s="23"/>
      <c r="J4814" s="23"/>
      <c r="K4814" s="23"/>
      <c r="L4814" s="375"/>
      <c r="M4814" s="351" t="s">
        <v>7787</v>
      </c>
      <c r="N4814" s="267">
        <f t="shared" si="1866"/>
        <v>0</v>
      </c>
      <c r="O4814" s="268">
        <f t="shared" si="1867"/>
        <v>0</v>
      </c>
      <c r="P4814" s="239"/>
      <c r="Q4814" s="239"/>
      <c r="R4814" s="239"/>
      <c r="S4814" s="239"/>
      <c r="T4814" s="239"/>
      <c r="U4814" s="240"/>
      <c r="V4814" s="240"/>
      <c r="W4814" s="240"/>
      <c r="X4814" s="278"/>
      <c r="Y4814" s="239"/>
      <c r="Z4814" s="237"/>
      <c r="AA4814" s="239"/>
      <c r="AB4814" s="238"/>
      <c r="AC4814" s="196">
        <f t="shared" si="1861"/>
        <v>0</v>
      </c>
      <c r="AD4814" s="196">
        <f t="shared" si="1862"/>
        <v>0</v>
      </c>
      <c r="AE4814" s="196">
        <f t="shared" si="1863"/>
        <v>0</v>
      </c>
      <c r="AF4814" s="2">
        <f t="shared" si="1864"/>
        <v>0</v>
      </c>
      <c r="AG4814" s="2">
        <f t="shared" si="1865"/>
        <v>0</v>
      </c>
    </row>
    <row r="4815" spans="1:33">
      <c r="A4815" s="20" t="s">
        <v>22578</v>
      </c>
      <c r="B4815" s="150"/>
      <c r="C4815" s="21" t="s">
        <v>11281</v>
      </c>
      <c r="D4815" s="109" t="s">
        <v>3096</v>
      </c>
      <c r="E4815" s="109"/>
      <c r="F4815" s="391" t="s">
        <v>22668</v>
      </c>
      <c r="G4815" s="23" t="s">
        <v>22678</v>
      </c>
      <c r="H4815" s="23" t="s">
        <v>25101</v>
      </c>
      <c r="I4815" s="23"/>
      <c r="J4815" s="23"/>
      <c r="K4815" s="23"/>
      <c r="L4815" s="375" t="s">
        <v>7787</v>
      </c>
      <c r="M4815" s="351" t="s">
        <v>7787</v>
      </c>
      <c r="N4815" s="267">
        <f t="shared" si="1866"/>
        <v>0</v>
      </c>
      <c r="O4815" s="268">
        <f t="shared" si="1867"/>
        <v>210</v>
      </c>
      <c r="P4815" s="239"/>
      <c r="Q4815" s="239"/>
      <c r="R4815" s="239">
        <f>1110-870+450-480</f>
        <v>210</v>
      </c>
      <c r="S4815" s="239"/>
      <c r="T4815" s="239"/>
      <c r="U4815" s="240"/>
      <c r="V4815" s="240"/>
      <c r="W4815" s="240"/>
      <c r="X4815" s="278"/>
      <c r="Y4815" s="239"/>
      <c r="Z4815" s="237"/>
      <c r="AA4815" s="247"/>
      <c r="AB4815" s="238" t="s">
        <v>25090</v>
      </c>
      <c r="AC4815" s="196">
        <f t="shared" si="1861"/>
        <v>210</v>
      </c>
      <c r="AD4815" s="196">
        <f t="shared" si="1862"/>
        <v>210</v>
      </c>
      <c r="AE4815" s="196">
        <f t="shared" si="1863"/>
        <v>0</v>
      </c>
      <c r="AF4815" s="2">
        <f t="shared" si="1864"/>
        <v>210</v>
      </c>
      <c r="AG4815" s="2">
        <f t="shared" si="1865"/>
        <v>0</v>
      </c>
    </row>
    <row r="4816" spans="1:33">
      <c r="A4816" s="20" t="s">
        <v>25051</v>
      </c>
      <c r="B4816" s="150"/>
      <c r="C4816" s="21" t="s">
        <v>11281</v>
      </c>
      <c r="D4816" s="109" t="s">
        <v>8376</v>
      </c>
      <c r="E4816" s="109"/>
      <c r="F4816" s="391" t="s">
        <v>22668</v>
      </c>
      <c r="G4816" s="23" t="s">
        <v>25101</v>
      </c>
      <c r="H4816" s="23"/>
      <c r="I4816" s="23"/>
      <c r="J4816" s="23"/>
      <c r="K4816" s="23"/>
      <c r="L4816" s="375" t="s">
        <v>45</v>
      </c>
      <c r="M4816" s="351"/>
      <c r="N4816" s="267">
        <f t="shared" ref="N4816" si="1877">SUM(L4816:M4816)</f>
        <v>0</v>
      </c>
      <c r="O4816" s="268">
        <f t="shared" ref="O4816" si="1878">SUM(P4816:Z4816)</f>
        <v>120</v>
      </c>
      <c r="P4816" s="239"/>
      <c r="Q4816" s="239"/>
      <c r="R4816" s="239">
        <f>510-480+540-480+540-510</f>
        <v>120</v>
      </c>
      <c r="S4816" s="239"/>
      <c r="T4816" s="239"/>
      <c r="U4816" s="240"/>
      <c r="V4816" s="240"/>
      <c r="W4816" s="240"/>
      <c r="X4816" s="278"/>
      <c r="Y4816" s="239"/>
      <c r="Z4816" s="237"/>
      <c r="AA4816" s="247"/>
      <c r="AB4816" s="238" t="s">
        <v>25969</v>
      </c>
      <c r="AC4816" s="196">
        <f t="shared" si="1861"/>
        <v>120</v>
      </c>
      <c r="AD4816" s="196">
        <f t="shared" si="1862"/>
        <v>120</v>
      </c>
      <c r="AE4816" s="196">
        <f t="shared" si="1863"/>
        <v>0</v>
      </c>
      <c r="AF4816" s="2">
        <f t="shared" si="1864"/>
        <v>120</v>
      </c>
      <c r="AG4816" s="2">
        <f t="shared" si="1865"/>
        <v>0</v>
      </c>
    </row>
    <row r="4817" spans="1:33">
      <c r="A4817" s="20" t="s">
        <v>13104</v>
      </c>
      <c r="B4817" s="150"/>
      <c r="C4817" s="21" t="s">
        <v>17083</v>
      </c>
      <c r="D4817" s="109" t="s">
        <v>16073</v>
      </c>
      <c r="E4817" s="109" t="s">
        <v>16220</v>
      </c>
      <c r="F4817" s="391" t="s">
        <v>20565</v>
      </c>
      <c r="G4817" s="23" t="s">
        <v>19108</v>
      </c>
      <c r="H4817" s="23"/>
      <c r="I4817" s="23"/>
      <c r="J4817" s="23"/>
      <c r="K4817" s="23"/>
      <c r="L4817" s="375" t="s">
        <v>7787</v>
      </c>
      <c r="M4817" s="351" t="s">
        <v>7787</v>
      </c>
      <c r="N4817" s="267">
        <f t="shared" si="1866"/>
        <v>0</v>
      </c>
      <c r="O4817" s="268">
        <f t="shared" si="1867"/>
        <v>0</v>
      </c>
      <c r="P4817" s="239"/>
      <c r="Q4817" s="239"/>
      <c r="R4817" s="239"/>
      <c r="S4817" s="239"/>
      <c r="T4817" s="239"/>
      <c r="U4817" s="240"/>
      <c r="V4817" s="240"/>
      <c r="W4817" s="240"/>
      <c r="X4817" s="278"/>
      <c r="Y4817" s="239"/>
      <c r="Z4817" s="237"/>
      <c r="AA4817" s="279"/>
      <c r="AB4817" s="238"/>
      <c r="AC4817" s="196">
        <f t="shared" si="1861"/>
        <v>0</v>
      </c>
      <c r="AD4817" s="196">
        <f t="shared" si="1862"/>
        <v>0</v>
      </c>
      <c r="AE4817" s="196">
        <f t="shared" si="1863"/>
        <v>0</v>
      </c>
      <c r="AF4817" s="2">
        <f t="shared" si="1864"/>
        <v>0</v>
      </c>
      <c r="AG4817" s="2">
        <f t="shared" si="1865"/>
        <v>0</v>
      </c>
    </row>
    <row r="4818" spans="1:33">
      <c r="A4818" s="20" t="s">
        <v>3066</v>
      </c>
      <c r="B4818" s="150"/>
      <c r="C4818" s="21" t="s">
        <v>891</v>
      </c>
      <c r="D4818" s="109" t="s">
        <v>15161</v>
      </c>
      <c r="E4818" s="109"/>
      <c r="F4818" s="391" t="s">
        <v>17084</v>
      </c>
      <c r="G4818" s="23"/>
      <c r="H4818" s="23"/>
      <c r="I4818" s="23"/>
      <c r="J4818" s="23"/>
      <c r="K4818" s="23"/>
      <c r="L4818" s="350"/>
      <c r="M4818" s="351"/>
      <c r="N4818" s="267">
        <f t="shared" si="1866"/>
        <v>0</v>
      </c>
      <c r="O4818" s="268">
        <f t="shared" si="1867"/>
        <v>0</v>
      </c>
      <c r="P4818" s="239"/>
      <c r="Q4818" s="239"/>
      <c r="R4818" s="239"/>
      <c r="S4818" s="239"/>
      <c r="T4818" s="239"/>
      <c r="U4818" s="240"/>
      <c r="V4818" s="240"/>
      <c r="W4818" s="240"/>
      <c r="X4818" s="278"/>
      <c r="Y4818" s="239"/>
      <c r="Z4818" s="237"/>
      <c r="AA4818" s="279"/>
      <c r="AB4818" s="238"/>
      <c r="AC4818" s="196">
        <f t="shared" si="1861"/>
        <v>0</v>
      </c>
      <c r="AD4818" s="196">
        <f t="shared" si="1862"/>
        <v>0</v>
      </c>
      <c r="AE4818" s="196">
        <f t="shared" si="1863"/>
        <v>0</v>
      </c>
      <c r="AF4818" s="2">
        <f t="shared" si="1864"/>
        <v>0</v>
      </c>
      <c r="AG4818" s="2">
        <f t="shared" si="1865"/>
        <v>0</v>
      </c>
    </row>
    <row r="4819" spans="1:33">
      <c r="A4819" s="20" t="s">
        <v>11400</v>
      </c>
      <c r="B4819" s="150"/>
      <c r="C4819" s="21" t="s">
        <v>17085</v>
      </c>
      <c r="D4819" s="109" t="s">
        <v>16313</v>
      </c>
      <c r="E4819" s="109" t="s">
        <v>3128</v>
      </c>
      <c r="F4819" s="391" t="s">
        <v>17086</v>
      </c>
      <c r="G4819" s="23" t="s">
        <v>16271</v>
      </c>
      <c r="H4819" s="23"/>
      <c r="I4819" s="23"/>
      <c r="J4819" s="23"/>
      <c r="K4819" s="23"/>
      <c r="L4819" s="375"/>
      <c r="M4819" s="351" t="s">
        <v>7787</v>
      </c>
      <c r="N4819" s="267">
        <f t="shared" si="1866"/>
        <v>0</v>
      </c>
      <c r="O4819" s="268">
        <f t="shared" si="1867"/>
        <v>0</v>
      </c>
      <c r="P4819" s="239"/>
      <c r="Q4819" s="239"/>
      <c r="R4819" s="239"/>
      <c r="S4819" s="239"/>
      <c r="T4819" s="239"/>
      <c r="U4819" s="240"/>
      <c r="V4819" s="240"/>
      <c r="W4819" s="240"/>
      <c r="X4819" s="278"/>
      <c r="Y4819" s="239"/>
      <c r="Z4819" s="237"/>
      <c r="AA4819" s="239"/>
      <c r="AB4819" s="238"/>
      <c r="AC4819" s="196">
        <f t="shared" si="1861"/>
        <v>0</v>
      </c>
      <c r="AD4819" s="196">
        <f t="shared" si="1862"/>
        <v>0</v>
      </c>
      <c r="AE4819" s="196">
        <f t="shared" si="1863"/>
        <v>0</v>
      </c>
      <c r="AF4819" s="2">
        <f t="shared" si="1864"/>
        <v>0</v>
      </c>
      <c r="AG4819" s="2">
        <f t="shared" si="1865"/>
        <v>0</v>
      </c>
    </row>
    <row r="4820" spans="1:33">
      <c r="A4820" s="20" t="s">
        <v>12102</v>
      </c>
      <c r="B4820" s="150"/>
      <c r="C4820" s="21" t="s">
        <v>12206</v>
      </c>
      <c r="D4820" s="109" t="s">
        <v>16473</v>
      </c>
      <c r="E4820" s="109"/>
      <c r="F4820" s="391" t="s">
        <v>17087</v>
      </c>
      <c r="G4820" s="23" t="s">
        <v>17088</v>
      </c>
      <c r="H4820" s="23"/>
      <c r="I4820" s="23"/>
      <c r="J4820" s="23"/>
      <c r="K4820" s="23"/>
      <c r="L4820" s="375" t="s">
        <v>7787</v>
      </c>
      <c r="M4820" s="351" t="s">
        <v>7787</v>
      </c>
      <c r="N4820" s="267">
        <f t="shared" si="1866"/>
        <v>0</v>
      </c>
      <c r="O4820" s="268">
        <f t="shared" si="1867"/>
        <v>0</v>
      </c>
      <c r="P4820" s="239"/>
      <c r="Q4820" s="239"/>
      <c r="R4820" s="239"/>
      <c r="S4820" s="239"/>
      <c r="T4820" s="239"/>
      <c r="U4820" s="240"/>
      <c r="V4820" s="240"/>
      <c r="W4820" s="240"/>
      <c r="X4820" s="278"/>
      <c r="Y4820" s="239"/>
      <c r="Z4820" s="237"/>
      <c r="AA4820" s="279"/>
      <c r="AB4820" s="238"/>
      <c r="AC4820" s="196">
        <f t="shared" si="1861"/>
        <v>0</v>
      </c>
      <c r="AD4820" s="196">
        <f t="shared" si="1862"/>
        <v>0</v>
      </c>
      <c r="AE4820" s="196">
        <f t="shared" si="1863"/>
        <v>0</v>
      </c>
      <c r="AF4820" s="2">
        <f t="shared" si="1864"/>
        <v>0</v>
      </c>
      <c r="AG4820" s="2">
        <f t="shared" si="1865"/>
        <v>0</v>
      </c>
    </row>
    <row r="4821" spans="1:33">
      <c r="A4821" s="20" t="s">
        <v>12096</v>
      </c>
      <c r="B4821" s="150"/>
      <c r="C4821" s="21" t="s">
        <v>17089</v>
      </c>
      <c r="D4821" s="109" t="s">
        <v>16473</v>
      </c>
      <c r="E4821" s="109"/>
      <c r="F4821" s="391" t="s">
        <v>17090</v>
      </c>
      <c r="G4821" s="23" t="s">
        <v>17082</v>
      </c>
      <c r="H4821" s="23"/>
      <c r="I4821" s="23"/>
      <c r="J4821" s="23"/>
      <c r="K4821" s="23"/>
      <c r="L4821" s="375"/>
      <c r="M4821" s="351"/>
      <c r="N4821" s="267">
        <f t="shared" si="1866"/>
        <v>0</v>
      </c>
      <c r="O4821" s="268">
        <f t="shared" si="1867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9"/>
      <c r="Z4821" s="237"/>
      <c r="AA4821" s="279"/>
      <c r="AB4821" s="238"/>
      <c r="AC4821" s="196">
        <f t="shared" si="1861"/>
        <v>0</v>
      </c>
      <c r="AD4821" s="196">
        <f t="shared" si="1862"/>
        <v>0</v>
      </c>
      <c r="AE4821" s="196">
        <f t="shared" si="1863"/>
        <v>0</v>
      </c>
      <c r="AF4821" s="2">
        <f t="shared" si="1864"/>
        <v>0</v>
      </c>
      <c r="AG4821" s="2">
        <f t="shared" si="1865"/>
        <v>0</v>
      </c>
    </row>
    <row r="4822" spans="1:33">
      <c r="A4822" s="20" t="s">
        <v>12648</v>
      </c>
      <c r="B4822" s="150"/>
      <c r="C4822" s="21" t="s">
        <v>17091</v>
      </c>
      <c r="D4822" s="109" t="s">
        <v>15167</v>
      </c>
      <c r="E4822" s="109" t="s">
        <v>27510</v>
      </c>
      <c r="F4822" s="391" t="s">
        <v>17092</v>
      </c>
      <c r="G4822" s="23" t="s">
        <v>16739</v>
      </c>
      <c r="H4822" s="23" t="s">
        <v>17093</v>
      </c>
      <c r="I4822" s="23" t="s">
        <v>13349</v>
      </c>
      <c r="J4822" s="23"/>
      <c r="K4822" s="23"/>
      <c r="L4822" s="375" t="s">
        <v>7787</v>
      </c>
      <c r="M4822" s="351" t="s">
        <v>7787</v>
      </c>
      <c r="N4822" s="267">
        <f t="shared" si="1866"/>
        <v>0</v>
      </c>
      <c r="O4822" s="268">
        <f t="shared" si="1867"/>
        <v>1680</v>
      </c>
      <c r="P4822" s="239"/>
      <c r="Q4822" s="239"/>
      <c r="R4822" s="239"/>
      <c r="S4822" s="239"/>
      <c r="T4822" s="239"/>
      <c r="U4822" s="239">
        <v>1680</v>
      </c>
      <c r="V4822" s="240"/>
      <c r="W4822" s="240"/>
      <c r="X4822" s="278"/>
      <c r="Y4822" s="239"/>
      <c r="Z4822" s="237"/>
      <c r="AA4822" s="279"/>
      <c r="AB4822" s="238"/>
      <c r="AC4822" s="196">
        <f t="shared" si="1861"/>
        <v>1680</v>
      </c>
      <c r="AD4822" s="196">
        <f t="shared" si="1862"/>
        <v>1680</v>
      </c>
      <c r="AE4822" s="196">
        <f t="shared" si="1863"/>
        <v>0</v>
      </c>
      <c r="AF4822" s="2">
        <f t="shared" si="1864"/>
        <v>1680</v>
      </c>
      <c r="AG4822" s="2">
        <f t="shared" si="1865"/>
        <v>0</v>
      </c>
    </row>
    <row r="4823" spans="1:33">
      <c r="A4823" s="20" t="s">
        <v>12658</v>
      </c>
      <c r="B4823" s="150"/>
      <c r="C4823" s="21" t="s">
        <v>17094</v>
      </c>
      <c r="D4823" s="109" t="s">
        <v>16677</v>
      </c>
      <c r="E4823" s="109"/>
      <c r="F4823" s="391" t="s">
        <v>12830</v>
      </c>
      <c r="G4823" s="23" t="s">
        <v>16304</v>
      </c>
      <c r="H4823" s="23" t="s">
        <v>17522</v>
      </c>
      <c r="I4823" s="23"/>
      <c r="J4823" s="23"/>
      <c r="K4823" s="23"/>
      <c r="L4823" s="375"/>
      <c r="M4823" s="351" t="s">
        <v>7787</v>
      </c>
      <c r="N4823" s="267">
        <f t="shared" si="1866"/>
        <v>0</v>
      </c>
      <c r="O4823" s="268">
        <f t="shared" si="1867"/>
        <v>0</v>
      </c>
      <c r="P4823" s="239"/>
      <c r="Q4823" s="239"/>
      <c r="R4823" s="239"/>
      <c r="S4823" s="239"/>
      <c r="T4823" s="239"/>
      <c r="U4823" s="240"/>
      <c r="V4823" s="240"/>
      <c r="W4823" s="240"/>
      <c r="X4823" s="278"/>
      <c r="Y4823" s="237"/>
      <c r="Z4823" s="237"/>
      <c r="AA4823" s="279"/>
      <c r="AB4823" s="238"/>
      <c r="AC4823" s="196">
        <f t="shared" si="1861"/>
        <v>0</v>
      </c>
      <c r="AD4823" s="196">
        <f t="shared" si="1862"/>
        <v>0</v>
      </c>
      <c r="AE4823" s="196">
        <f t="shared" si="1863"/>
        <v>0</v>
      </c>
      <c r="AF4823" s="2">
        <f t="shared" si="1864"/>
        <v>0</v>
      </c>
      <c r="AG4823" s="2">
        <f t="shared" si="1865"/>
        <v>0</v>
      </c>
    </row>
    <row r="4824" spans="1:33">
      <c r="A4824" s="20" t="s">
        <v>12654</v>
      </c>
      <c r="B4824" s="150"/>
      <c r="C4824" s="21" t="s">
        <v>17095</v>
      </c>
      <c r="D4824" s="109" t="s">
        <v>16313</v>
      </c>
      <c r="E4824" s="109"/>
      <c r="F4824" s="391" t="s">
        <v>17096</v>
      </c>
      <c r="G4824" s="23" t="s">
        <v>16183</v>
      </c>
      <c r="H4824" s="23"/>
      <c r="I4824" s="23"/>
      <c r="J4824" s="23"/>
      <c r="K4824" s="23"/>
      <c r="L4824" s="375" t="s">
        <v>7787</v>
      </c>
      <c r="M4824" s="351" t="s">
        <v>7787</v>
      </c>
      <c r="N4824" s="267">
        <f t="shared" si="1866"/>
        <v>0</v>
      </c>
      <c r="O4824" s="268">
        <f t="shared" si="1867"/>
        <v>0</v>
      </c>
      <c r="P4824" s="239"/>
      <c r="Q4824" s="239"/>
      <c r="R4824" s="239"/>
      <c r="S4824" s="239"/>
      <c r="T4824" s="239"/>
      <c r="U4824" s="240"/>
      <c r="V4824" s="240"/>
      <c r="W4824" s="240"/>
      <c r="X4824" s="278"/>
      <c r="Y4824" s="237"/>
      <c r="Z4824" s="237"/>
      <c r="AA4824" s="279"/>
      <c r="AB4824" s="238"/>
      <c r="AC4824" s="196">
        <f t="shared" si="1861"/>
        <v>0</v>
      </c>
      <c r="AD4824" s="196">
        <f t="shared" si="1862"/>
        <v>0</v>
      </c>
      <c r="AE4824" s="196">
        <f t="shared" si="1863"/>
        <v>0</v>
      </c>
      <c r="AF4824" s="2">
        <f t="shared" si="1864"/>
        <v>0</v>
      </c>
      <c r="AG4824" s="2">
        <f t="shared" si="1865"/>
        <v>0</v>
      </c>
    </row>
    <row r="4825" spans="1:33">
      <c r="A4825" s="20" t="s">
        <v>18325</v>
      </c>
      <c r="B4825" s="150"/>
      <c r="C4825" s="21" t="s">
        <v>18249</v>
      </c>
      <c r="D4825" s="109" t="s">
        <v>6766</v>
      </c>
      <c r="E4825" s="109"/>
      <c r="F4825" s="391" t="s">
        <v>18251</v>
      </c>
      <c r="G4825" s="23" t="s">
        <v>6133</v>
      </c>
      <c r="H4825" s="23"/>
      <c r="I4825" s="23"/>
      <c r="J4825" s="23"/>
      <c r="K4825" s="23"/>
      <c r="L4825" s="375" t="s">
        <v>7787</v>
      </c>
      <c r="M4825" s="351"/>
      <c r="N4825" s="267">
        <f t="shared" si="1866"/>
        <v>0</v>
      </c>
      <c r="O4825" s="268">
        <f t="shared" si="1867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79"/>
      <c r="AB4825" s="238"/>
      <c r="AC4825" s="196">
        <f t="shared" si="1861"/>
        <v>0</v>
      </c>
      <c r="AD4825" s="196">
        <f t="shared" si="1862"/>
        <v>0</v>
      </c>
      <c r="AE4825" s="196">
        <f t="shared" si="1863"/>
        <v>0</v>
      </c>
      <c r="AF4825" s="2">
        <f t="shared" si="1864"/>
        <v>0</v>
      </c>
      <c r="AG4825" s="2">
        <f t="shared" si="1865"/>
        <v>0</v>
      </c>
    </row>
    <row r="4826" spans="1:33">
      <c r="A4826" s="20" t="s">
        <v>19956</v>
      </c>
      <c r="B4826" s="150"/>
      <c r="C4826" s="21" t="s">
        <v>19282</v>
      </c>
      <c r="D4826" s="109" t="s">
        <v>6766</v>
      </c>
      <c r="E4826" s="109"/>
      <c r="F4826" s="391" t="s">
        <v>19291</v>
      </c>
      <c r="G4826" s="23" t="s">
        <v>19292</v>
      </c>
      <c r="H4826" s="23"/>
      <c r="I4826" s="23"/>
      <c r="J4826" s="23"/>
      <c r="K4826" s="23"/>
      <c r="L4826" s="375" t="s">
        <v>7787</v>
      </c>
      <c r="M4826" s="351"/>
      <c r="N4826" s="267">
        <f t="shared" si="1866"/>
        <v>0</v>
      </c>
      <c r="O4826" s="268">
        <f t="shared" si="1867"/>
        <v>0</v>
      </c>
      <c r="P4826" s="239"/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79"/>
      <c r="AB4826" s="238"/>
      <c r="AC4826" s="196">
        <f t="shared" si="1861"/>
        <v>0</v>
      </c>
      <c r="AD4826" s="196">
        <f t="shared" si="1862"/>
        <v>0</v>
      </c>
      <c r="AE4826" s="196">
        <f t="shared" si="1863"/>
        <v>0</v>
      </c>
      <c r="AF4826" s="2">
        <f t="shared" si="1864"/>
        <v>0</v>
      </c>
      <c r="AG4826" s="2">
        <f t="shared" si="1865"/>
        <v>0</v>
      </c>
    </row>
    <row r="4827" spans="1:33">
      <c r="A4827" s="20" t="s">
        <v>21561</v>
      </c>
      <c r="B4827" s="150"/>
      <c r="C4827" s="21" t="s">
        <v>20639</v>
      </c>
      <c r="D4827" s="109" t="s">
        <v>6766</v>
      </c>
      <c r="E4827" s="109" t="s">
        <v>20641</v>
      </c>
      <c r="F4827" s="391" t="s">
        <v>20642</v>
      </c>
      <c r="G4827" s="23" t="s">
        <v>6133</v>
      </c>
      <c r="H4827" s="23" t="s">
        <v>21075</v>
      </c>
      <c r="I4827" s="23" t="s">
        <v>26329</v>
      </c>
      <c r="J4827" s="23" t="s">
        <v>26597</v>
      </c>
      <c r="K4827" s="23"/>
      <c r="L4827" s="375" t="s">
        <v>45</v>
      </c>
      <c r="M4827" s="351"/>
      <c r="N4827" s="267">
        <f t="shared" si="1866"/>
        <v>0</v>
      </c>
      <c r="O4827" s="268">
        <f t="shared" si="1867"/>
        <v>280</v>
      </c>
      <c r="P4827" s="239"/>
      <c r="Q4827" s="239"/>
      <c r="R4827" s="239"/>
      <c r="S4827" s="239"/>
      <c r="T4827" s="239"/>
      <c r="U4827" s="239"/>
      <c r="V4827" s="240">
        <f>360-80</f>
        <v>280</v>
      </c>
      <c r="W4827" s="240"/>
      <c r="X4827" s="278"/>
      <c r="Y4827" s="237"/>
      <c r="Z4827" s="237"/>
      <c r="AA4827" s="279"/>
      <c r="AB4827" s="238" t="s">
        <v>27246</v>
      </c>
      <c r="AC4827" s="196">
        <f t="shared" si="1861"/>
        <v>280</v>
      </c>
      <c r="AD4827" s="196">
        <f t="shared" si="1862"/>
        <v>280</v>
      </c>
      <c r="AE4827" s="196">
        <f t="shared" si="1863"/>
        <v>0</v>
      </c>
      <c r="AF4827" s="2">
        <f t="shared" si="1864"/>
        <v>280</v>
      </c>
      <c r="AG4827" s="2">
        <f t="shared" si="1865"/>
        <v>0</v>
      </c>
    </row>
    <row r="4828" spans="1:33">
      <c r="A4828" s="20" t="s">
        <v>3070</v>
      </c>
      <c r="B4828" s="150"/>
      <c r="C4828" s="21" t="s">
        <v>676</v>
      </c>
      <c r="D4828" s="109" t="s">
        <v>16376</v>
      </c>
      <c r="E4828" s="109" t="s">
        <v>15965</v>
      </c>
      <c r="F4828" s="391" t="s">
        <v>17097</v>
      </c>
      <c r="G4828" s="23" t="s">
        <v>16468</v>
      </c>
      <c r="H4828" s="23"/>
      <c r="I4828" s="23"/>
      <c r="J4828" s="23"/>
      <c r="K4828" s="23"/>
      <c r="L4828" s="350"/>
      <c r="M4828" s="351"/>
      <c r="N4828" s="267">
        <f t="shared" si="1866"/>
        <v>0</v>
      </c>
      <c r="O4828" s="268">
        <f t="shared" si="1867"/>
        <v>0</v>
      </c>
      <c r="P4828" s="239"/>
      <c r="Q4828" s="239"/>
      <c r="R4828" s="239"/>
      <c r="S4828" s="239"/>
      <c r="T4828" s="239"/>
      <c r="U4828" s="240"/>
      <c r="V4828" s="240"/>
      <c r="W4828" s="240"/>
      <c r="X4828" s="278"/>
      <c r="Y4828" s="237"/>
      <c r="Z4828" s="237"/>
      <c r="AA4828" s="285"/>
      <c r="AB4828" s="238"/>
      <c r="AC4828" s="196">
        <f t="shared" si="1861"/>
        <v>0</v>
      </c>
      <c r="AD4828" s="196">
        <f t="shared" si="1862"/>
        <v>0</v>
      </c>
      <c r="AE4828" s="196">
        <f t="shared" si="1863"/>
        <v>0</v>
      </c>
      <c r="AF4828" s="2">
        <f t="shared" si="1864"/>
        <v>0</v>
      </c>
      <c r="AG4828" s="2">
        <f t="shared" si="1865"/>
        <v>0</v>
      </c>
    </row>
    <row r="4829" spans="1:33">
      <c r="A4829" s="20" t="s">
        <v>3072</v>
      </c>
      <c r="B4829" s="150"/>
      <c r="C4829" s="21" t="s">
        <v>676</v>
      </c>
      <c r="D4829" s="109" t="s">
        <v>16453</v>
      </c>
      <c r="E4829" s="109" t="s">
        <v>17098</v>
      </c>
      <c r="F4829" s="391" t="s">
        <v>5308</v>
      </c>
      <c r="G4829" s="23" t="s">
        <v>16454</v>
      </c>
      <c r="H4829" s="23"/>
      <c r="I4829" s="23"/>
      <c r="J4829" s="23"/>
      <c r="K4829" s="23"/>
      <c r="L4829" s="375" t="s">
        <v>7787</v>
      </c>
      <c r="M4829" s="351" t="s">
        <v>7787</v>
      </c>
      <c r="N4829" s="267">
        <f t="shared" si="1866"/>
        <v>0</v>
      </c>
      <c r="O4829" s="268">
        <f t="shared" si="1867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85"/>
      <c r="AB4829" s="238"/>
      <c r="AC4829" s="196">
        <f t="shared" si="1861"/>
        <v>0</v>
      </c>
      <c r="AD4829" s="196">
        <f t="shared" si="1862"/>
        <v>0</v>
      </c>
      <c r="AE4829" s="196">
        <f t="shared" si="1863"/>
        <v>0</v>
      </c>
      <c r="AF4829" s="2">
        <f t="shared" si="1864"/>
        <v>0</v>
      </c>
      <c r="AG4829" s="2">
        <f t="shared" si="1865"/>
        <v>0</v>
      </c>
    </row>
    <row r="4830" spans="1:33">
      <c r="A4830" s="20" t="s">
        <v>3074</v>
      </c>
      <c r="B4830" s="150"/>
      <c r="C4830" s="21" t="s">
        <v>676</v>
      </c>
      <c r="D4830" s="109" t="s">
        <v>16832</v>
      </c>
      <c r="E4830" s="109" t="s">
        <v>17098</v>
      </c>
      <c r="F4830" s="391" t="s">
        <v>5308</v>
      </c>
      <c r="G4830" s="23" t="s">
        <v>16817</v>
      </c>
      <c r="H4830" s="23" t="s">
        <v>19541</v>
      </c>
      <c r="I4830" s="23" t="s">
        <v>25143</v>
      </c>
      <c r="J4830" s="23"/>
      <c r="K4830" s="23"/>
      <c r="L4830" s="375" t="s">
        <v>45</v>
      </c>
      <c r="M4830" s="351" t="s">
        <v>7787</v>
      </c>
      <c r="N4830" s="267">
        <f t="shared" si="1866"/>
        <v>0</v>
      </c>
      <c r="O4830" s="268">
        <f t="shared" si="1867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85"/>
      <c r="AB4830" s="238"/>
      <c r="AC4830" s="196">
        <f t="shared" si="1861"/>
        <v>0</v>
      </c>
      <c r="AD4830" s="196">
        <f t="shared" si="1862"/>
        <v>0</v>
      </c>
      <c r="AE4830" s="196">
        <f t="shared" si="1863"/>
        <v>0</v>
      </c>
      <c r="AF4830" s="2">
        <f t="shared" si="1864"/>
        <v>0</v>
      </c>
      <c r="AG4830" s="2">
        <f t="shared" si="1865"/>
        <v>0</v>
      </c>
    </row>
    <row r="4831" spans="1:33">
      <c r="A4831" s="20" t="s">
        <v>27138</v>
      </c>
      <c r="B4831" s="150"/>
      <c r="C4831" s="21" t="s">
        <v>676</v>
      </c>
      <c r="D4831" s="109" t="s">
        <v>27191</v>
      </c>
      <c r="E4831" s="109" t="s">
        <v>27193</v>
      </c>
      <c r="F4831" s="391" t="s">
        <v>5308</v>
      </c>
      <c r="G4831" s="23" t="s">
        <v>25985</v>
      </c>
      <c r="H4831" s="23" t="s">
        <v>27192</v>
      </c>
      <c r="I4831" s="23" t="s">
        <v>26603</v>
      </c>
      <c r="J4831" s="23"/>
      <c r="K4831" s="23"/>
      <c r="L4831" s="375" t="s">
        <v>7787</v>
      </c>
      <c r="M4831" s="351" t="s">
        <v>7787</v>
      </c>
      <c r="N4831" s="267">
        <f t="shared" ref="N4831" si="1879">SUM(L4831:M4831)</f>
        <v>0</v>
      </c>
      <c r="O4831" s="268">
        <f t="shared" ref="O4831" si="1880">SUM(P4831:Z4831)</f>
        <v>450</v>
      </c>
      <c r="P4831" s="239">
        <f>2000-550-1000</f>
        <v>450</v>
      </c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85"/>
      <c r="AB4831" s="238" t="s">
        <v>27194</v>
      </c>
      <c r="AC4831" s="196">
        <f t="shared" ref="AC4831" si="1881">SUM(P4831:AA4831)</f>
        <v>450</v>
      </c>
      <c r="AD4831" s="196">
        <f t="shared" ref="AD4831" si="1882">SUM(P4831:AB4831)</f>
        <v>450</v>
      </c>
      <c r="AE4831" s="196">
        <f t="shared" ref="AE4831" si="1883">SUM(AC4831-AD4831)</f>
        <v>0</v>
      </c>
      <c r="AF4831" s="2">
        <f t="shared" ref="AF4831" si="1884">+AC4831</f>
        <v>450</v>
      </c>
      <c r="AG4831" s="2">
        <f t="shared" ref="AG4831" si="1885">+AC4831-AF4831</f>
        <v>0</v>
      </c>
    </row>
    <row r="4832" spans="1:33">
      <c r="A4832" s="20" t="s">
        <v>3071</v>
      </c>
      <c r="B4832" s="150"/>
      <c r="C4832" s="21" t="s">
        <v>676</v>
      </c>
      <c r="D4832" s="109" t="s">
        <v>15161</v>
      </c>
      <c r="E4832" s="109"/>
      <c r="F4832" s="391" t="s">
        <v>17097</v>
      </c>
      <c r="G4832" s="23"/>
      <c r="H4832" s="23"/>
      <c r="I4832" s="23"/>
      <c r="J4832" s="23"/>
      <c r="K4832" s="23"/>
      <c r="L4832" s="350"/>
      <c r="M4832" s="351"/>
      <c r="N4832" s="267">
        <f t="shared" si="1866"/>
        <v>0</v>
      </c>
      <c r="O4832" s="268">
        <f t="shared" si="1867"/>
        <v>0</v>
      </c>
      <c r="P4832" s="239"/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85"/>
      <c r="AB4832" s="238"/>
      <c r="AC4832" s="196">
        <f t="shared" si="1861"/>
        <v>0</v>
      </c>
      <c r="AD4832" s="196">
        <f t="shared" si="1862"/>
        <v>0</v>
      </c>
      <c r="AE4832" s="196">
        <f t="shared" si="1863"/>
        <v>0</v>
      </c>
      <c r="AF4832" s="2">
        <f t="shared" si="1864"/>
        <v>0</v>
      </c>
      <c r="AG4832" s="2">
        <f t="shared" si="1865"/>
        <v>0</v>
      </c>
    </row>
    <row r="4833" spans="1:33">
      <c r="A4833" s="20" t="s">
        <v>3073</v>
      </c>
      <c r="B4833" s="150"/>
      <c r="C4833" s="21" t="s">
        <v>676</v>
      </c>
      <c r="D4833" s="109" t="s">
        <v>15167</v>
      </c>
      <c r="E4833" s="109"/>
      <c r="F4833" s="391" t="s">
        <v>17097</v>
      </c>
      <c r="G4833" s="23" t="s">
        <v>16468</v>
      </c>
      <c r="H4833" s="23"/>
      <c r="I4833" s="23"/>
      <c r="J4833" s="23"/>
      <c r="K4833" s="23"/>
      <c r="L4833" s="350"/>
      <c r="M4833" s="351"/>
      <c r="N4833" s="267">
        <f t="shared" si="1866"/>
        <v>0</v>
      </c>
      <c r="O4833" s="268">
        <f t="shared" si="1867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85"/>
      <c r="AB4833" s="238"/>
      <c r="AC4833" s="196">
        <f t="shared" si="1861"/>
        <v>0</v>
      </c>
      <c r="AD4833" s="196">
        <f t="shared" si="1862"/>
        <v>0</v>
      </c>
      <c r="AE4833" s="196">
        <f t="shared" si="1863"/>
        <v>0</v>
      </c>
      <c r="AF4833" s="2">
        <f t="shared" si="1864"/>
        <v>0</v>
      </c>
      <c r="AG4833" s="2">
        <f t="shared" si="1865"/>
        <v>0</v>
      </c>
    </row>
    <row r="4834" spans="1:33">
      <c r="A4834" s="20" t="s">
        <v>3067</v>
      </c>
      <c r="B4834" s="150"/>
      <c r="C4834" s="21" t="s">
        <v>892</v>
      </c>
      <c r="D4834" s="109" t="s">
        <v>15161</v>
      </c>
      <c r="E4834" s="109"/>
      <c r="F4834" s="391" t="s">
        <v>17099</v>
      </c>
      <c r="G4834" s="23" t="s">
        <v>16689</v>
      </c>
      <c r="H4834" s="23"/>
      <c r="I4834" s="23"/>
      <c r="J4834" s="23"/>
      <c r="K4834" s="23"/>
      <c r="L4834" s="350"/>
      <c r="M4834" s="351"/>
      <c r="N4834" s="267">
        <f t="shared" si="1866"/>
        <v>0</v>
      </c>
      <c r="O4834" s="268">
        <f t="shared" si="1867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79"/>
      <c r="AB4834" s="238"/>
      <c r="AC4834" s="196">
        <f t="shared" si="1861"/>
        <v>0</v>
      </c>
      <c r="AD4834" s="196">
        <f t="shared" si="1862"/>
        <v>0</v>
      </c>
      <c r="AE4834" s="196">
        <f t="shared" si="1863"/>
        <v>0</v>
      </c>
      <c r="AF4834" s="2">
        <f t="shared" si="1864"/>
        <v>0</v>
      </c>
      <c r="AG4834" s="2">
        <f t="shared" si="1865"/>
        <v>0</v>
      </c>
    </row>
    <row r="4835" spans="1:33">
      <c r="A4835" s="20" t="s">
        <v>12405</v>
      </c>
      <c r="B4835" s="150"/>
      <c r="C4835" s="21" t="s">
        <v>892</v>
      </c>
      <c r="D4835" s="109" t="s">
        <v>16313</v>
      </c>
      <c r="E4835" s="109"/>
      <c r="F4835" s="391" t="s">
        <v>17099</v>
      </c>
      <c r="G4835" s="23" t="s">
        <v>16689</v>
      </c>
      <c r="H4835" s="23" t="s">
        <v>24430</v>
      </c>
      <c r="I4835" s="23"/>
      <c r="J4835" s="23"/>
      <c r="K4835" s="23"/>
      <c r="L4835" s="375" t="s">
        <v>7787</v>
      </c>
      <c r="M4835" s="351" t="s">
        <v>7787</v>
      </c>
      <c r="N4835" s="267">
        <f t="shared" si="1866"/>
        <v>0</v>
      </c>
      <c r="O4835" s="268">
        <f t="shared" si="1867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si="1861"/>
        <v>0</v>
      </c>
      <c r="AD4835" s="196">
        <f t="shared" si="1862"/>
        <v>0</v>
      </c>
      <c r="AE4835" s="196">
        <f t="shared" si="1863"/>
        <v>0</v>
      </c>
      <c r="AF4835" s="2">
        <f t="shared" si="1864"/>
        <v>0</v>
      </c>
      <c r="AG4835" s="2">
        <f t="shared" si="1865"/>
        <v>0</v>
      </c>
    </row>
    <row r="4836" spans="1:33">
      <c r="A4836" s="20" t="s">
        <v>3068</v>
      </c>
      <c r="B4836" s="150"/>
      <c r="C4836" s="21" t="s">
        <v>4058</v>
      </c>
      <c r="D4836" s="109" t="s">
        <v>16376</v>
      </c>
      <c r="E4836" s="109" t="s">
        <v>15965</v>
      </c>
      <c r="F4836" s="391" t="s">
        <v>17100</v>
      </c>
      <c r="G4836" s="23" t="s">
        <v>17019</v>
      </c>
      <c r="H4836" s="23"/>
      <c r="I4836" s="23"/>
      <c r="J4836" s="23"/>
      <c r="K4836" s="23"/>
      <c r="L4836" s="350"/>
      <c r="M4836" s="351"/>
      <c r="N4836" s="267">
        <f t="shared" si="1866"/>
        <v>0</v>
      </c>
      <c r="O4836" s="268">
        <f t="shared" si="1867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si="1861"/>
        <v>0</v>
      </c>
      <c r="AD4836" s="196">
        <f t="shared" si="1862"/>
        <v>0</v>
      </c>
      <c r="AE4836" s="196">
        <f t="shared" si="1863"/>
        <v>0</v>
      </c>
      <c r="AF4836" s="2">
        <f t="shared" si="1864"/>
        <v>0</v>
      </c>
      <c r="AG4836" s="2">
        <f t="shared" si="1865"/>
        <v>0</v>
      </c>
    </row>
    <row r="4837" spans="1:33">
      <c r="A4837" s="20" t="s">
        <v>3069</v>
      </c>
      <c r="B4837" s="150"/>
      <c r="C4837" s="21" t="s">
        <v>893</v>
      </c>
      <c r="D4837" s="109" t="s">
        <v>15161</v>
      </c>
      <c r="E4837" s="109"/>
      <c r="F4837" s="391" t="s">
        <v>17101</v>
      </c>
      <c r="G4837" s="23"/>
      <c r="H4837" s="23"/>
      <c r="I4837" s="23"/>
      <c r="J4837" s="23"/>
      <c r="K4837" s="23"/>
      <c r="L4837" s="350"/>
      <c r="M4837" s="351"/>
      <c r="N4837" s="267">
        <f t="shared" si="1866"/>
        <v>0</v>
      </c>
      <c r="O4837" s="268">
        <f t="shared" si="1867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61"/>
        <v>0</v>
      </c>
      <c r="AD4837" s="196">
        <f t="shared" si="1862"/>
        <v>0</v>
      </c>
      <c r="AE4837" s="196">
        <f t="shared" si="1863"/>
        <v>0</v>
      </c>
      <c r="AF4837" s="2">
        <f t="shared" si="1864"/>
        <v>0</v>
      </c>
      <c r="AG4837" s="2">
        <f t="shared" si="1865"/>
        <v>0</v>
      </c>
    </row>
    <row r="4838" spans="1:33">
      <c r="A4838" s="20" t="s">
        <v>3075</v>
      </c>
      <c r="B4838" s="150"/>
      <c r="C4838" s="21" t="s">
        <v>894</v>
      </c>
      <c r="D4838" s="109" t="s">
        <v>15161</v>
      </c>
      <c r="E4838" s="109"/>
      <c r="F4838" s="391" t="s">
        <v>17102</v>
      </c>
      <c r="G4838" s="23" t="s">
        <v>17103</v>
      </c>
      <c r="H4838" s="23"/>
      <c r="I4838" s="23"/>
      <c r="J4838" s="23"/>
      <c r="K4838" s="23"/>
      <c r="L4838" s="375" t="s">
        <v>7787</v>
      </c>
      <c r="M4838" s="351" t="s">
        <v>7787</v>
      </c>
      <c r="N4838" s="267">
        <f t="shared" si="1866"/>
        <v>0</v>
      </c>
      <c r="O4838" s="268">
        <f t="shared" si="1867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si="1861"/>
        <v>0</v>
      </c>
      <c r="AD4838" s="196">
        <f t="shared" si="1862"/>
        <v>0</v>
      </c>
      <c r="AE4838" s="196">
        <f t="shared" si="1863"/>
        <v>0</v>
      </c>
      <c r="AF4838" s="2">
        <f t="shared" si="1864"/>
        <v>0</v>
      </c>
      <c r="AG4838" s="2">
        <f t="shared" si="1865"/>
        <v>0</v>
      </c>
    </row>
    <row r="4839" spans="1:33">
      <c r="A4839" s="20" t="s">
        <v>3076</v>
      </c>
      <c r="B4839" s="150"/>
      <c r="C4839" s="21" t="s">
        <v>894</v>
      </c>
      <c r="D4839" s="109" t="s">
        <v>15167</v>
      </c>
      <c r="E4839" s="109"/>
      <c r="F4839" s="391" t="s">
        <v>17102</v>
      </c>
      <c r="G4839" s="23"/>
      <c r="H4839" s="23"/>
      <c r="I4839" s="23"/>
      <c r="J4839" s="23"/>
      <c r="K4839" s="23"/>
      <c r="L4839" s="350"/>
      <c r="M4839" s="351"/>
      <c r="N4839" s="267">
        <f t="shared" si="1866"/>
        <v>0</v>
      </c>
      <c r="O4839" s="268">
        <f t="shared" si="1867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si="1861"/>
        <v>0</v>
      </c>
      <c r="AD4839" s="196">
        <f t="shared" si="1862"/>
        <v>0</v>
      </c>
      <c r="AE4839" s="196">
        <f t="shared" si="1863"/>
        <v>0</v>
      </c>
      <c r="AF4839" s="2">
        <f t="shared" si="1864"/>
        <v>0</v>
      </c>
      <c r="AG4839" s="2">
        <f t="shared" si="1865"/>
        <v>0</v>
      </c>
    </row>
    <row r="4840" spans="1:33">
      <c r="A4840" s="20" t="s">
        <v>3077</v>
      </c>
      <c r="B4840" s="150"/>
      <c r="C4840" s="21" t="s">
        <v>895</v>
      </c>
      <c r="D4840" s="109" t="s">
        <v>16376</v>
      </c>
      <c r="E4840" s="109" t="s">
        <v>15965</v>
      </c>
      <c r="F4840" s="391" t="s">
        <v>17104</v>
      </c>
      <c r="G4840" s="23"/>
      <c r="H4840" s="23"/>
      <c r="I4840" s="23"/>
      <c r="J4840" s="23"/>
      <c r="K4840" s="23"/>
      <c r="L4840" s="350"/>
      <c r="M4840" s="351"/>
      <c r="N4840" s="267">
        <f t="shared" si="1866"/>
        <v>0</v>
      </c>
      <c r="O4840" s="268">
        <f t="shared" si="1867"/>
        <v>0</v>
      </c>
      <c r="P4840" s="239"/>
      <c r="Q4840" s="239"/>
      <c r="R4840" s="239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si="1861"/>
        <v>0</v>
      </c>
      <c r="AD4840" s="196">
        <f t="shared" si="1862"/>
        <v>0</v>
      </c>
      <c r="AE4840" s="196">
        <f t="shared" si="1863"/>
        <v>0</v>
      </c>
      <c r="AF4840" s="2">
        <f t="shared" si="1864"/>
        <v>0</v>
      </c>
      <c r="AG4840" s="2">
        <f t="shared" si="1865"/>
        <v>0</v>
      </c>
    </row>
    <row r="4841" spans="1:33">
      <c r="A4841" s="20" t="s">
        <v>3078</v>
      </c>
      <c r="B4841" s="150"/>
      <c r="C4841" s="21" t="s">
        <v>895</v>
      </c>
      <c r="D4841" s="109" t="s">
        <v>15161</v>
      </c>
      <c r="E4841" s="109"/>
      <c r="F4841" s="391" t="s">
        <v>17104</v>
      </c>
      <c r="G4841" s="23"/>
      <c r="H4841" s="23"/>
      <c r="I4841" s="23"/>
      <c r="J4841" s="23"/>
      <c r="K4841" s="23"/>
      <c r="L4841" s="375" t="s">
        <v>7787</v>
      </c>
      <c r="M4841" s="351" t="s">
        <v>7787</v>
      </c>
      <c r="N4841" s="267">
        <f t="shared" si="1866"/>
        <v>0</v>
      </c>
      <c r="O4841" s="268">
        <f t="shared" si="1867"/>
        <v>0</v>
      </c>
      <c r="P4841" s="239"/>
      <c r="Q4841" s="239"/>
      <c r="R4841" s="239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61"/>
        <v>0</v>
      </c>
      <c r="AD4841" s="196">
        <f t="shared" si="1862"/>
        <v>0</v>
      </c>
      <c r="AE4841" s="196">
        <f t="shared" si="1863"/>
        <v>0</v>
      </c>
      <c r="AF4841" s="2">
        <f t="shared" si="1864"/>
        <v>0</v>
      </c>
      <c r="AG4841" s="2">
        <f t="shared" si="1865"/>
        <v>0</v>
      </c>
    </row>
    <row r="4842" spans="1:33">
      <c r="A4842" s="20" t="s">
        <v>3079</v>
      </c>
      <c r="B4842" s="150"/>
      <c r="C4842" s="21" t="s">
        <v>895</v>
      </c>
      <c r="D4842" s="109" t="s">
        <v>15167</v>
      </c>
      <c r="E4842" s="109"/>
      <c r="F4842" s="391" t="s">
        <v>17104</v>
      </c>
      <c r="G4842" s="23"/>
      <c r="H4842" s="23"/>
      <c r="I4842" s="23"/>
      <c r="J4842" s="23"/>
      <c r="K4842" s="23"/>
      <c r="L4842" s="350"/>
      <c r="M4842" s="351"/>
      <c r="N4842" s="267">
        <f t="shared" si="1866"/>
        <v>0</v>
      </c>
      <c r="O4842" s="268">
        <f t="shared" si="1867"/>
        <v>0</v>
      </c>
      <c r="P4842" s="239"/>
      <c r="Q4842" s="239"/>
      <c r="R4842" s="239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61"/>
        <v>0</v>
      </c>
      <c r="AD4842" s="196">
        <f t="shared" si="1862"/>
        <v>0</v>
      </c>
      <c r="AE4842" s="196">
        <f t="shared" si="1863"/>
        <v>0</v>
      </c>
      <c r="AF4842" s="2">
        <f t="shared" si="1864"/>
        <v>0</v>
      </c>
      <c r="AG4842" s="2">
        <f t="shared" si="1865"/>
        <v>0</v>
      </c>
    </row>
    <row r="4843" spans="1:33">
      <c r="A4843" s="20" t="s">
        <v>3080</v>
      </c>
      <c r="B4843" s="150"/>
      <c r="C4843" s="21" t="s">
        <v>896</v>
      </c>
      <c r="D4843" s="109" t="s">
        <v>15161</v>
      </c>
      <c r="E4843" s="109"/>
      <c r="F4843" s="391" t="s">
        <v>17105</v>
      </c>
      <c r="G4843" s="23"/>
      <c r="H4843" s="23"/>
      <c r="I4843" s="23"/>
      <c r="J4843" s="23"/>
      <c r="K4843" s="23"/>
      <c r="L4843" s="350"/>
      <c r="M4843" s="351"/>
      <c r="N4843" s="267">
        <f t="shared" si="1866"/>
        <v>0</v>
      </c>
      <c r="O4843" s="268">
        <f t="shared" si="1867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ref="AC4843:AC4863" si="1886">SUM(P4843:AA4843)</f>
        <v>0</v>
      </c>
      <c r="AD4843" s="196">
        <f t="shared" ref="AD4843:AD4863" si="1887">SUM(P4843:AB4843)</f>
        <v>0</v>
      </c>
      <c r="AE4843" s="196">
        <f t="shared" ref="AE4843:AE4863" si="1888">SUM(AC4843-AD4843)</f>
        <v>0</v>
      </c>
      <c r="AF4843" s="2">
        <f t="shared" ref="AF4843:AF4863" si="1889">+AC4843</f>
        <v>0</v>
      </c>
      <c r="AG4843" s="2">
        <f t="shared" ref="AG4843:AG4863" si="1890">+AC4843-AF4843</f>
        <v>0</v>
      </c>
    </row>
    <row r="4844" spans="1:33">
      <c r="A4844" s="20" t="s">
        <v>3081</v>
      </c>
      <c r="B4844" s="150"/>
      <c r="C4844" s="21" t="s">
        <v>896</v>
      </c>
      <c r="D4844" s="109" t="s">
        <v>15167</v>
      </c>
      <c r="E4844" s="109"/>
      <c r="F4844" s="391" t="s">
        <v>17105</v>
      </c>
      <c r="G4844" s="23"/>
      <c r="H4844" s="23"/>
      <c r="I4844" s="23"/>
      <c r="J4844" s="23"/>
      <c r="K4844" s="23"/>
      <c r="L4844" s="350"/>
      <c r="M4844" s="351"/>
      <c r="N4844" s="267">
        <f t="shared" si="1866"/>
        <v>0</v>
      </c>
      <c r="O4844" s="268">
        <f t="shared" si="1867"/>
        <v>0</v>
      </c>
      <c r="P4844" s="239"/>
      <c r="Q4844" s="239"/>
      <c r="R4844" s="239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si="1886"/>
        <v>0</v>
      </c>
      <c r="AD4844" s="196">
        <f t="shared" si="1887"/>
        <v>0</v>
      </c>
      <c r="AE4844" s="196">
        <f t="shared" si="1888"/>
        <v>0</v>
      </c>
      <c r="AF4844" s="2">
        <f t="shared" si="1889"/>
        <v>0</v>
      </c>
      <c r="AG4844" s="2">
        <f t="shared" si="1890"/>
        <v>0</v>
      </c>
    </row>
    <row r="4845" spans="1:33">
      <c r="A4845" s="20" t="s">
        <v>3082</v>
      </c>
      <c r="B4845" s="150"/>
      <c r="C4845" s="21" t="s">
        <v>897</v>
      </c>
      <c r="D4845" s="109" t="s">
        <v>15161</v>
      </c>
      <c r="E4845" s="109"/>
      <c r="F4845" s="391" t="s">
        <v>17106</v>
      </c>
      <c r="G4845" s="23"/>
      <c r="H4845" s="23"/>
      <c r="I4845" s="23"/>
      <c r="J4845" s="23"/>
      <c r="K4845" s="23"/>
      <c r="L4845" s="350"/>
      <c r="M4845" s="351"/>
      <c r="N4845" s="267">
        <f t="shared" si="1866"/>
        <v>0</v>
      </c>
      <c r="O4845" s="268">
        <f t="shared" si="1867"/>
        <v>0</v>
      </c>
      <c r="P4845" s="239"/>
      <c r="Q4845" s="239"/>
      <c r="R4845" s="239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86"/>
        <v>0</v>
      </c>
      <c r="AD4845" s="196">
        <f t="shared" si="1887"/>
        <v>0</v>
      </c>
      <c r="AE4845" s="196">
        <f t="shared" si="1888"/>
        <v>0</v>
      </c>
      <c r="AF4845" s="2">
        <f t="shared" si="1889"/>
        <v>0</v>
      </c>
      <c r="AG4845" s="2">
        <f t="shared" si="1890"/>
        <v>0</v>
      </c>
    </row>
    <row r="4846" spans="1:33">
      <c r="A4846" s="20" t="s">
        <v>3083</v>
      </c>
      <c r="B4846" s="150"/>
      <c r="C4846" s="21" t="s">
        <v>897</v>
      </c>
      <c r="D4846" s="109" t="s">
        <v>15161</v>
      </c>
      <c r="E4846" s="109"/>
      <c r="F4846" s="391" t="s">
        <v>17106</v>
      </c>
      <c r="G4846" s="23"/>
      <c r="H4846" s="23"/>
      <c r="I4846" s="23"/>
      <c r="J4846" s="23"/>
      <c r="K4846" s="23"/>
      <c r="L4846" s="350"/>
      <c r="M4846" s="351"/>
      <c r="N4846" s="267">
        <f t="shared" si="1866"/>
        <v>0</v>
      </c>
      <c r="O4846" s="268">
        <f t="shared" si="1867"/>
        <v>0</v>
      </c>
      <c r="P4846" s="239"/>
      <c r="Q4846" s="239"/>
      <c r="R4846" s="239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86"/>
        <v>0</v>
      </c>
      <c r="AD4846" s="196">
        <f t="shared" si="1887"/>
        <v>0</v>
      </c>
      <c r="AE4846" s="196">
        <f t="shared" si="1888"/>
        <v>0</v>
      </c>
      <c r="AF4846" s="2">
        <f t="shared" si="1889"/>
        <v>0</v>
      </c>
      <c r="AG4846" s="2">
        <f t="shared" si="1890"/>
        <v>0</v>
      </c>
    </row>
    <row r="4847" spans="1:33">
      <c r="A4847" s="20" t="s">
        <v>3084</v>
      </c>
      <c r="B4847" s="150"/>
      <c r="C4847" s="21" t="s">
        <v>897</v>
      </c>
      <c r="D4847" s="109" t="s">
        <v>15167</v>
      </c>
      <c r="E4847" s="109"/>
      <c r="F4847" s="391" t="s">
        <v>17106</v>
      </c>
      <c r="G4847" s="23"/>
      <c r="H4847" s="23"/>
      <c r="I4847" s="23"/>
      <c r="J4847" s="23"/>
      <c r="K4847" s="23"/>
      <c r="L4847" s="350"/>
      <c r="M4847" s="351"/>
      <c r="N4847" s="267">
        <f t="shared" si="1866"/>
        <v>0</v>
      </c>
      <c r="O4847" s="268">
        <f t="shared" si="1867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86"/>
        <v>0</v>
      </c>
      <c r="AD4847" s="196">
        <f t="shared" si="1887"/>
        <v>0</v>
      </c>
      <c r="AE4847" s="196">
        <f t="shared" si="1888"/>
        <v>0</v>
      </c>
      <c r="AF4847" s="2">
        <f t="shared" si="1889"/>
        <v>0</v>
      </c>
      <c r="AG4847" s="2">
        <f t="shared" si="1890"/>
        <v>0</v>
      </c>
    </row>
    <row r="4848" spans="1:33">
      <c r="A4848" s="20" t="s">
        <v>3085</v>
      </c>
      <c r="B4848" s="150"/>
      <c r="C4848" s="21" t="s">
        <v>898</v>
      </c>
      <c r="D4848" s="109" t="s">
        <v>15167</v>
      </c>
      <c r="E4848" s="109"/>
      <c r="F4848" s="391" t="s">
        <v>17107</v>
      </c>
      <c r="G4848" s="23"/>
      <c r="H4848" s="23"/>
      <c r="I4848" s="23"/>
      <c r="J4848" s="23"/>
      <c r="K4848" s="23"/>
      <c r="L4848" s="350"/>
      <c r="M4848" s="351"/>
      <c r="N4848" s="267">
        <f t="shared" si="1866"/>
        <v>0</v>
      </c>
      <c r="O4848" s="268">
        <f t="shared" si="1867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237"/>
      <c r="Z4848" s="237"/>
      <c r="AA4848" s="279"/>
      <c r="AB4848" s="238"/>
      <c r="AC4848" s="196">
        <f t="shared" si="1886"/>
        <v>0</v>
      </c>
      <c r="AD4848" s="196">
        <f t="shared" si="1887"/>
        <v>0</v>
      </c>
      <c r="AE4848" s="196">
        <f t="shared" si="1888"/>
        <v>0</v>
      </c>
      <c r="AF4848" s="2">
        <f t="shared" si="1889"/>
        <v>0</v>
      </c>
      <c r="AG4848" s="2">
        <f t="shared" si="1890"/>
        <v>0</v>
      </c>
    </row>
    <row r="4849" spans="1:42">
      <c r="A4849" s="20" t="s">
        <v>3086</v>
      </c>
      <c r="B4849" s="150"/>
      <c r="C4849" s="21" t="s">
        <v>899</v>
      </c>
      <c r="D4849" s="109" t="s">
        <v>15161</v>
      </c>
      <c r="E4849" s="109"/>
      <c r="F4849" s="391" t="s">
        <v>17108</v>
      </c>
      <c r="G4849" s="23" t="s">
        <v>17103</v>
      </c>
      <c r="H4849" s="23"/>
      <c r="I4849" s="23"/>
      <c r="J4849" s="23"/>
      <c r="K4849" s="23"/>
      <c r="L4849" s="375" t="s">
        <v>7787</v>
      </c>
      <c r="M4849" s="351"/>
      <c r="N4849" s="267">
        <f t="shared" si="1866"/>
        <v>0</v>
      </c>
      <c r="O4849" s="268">
        <f t="shared" si="1867"/>
        <v>0</v>
      </c>
      <c r="P4849" s="248"/>
      <c r="Q4849" s="239"/>
      <c r="R4849" s="248"/>
      <c r="S4849" s="239"/>
      <c r="T4849" s="239"/>
      <c r="U4849" s="240"/>
      <c r="V4849" s="240"/>
      <c r="W4849" s="240"/>
      <c r="X4849" s="278"/>
      <c r="Y4849" s="237"/>
      <c r="Z4849" s="237"/>
      <c r="AA4849" s="279"/>
      <c r="AB4849" s="238"/>
      <c r="AC4849" s="196">
        <f t="shared" si="1886"/>
        <v>0</v>
      </c>
      <c r="AD4849" s="196">
        <f t="shared" si="1887"/>
        <v>0</v>
      </c>
      <c r="AE4849" s="196">
        <f t="shared" si="1888"/>
        <v>0</v>
      </c>
      <c r="AF4849" s="2">
        <f t="shared" si="1889"/>
        <v>0</v>
      </c>
      <c r="AG4849" s="2">
        <f t="shared" si="1890"/>
        <v>0</v>
      </c>
    </row>
    <row r="4850" spans="1:42">
      <c r="A4850" s="20" t="s">
        <v>5745</v>
      </c>
      <c r="B4850" s="150"/>
      <c r="C4850" s="21" t="s">
        <v>899</v>
      </c>
      <c r="D4850" s="109" t="s">
        <v>15161</v>
      </c>
      <c r="E4850" s="109"/>
      <c r="F4850" s="391" t="s">
        <v>17108</v>
      </c>
      <c r="G4850" s="23"/>
      <c r="H4850" s="23"/>
      <c r="I4850" s="23"/>
      <c r="J4850" s="23"/>
      <c r="K4850" s="23"/>
      <c r="L4850" s="350"/>
      <c r="M4850" s="351"/>
      <c r="N4850" s="267">
        <f t="shared" si="1866"/>
        <v>0</v>
      </c>
      <c r="O4850" s="268">
        <f t="shared" si="1867"/>
        <v>0</v>
      </c>
      <c r="P4850" s="239"/>
      <c r="Q4850" s="239"/>
      <c r="R4850" s="239"/>
      <c r="S4850" s="239"/>
      <c r="T4850" s="239"/>
      <c r="U4850" s="240"/>
      <c r="V4850" s="240"/>
      <c r="W4850" s="240"/>
      <c r="X4850" s="278"/>
      <c r="Y4850" s="237"/>
      <c r="Z4850" s="237"/>
      <c r="AA4850" s="279"/>
      <c r="AB4850" s="238"/>
      <c r="AC4850" s="196">
        <f t="shared" si="1886"/>
        <v>0</v>
      </c>
      <c r="AD4850" s="196">
        <f t="shared" si="1887"/>
        <v>0</v>
      </c>
      <c r="AE4850" s="196">
        <f t="shared" si="1888"/>
        <v>0</v>
      </c>
      <c r="AF4850" s="2">
        <f t="shared" si="1889"/>
        <v>0</v>
      </c>
      <c r="AG4850" s="2">
        <f t="shared" si="1890"/>
        <v>0</v>
      </c>
    </row>
    <row r="4851" spans="1:42">
      <c r="A4851" s="20" t="s">
        <v>5774</v>
      </c>
      <c r="B4851" s="150"/>
      <c r="C4851" s="21" t="s">
        <v>899</v>
      </c>
      <c r="D4851" s="109" t="s">
        <v>15167</v>
      </c>
      <c r="E4851" s="109"/>
      <c r="F4851" s="391" t="s">
        <v>17108</v>
      </c>
      <c r="G4851" s="23"/>
      <c r="H4851" s="23"/>
      <c r="I4851" s="23"/>
      <c r="J4851" s="23"/>
      <c r="K4851" s="23"/>
      <c r="L4851" s="350"/>
      <c r="M4851" s="351"/>
      <c r="N4851" s="267">
        <f t="shared" si="1866"/>
        <v>0</v>
      </c>
      <c r="O4851" s="268">
        <f t="shared" si="1867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237"/>
      <c r="Z4851" s="237"/>
      <c r="AA4851" s="279"/>
      <c r="AB4851" s="238"/>
      <c r="AC4851" s="196">
        <f t="shared" si="1886"/>
        <v>0</v>
      </c>
      <c r="AD4851" s="196">
        <f t="shared" si="1887"/>
        <v>0</v>
      </c>
      <c r="AE4851" s="196">
        <f t="shared" si="1888"/>
        <v>0</v>
      </c>
      <c r="AF4851" s="2">
        <f t="shared" si="1889"/>
        <v>0</v>
      </c>
      <c r="AG4851" s="2">
        <f t="shared" si="1890"/>
        <v>0</v>
      </c>
    </row>
    <row r="4852" spans="1:42">
      <c r="A4852" s="20" t="s">
        <v>5781</v>
      </c>
      <c r="B4852" s="150"/>
      <c r="C4852" s="21" t="s">
        <v>900</v>
      </c>
      <c r="D4852" s="109" t="s">
        <v>16376</v>
      </c>
      <c r="E4852" s="109" t="s">
        <v>15965</v>
      </c>
      <c r="F4852" s="391" t="s">
        <v>17109</v>
      </c>
      <c r="G4852" s="23"/>
      <c r="H4852" s="23"/>
      <c r="I4852" s="23"/>
      <c r="J4852" s="23"/>
      <c r="K4852" s="23"/>
      <c r="L4852" s="350"/>
      <c r="M4852" s="351"/>
      <c r="N4852" s="267">
        <f t="shared" si="1866"/>
        <v>0</v>
      </c>
      <c r="O4852" s="268">
        <f t="shared" si="1867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237"/>
      <c r="Z4852" s="237"/>
      <c r="AA4852" s="279"/>
      <c r="AB4852" s="238"/>
      <c r="AC4852" s="196">
        <f t="shared" si="1886"/>
        <v>0</v>
      </c>
      <c r="AD4852" s="196">
        <f t="shared" si="1887"/>
        <v>0</v>
      </c>
      <c r="AE4852" s="196">
        <f t="shared" si="1888"/>
        <v>0</v>
      </c>
      <c r="AF4852" s="2">
        <f t="shared" si="1889"/>
        <v>0</v>
      </c>
      <c r="AG4852" s="2">
        <f t="shared" si="1890"/>
        <v>0</v>
      </c>
    </row>
    <row r="4853" spans="1:42">
      <c r="A4853" s="20" t="s">
        <v>5778</v>
      </c>
      <c r="B4853" s="150"/>
      <c r="C4853" s="21" t="s">
        <v>900</v>
      </c>
      <c r="D4853" s="109" t="s">
        <v>15161</v>
      </c>
      <c r="E4853" s="109"/>
      <c r="F4853" s="391" t="s">
        <v>17109</v>
      </c>
      <c r="G4853" s="23" t="s">
        <v>17103</v>
      </c>
      <c r="H4853" s="23"/>
      <c r="I4853" s="23"/>
      <c r="J4853" s="23"/>
      <c r="K4853" s="23"/>
      <c r="L4853" s="375" t="s">
        <v>7787</v>
      </c>
      <c r="M4853" s="351" t="s">
        <v>7787</v>
      </c>
      <c r="N4853" s="267">
        <f t="shared" si="1866"/>
        <v>0</v>
      </c>
      <c r="O4853" s="268">
        <f t="shared" si="1867"/>
        <v>0</v>
      </c>
      <c r="P4853" s="239"/>
      <c r="Q4853" s="239"/>
      <c r="R4853" s="239"/>
      <c r="S4853" s="239"/>
      <c r="T4853" s="239"/>
      <c r="U4853" s="240"/>
      <c r="V4853" s="240"/>
      <c r="W4853" s="240"/>
      <c r="X4853" s="278"/>
      <c r="Y4853" s="237"/>
      <c r="Z4853" s="237"/>
      <c r="AA4853" s="279"/>
      <c r="AB4853" s="238"/>
      <c r="AC4853" s="196">
        <f t="shared" si="1886"/>
        <v>0</v>
      </c>
      <c r="AD4853" s="196">
        <f t="shared" si="1887"/>
        <v>0</v>
      </c>
      <c r="AE4853" s="196">
        <f t="shared" si="1888"/>
        <v>0</v>
      </c>
      <c r="AF4853" s="2">
        <f t="shared" si="1889"/>
        <v>0</v>
      </c>
      <c r="AG4853" s="2">
        <f t="shared" si="1890"/>
        <v>0</v>
      </c>
    </row>
    <row r="4854" spans="1:42">
      <c r="A4854" s="20" t="s">
        <v>5779</v>
      </c>
      <c r="B4854" s="150"/>
      <c r="C4854" s="21" t="s">
        <v>900</v>
      </c>
      <c r="D4854" s="109" t="s">
        <v>15161</v>
      </c>
      <c r="E4854" s="109"/>
      <c r="F4854" s="391" t="s">
        <v>17109</v>
      </c>
      <c r="G4854" s="23"/>
      <c r="H4854" s="23"/>
      <c r="I4854" s="23"/>
      <c r="J4854" s="23"/>
      <c r="K4854" s="23"/>
      <c r="L4854" s="350"/>
      <c r="M4854" s="351"/>
      <c r="N4854" s="267">
        <f t="shared" si="1866"/>
        <v>0</v>
      </c>
      <c r="O4854" s="268">
        <f t="shared" si="1867"/>
        <v>0</v>
      </c>
      <c r="P4854" s="239"/>
      <c r="Q4854" s="239"/>
      <c r="R4854" s="239"/>
      <c r="S4854" s="239"/>
      <c r="T4854" s="239"/>
      <c r="U4854" s="240"/>
      <c r="V4854" s="240"/>
      <c r="W4854" s="240"/>
      <c r="X4854" s="278"/>
      <c r="Y4854" s="237"/>
      <c r="Z4854" s="237"/>
      <c r="AA4854" s="279"/>
      <c r="AB4854" s="238"/>
      <c r="AC4854" s="196">
        <f t="shared" si="1886"/>
        <v>0</v>
      </c>
      <c r="AD4854" s="196">
        <f t="shared" si="1887"/>
        <v>0</v>
      </c>
      <c r="AE4854" s="196">
        <f t="shared" si="1888"/>
        <v>0</v>
      </c>
      <c r="AF4854" s="2">
        <f t="shared" si="1889"/>
        <v>0</v>
      </c>
      <c r="AG4854" s="2">
        <f t="shared" si="1890"/>
        <v>0</v>
      </c>
    </row>
    <row r="4855" spans="1:42">
      <c r="A4855" s="20" t="s">
        <v>5780</v>
      </c>
      <c r="B4855" s="150"/>
      <c r="C4855" s="21" t="s">
        <v>900</v>
      </c>
      <c r="D4855" s="109" t="s">
        <v>15167</v>
      </c>
      <c r="E4855" s="109"/>
      <c r="F4855" s="391" t="s">
        <v>17109</v>
      </c>
      <c r="G4855" s="23"/>
      <c r="H4855" s="23"/>
      <c r="I4855" s="23"/>
      <c r="J4855" s="23"/>
      <c r="K4855" s="23"/>
      <c r="L4855" s="350"/>
      <c r="M4855" s="351"/>
      <c r="N4855" s="267">
        <f t="shared" si="1866"/>
        <v>0</v>
      </c>
      <c r="O4855" s="268">
        <f t="shared" si="1867"/>
        <v>0</v>
      </c>
      <c r="P4855" s="239"/>
      <c r="Q4855" s="239"/>
      <c r="R4855" s="239"/>
      <c r="S4855" s="239"/>
      <c r="T4855" s="239"/>
      <c r="U4855" s="240"/>
      <c r="V4855" s="240"/>
      <c r="W4855" s="240"/>
      <c r="X4855" s="278"/>
      <c r="Y4855" s="237"/>
      <c r="Z4855" s="237"/>
      <c r="AA4855" s="279"/>
      <c r="AB4855" s="238"/>
      <c r="AC4855" s="196">
        <f t="shared" si="1886"/>
        <v>0</v>
      </c>
      <c r="AD4855" s="196">
        <f t="shared" si="1887"/>
        <v>0</v>
      </c>
      <c r="AE4855" s="196">
        <f t="shared" si="1888"/>
        <v>0</v>
      </c>
      <c r="AF4855" s="2">
        <f t="shared" si="1889"/>
        <v>0</v>
      </c>
      <c r="AG4855" s="2">
        <f t="shared" si="1890"/>
        <v>0</v>
      </c>
    </row>
    <row r="4856" spans="1:42">
      <c r="A4856" s="20" t="s">
        <v>5782</v>
      </c>
      <c r="B4856" s="150"/>
      <c r="C4856" s="21" t="s">
        <v>901</v>
      </c>
      <c r="D4856" s="109" t="s">
        <v>15161</v>
      </c>
      <c r="E4856" s="109"/>
      <c r="F4856" s="391" t="s">
        <v>17110</v>
      </c>
      <c r="G4856" s="23"/>
      <c r="H4856" s="23"/>
      <c r="I4856" s="23"/>
      <c r="J4856" s="23"/>
      <c r="K4856" s="23"/>
      <c r="L4856" s="350"/>
      <c r="M4856" s="351"/>
      <c r="N4856" s="267">
        <f t="shared" si="1866"/>
        <v>0</v>
      </c>
      <c r="O4856" s="268">
        <f t="shared" si="1867"/>
        <v>0</v>
      </c>
      <c r="P4856" s="239"/>
      <c r="Q4856" s="239"/>
      <c r="R4856" s="239"/>
      <c r="S4856" s="239"/>
      <c r="T4856" s="239"/>
      <c r="U4856" s="240"/>
      <c r="V4856" s="240"/>
      <c r="W4856" s="240"/>
      <c r="X4856" s="278"/>
      <c r="Y4856" s="237"/>
      <c r="Z4856" s="237"/>
      <c r="AA4856" s="279"/>
      <c r="AB4856" s="238"/>
      <c r="AC4856" s="196">
        <f t="shared" si="1886"/>
        <v>0</v>
      </c>
      <c r="AD4856" s="196">
        <f t="shared" si="1887"/>
        <v>0</v>
      </c>
      <c r="AE4856" s="196">
        <f t="shared" si="1888"/>
        <v>0</v>
      </c>
      <c r="AF4856" s="2">
        <f t="shared" si="1889"/>
        <v>0</v>
      </c>
      <c r="AG4856" s="2">
        <f t="shared" si="1890"/>
        <v>0</v>
      </c>
    </row>
    <row r="4857" spans="1:42">
      <c r="A4857" s="20" t="s">
        <v>5791</v>
      </c>
      <c r="B4857" s="150"/>
      <c r="C4857" s="21" t="s">
        <v>901</v>
      </c>
      <c r="D4857" s="109" t="s">
        <v>15167</v>
      </c>
      <c r="E4857" s="109"/>
      <c r="F4857" s="391" t="s">
        <v>17110</v>
      </c>
      <c r="G4857" s="23"/>
      <c r="H4857" s="23"/>
      <c r="I4857" s="23"/>
      <c r="J4857" s="23"/>
      <c r="K4857" s="23"/>
      <c r="L4857" s="350"/>
      <c r="M4857" s="351"/>
      <c r="N4857" s="267">
        <f t="shared" si="1866"/>
        <v>0</v>
      </c>
      <c r="O4857" s="268">
        <f t="shared" si="1867"/>
        <v>0</v>
      </c>
      <c r="P4857" s="239"/>
      <c r="Q4857" s="239"/>
      <c r="R4857" s="239"/>
      <c r="S4857" s="239"/>
      <c r="T4857" s="239"/>
      <c r="U4857" s="240"/>
      <c r="V4857" s="240"/>
      <c r="W4857" s="240"/>
      <c r="X4857" s="278"/>
      <c r="Y4857" s="300"/>
      <c r="Z4857" s="237"/>
      <c r="AA4857" s="279"/>
      <c r="AB4857" s="238"/>
      <c r="AC4857" s="196">
        <f t="shared" si="1886"/>
        <v>0</v>
      </c>
      <c r="AD4857" s="196">
        <f t="shared" si="1887"/>
        <v>0</v>
      </c>
      <c r="AE4857" s="196">
        <f t="shared" si="1888"/>
        <v>0</v>
      </c>
      <c r="AF4857" s="2">
        <f t="shared" si="1889"/>
        <v>0</v>
      </c>
      <c r="AG4857" s="2">
        <f t="shared" si="1890"/>
        <v>0</v>
      </c>
    </row>
    <row r="4858" spans="1:42">
      <c r="A4858" s="20" t="s">
        <v>5792</v>
      </c>
      <c r="B4858" s="150"/>
      <c r="C4858" s="21" t="s">
        <v>902</v>
      </c>
      <c r="D4858" s="109" t="s">
        <v>15161</v>
      </c>
      <c r="E4858" s="109"/>
      <c r="F4858" s="391" t="s">
        <v>17111</v>
      </c>
      <c r="G4858" s="23"/>
      <c r="H4858" s="23"/>
      <c r="I4858" s="23"/>
      <c r="J4858" s="23"/>
      <c r="K4858" s="23"/>
      <c r="L4858" s="375" t="s">
        <v>7787</v>
      </c>
      <c r="M4858" s="351" t="s">
        <v>7787</v>
      </c>
      <c r="N4858" s="267">
        <f t="shared" si="1866"/>
        <v>0</v>
      </c>
      <c r="O4858" s="268">
        <f t="shared" si="1867"/>
        <v>0</v>
      </c>
      <c r="P4858" s="239"/>
      <c r="Q4858" s="239"/>
      <c r="R4858" s="239"/>
      <c r="S4858" s="239"/>
      <c r="T4858" s="239"/>
      <c r="U4858" s="240"/>
      <c r="V4858" s="240"/>
      <c r="W4858" s="240"/>
      <c r="X4858" s="278"/>
      <c r="Y4858" s="300"/>
      <c r="Z4858" s="237"/>
      <c r="AA4858" s="279"/>
      <c r="AB4858" s="238"/>
      <c r="AC4858" s="196">
        <f t="shared" si="1886"/>
        <v>0</v>
      </c>
      <c r="AD4858" s="196">
        <f t="shared" si="1887"/>
        <v>0</v>
      </c>
      <c r="AE4858" s="196">
        <f t="shared" si="1888"/>
        <v>0</v>
      </c>
      <c r="AF4858" s="2">
        <f t="shared" si="1889"/>
        <v>0</v>
      </c>
      <c r="AG4858" s="2">
        <f t="shared" si="1890"/>
        <v>0</v>
      </c>
    </row>
    <row r="4859" spans="1:42">
      <c r="A4859" s="20" t="s">
        <v>5793</v>
      </c>
      <c r="B4859" s="150"/>
      <c r="C4859" s="21" t="s">
        <v>902</v>
      </c>
      <c r="D4859" s="109" t="s">
        <v>15167</v>
      </c>
      <c r="E4859" s="109"/>
      <c r="F4859" s="391" t="s">
        <v>17111</v>
      </c>
      <c r="G4859" s="23"/>
      <c r="H4859" s="23"/>
      <c r="I4859" s="23"/>
      <c r="J4859" s="23"/>
      <c r="K4859" s="23"/>
      <c r="L4859" s="350"/>
      <c r="M4859" s="351"/>
      <c r="N4859" s="267">
        <f t="shared" si="1866"/>
        <v>0</v>
      </c>
      <c r="O4859" s="268">
        <f t="shared" si="1867"/>
        <v>0</v>
      </c>
      <c r="P4859" s="239"/>
      <c r="Q4859" s="239"/>
      <c r="R4859" s="239"/>
      <c r="S4859" s="239"/>
      <c r="T4859" s="239"/>
      <c r="U4859" s="240"/>
      <c r="V4859" s="240"/>
      <c r="W4859" s="240"/>
      <c r="X4859" s="278"/>
      <c r="Y4859" s="403"/>
      <c r="Z4859" s="237"/>
      <c r="AA4859" s="279"/>
      <c r="AB4859" s="238"/>
      <c r="AC4859" s="196">
        <f t="shared" si="1886"/>
        <v>0</v>
      </c>
      <c r="AD4859" s="196">
        <f t="shared" si="1887"/>
        <v>0</v>
      </c>
      <c r="AE4859" s="196">
        <f t="shared" si="1888"/>
        <v>0</v>
      </c>
      <c r="AF4859" s="2">
        <f t="shared" si="1889"/>
        <v>0</v>
      </c>
      <c r="AG4859" s="2">
        <f t="shared" si="1890"/>
        <v>0</v>
      </c>
    </row>
    <row r="4860" spans="1:42" s="416" customFormat="1" ht="18.75" customHeight="1">
      <c r="A4860" s="20" t="s">
        <v>5801</v>
      </c>
      <c r="B4860" s="150"/>
      <c r="C4860" s="21" t="s">
        <v>902</v>
      </c>
      <c r="D4860" s="109" t="s">
        <v>16363</v>
      </c>
      <c r="E4860" s="109"/>
      <c r="F4860" s="391" t="s">
        <v>17111</v>
      </c>
      <c r="G4860" s="23"/>
      <c r="H4860" s="23"/>
      <c r="I4860" s="23"/>
      <c r="J4860" s="23"/>
      <c r="K4860" s="23"/>
      <c r="L4860" s="350"/>
      <c r="M4860" s="351"/>
      <c r="N4860" s="267">
        <f t="shared" si="1866"/>
        <v>0</v>
      </c>
      <c r="O4860" s="268">
        <f t="shared" si="1867"/>
        <v>0</v>
      </c>
      <c r="P4860" s="239"/>
      <c r="Q4860" s="239"/>
      <c r="R4860" s="239"/>
      <c r="S4860" s="239"/>
      <c r="T4860" s="239"/>
      <c r="U4860" s="240"/>
      <c r="V4860" s="240"/>
      <c r="W4860" s="240"/>
      <c r="X4860" s="278"/>
      <c r="Y4860" s="403"/>
      <c r="Z4860" s="237"/>
      <c r="AA4860" s="279"/>
      <c r="AB4860" s="238"/>
      <c r="AC4860" s="196">
        <f t="shared" si="1886"/>
        <v>0</v>
      </c>
      <c r="AD4860" s="196">
        <f t="shared" si="1887"/>
        <v>0</v>
      </c>
      <c r="AE4860" s="196">
        <f t="shared" si="1888"/>
        <v>0</v>
      </c>
      <c r="AF4860" s="2">
        <f t="shared" si="1889"/>
        <v>0</v>
      </c>
      <c r="AG4860" s="2">
        <f t="shared" si="1890"/>
        <v>0</v>
      </c>
      <c r="AH4860" s="415"/>
      <c r="AI4860" s="415"/>
      <c r="AJ4860" s="415"/>
      <c r="AK4860" s="415"/>
      <c r="AL4860" s="415"/>
      <c r="AM4860" s="415"/>
      <c r="AN4860" s="415"/>
      <c r="AO4860" s="415"/>
      <c r="AP4860" s="415"/>
    </row>
    <row r="4861" spans="1:42">
      <c r="A4861" s="20" t="s">
        <v>5802</v>
      </c>
      <c r="B4861" s="150"/>
      <c r="C4861" s="21" t="s">
        <v>903</v>
      </c>
      <c r="D4861" s="109" t="s">
        <v>16363</v>
      </c>
      <c r="E4861" s="109"/>
      <c r="F4861" s="391" t="s">
        <v>17112</v>
      </c>
      <c r="G4861" s="23"/>
      <c r="H4861" s="23"/>
      <c r="I4861" s="23"/>
      <c r="J4861" s="23"/>
      <c r="K4861" s="23"/>
      <c r="L4861" s="350"/>
      <c r="M4861" s="352"/>
      <c r="N4861" s="267">
        <f t="shared" si="1866"/>
        <v>0</v>
      </c>
      <c r="O4861" s="268">
        <f t="shared" si="1867"/>
        <v>0</v>
      </c>
      <c r="P4861" s="239"/>
      <c r="Q4861" s="239"/>
      <c r="R4861" s="239"/>
      <c r="S4861" s="239"/>
      <c r="T4861" s="239"/>
      <c r="U4861" s="240"/>
      <c r="V4861" s="240"/>
      <c r="W4861" s="240"/>
      <c r="X4861" s="278"/>
      <c r="Y4861" s="403"/>
      <c r="Z4861" s="237"/>
      <c r="AA4861" s="279"/>
      <c r="AB4861" s="238"/>
      <c r="AC4861" s="196">
        <f t="shared" si="1886"/>
        <v>0</v>
      </c>
      <c r="AD4861" s="196">
        <f t="shared" si="1887"/>
        <v>0</v>
      </c>
      <c r="AE4861" s="196">
        <f t="shared" si="1888"/>
        <v>0</v>
      </c>
      <c r="AF4861" s="2">
        <f t="shared" si="1889"/>
        <v>0</v>
      </c>
      <c r="AG4861" s="2">
        <f t="shared" si="1890"/>
        <v>0</v>
      </c>
      <c r="AP4861" s="416"/>
    </row>
    <row r="4862" spans="1:42" ht="18" thickBot="1">
      <c r="A4862" s="20" t="s">
        <v>5807</v>
      </c>
      <c r="B4862" s="155"/>
      <c r="C4862" s="26" t="s">
        <v>904</v>
      </c>
      <c r="D4862" s="110" t="s">
        <v>16363</v>
      </c>
      <c r="E4862" s="110"/>
      <c r="F4862" s="401" t="s">
        <v>17113</v>
      </c>
      <c r="G4862" s="28"/>
      <c r="H4862" s="28"/>
      <c r="I4862" s="28"/>
      <c r="J4862" s="28"/>
      <c r="K4862" s="28"/>
      <c r="L4862" s="350"/>
      <c r="M4862" s="352"/>
      <c r="N4862" s="267">
        <f t="shared" si="1866"/>
        <v>0</v>
      </c>
      <c r="O4862" s="268">
        <f t="shared" si="1867"/>
        <v>0</v>
      </c>
      <c r="P4862" s="245"/>
      <c r="Q4862" s="245"/>
      <c r="R4862" s="245"/>
      <c r="S4862" s="245"/>
      <c r="T4862" s="245"/>
      <c r="U4862" s="298"/>
      <c r="V4862" s="298"/>
      <c r="W4862" s="298"/>
      <c r="X4862" s="299"/>
      <c r="Y4862" s="324"/>
      <c r="Z4862" s="300"/>
      <c r="AA4862" s="301"/>
      <c r="AB4862" s="246"/>
      <c r="AC4862" s="196">
        <f t="shared" si="1886"/>
        <v>0</v>
      </c>
      <c r="AD4862" s="196">
        <f t="shared" si="1887"/>
        <v>0</v>
      </c>
      <c r="AE4862" s="196">
        <f t="shared" si="1888"/>
        <v>0</v>
      </c>
      <c r="AF4862" s="2">
        <f t="shared" si="1889"/>
        <v>0</v>
      </c>
      <c r="AG4862" s="2">
        <f t="shared" si="1890"/>
        <v>0</v>
      </c>
    </row>
    <row r="4863" spans="1:42" ht="21" thickBot="1">
      <c r="A4863" s="478" t="s">
        <v>47</v>
      </c>
      <c r="B4863" s="483"/>
      <c r="C4863" s="483"/>
      <c r="D4863" s="483"/>
      <c r="E4863" s="483"/>
      <c r="F4863" s="484"/>
      <c r="G4863" s="50"/>
      <c r="H4863" s="50"/>
      <c r="I4863" s="50"/>
      <c r="J4863" s="50"/>
      <c r="K4863" s="50"/>
      <c r="L4863" s="272">
        <f>SUM(L5:L4862)</f>
        <v>171645</v>
      </c>
      <c r="M4863" s="272">
        <f>SUM(M5:M4862)</f>
        <v>32600</v>
      </c>
      <c r="N4863" s="272">
        <f>SUM(N5:N4862)</f>
        <v>204245</v>
      </c>
      <c r="O4863" s="273">
        <f>SUM(P4863:AA4863)</f>
        <v>2668333</v>
      </c>
      <c r="P4863" s="51">
        <f t="shared" ref="P4863:AB4863" si="1891">SUM(P5:P4862)</f>
        <v>162030</v>
      </c>
      <c r="Q4863" s="51">
        <f t="shared" si="1891"/>
        <v>316496</v>
      </c>
      <c r="R4863" s="51">
        <f t="shared" si="1891"/>
        <v>277908</v>
      </c>
      <c r="S4863" s="51">
        <f t="shared" si="1891"/>
        <v>22770</v>
      </c>
      <c r="T4863" s="51">
        <f t="shared" si="1891"/>
        <v>170420</v>
      </c>
      <c r="U4863" s="51">
        <f t="shared" si="1891"/>
        <v>680115</v>
      </c>
      <c r="V4863" s="51">
        <f t="shared" si="1891"/>
        <v>986210</v>
      </c>
      <c r="W4863" s="51">
        <f t="shared" si="1891"/>
        <v>0</v>
      </c>
      <c r="X4863" s="51">
        <f t="shared" si="1891"/>
        <v>7200</v>
      </c>
      <c r="Y4863" s="51">
        <f t="shared" si="1891"/>
        <v>39484</v>
      </c>
      <c r="Z4863" s="51">
        <f t="shared" si="1891"/>
        <v>0</v>
      </c>
      <c r="AA4863" s="51">
        <f t="shared" si="1891"/>
        <v>5700</v>
      </c>
      <c r="AB4863" s="49">
        <f t="shared" si="1891"/>
        <v>0</v>
      </c>
      <c r="AC4863" s="196">
        <f t="shared" si="1886"/>
        <v>2668333</v>
      </c>
      <c r="AD4863" s="196">
        <f t="shared" si="1887"/>
        <v>2668333</v>
      </c>
      <c r="AE4863" s="196">
        <f t="shared" si="1888"/>
        <v>0</v>
      </c>
      <c r="AF4863" s="2">
        <f t="shared" si="1889"/>
        <v>2668333</v>
      </c>
      <c r="AG4863" s="2">
        <f t="shared" si="1890"/>
        <v>0</v>
      </c>
      <c r="AH4863" s="416"/>
      <c r="AI4863" s="416"/>
      <c r="AJ4863" s="416"/>
      <c r="AK4863" s="416"/>
      <c r="AL4863" s="416"/>
      <c r="AM4863" s="416"/>
      <c r="AN4863" s="416"/>
      <c r="AO4863" s="416"/>
    </row>
    <row r="4864" spans="1:42">
      <c r="A4864" s="20" t="s">
        <v>1529</v>
      </c>
      <c r="B4864" s="150"/>
      <c r="C4864" s="21" t="s">
        <v>158</v>
      </c>
      <c r="D4864" s="109" t="s">
        <v>3122</v>
      </c>
      <c r="E4864" s="109" t="s">
        <v>3132</v>
      </c>
      <c r="F4864" s="391" t="s">
        <v>4396</v>
      </c>
      <c r="G4864" s="23" t="s">
        <v>9143</v>
      </c>
      <c r="H4864" s="23"/>
      <c r="I4864" s="23"/>
      <c r="J4864" s="23"/>
      <c r="K4864" s="23"/>
      <c r="L4864" s="35"/>
      <c r="M4864" s="36"/>
      <c r="N4864" s="267">
        <f>SUM(L4864:M4864)</f>
        <v>0</v>
      </c>
      <c r="O4864" s="268">
        <f>SUM(P4864:Z4864)</f>
        <v>0</v>
      </c>
      <c r="P4864" s="25"/>
      <c r="Q4864" s="25"/>
      <c r="R4864" s="25"/>
      <c r="S4864" s="25"/>
      <c r="T4864" s="25"/>
      <c r="U4864" s="11"/>
      <c r="V4864" s="11"/>
      <c r="W4864" s="11"/>
      <c r="X4864" s="12"/>
      <c r="Y4864" s="15"/>
      <c r="Z4864" s="15"/>
      <c r="AA4864" s="118"/>
      <c r="AB4864" s="238"/>
      <c r="AC4864" s="196">
        <f t="shared" ref="AC4864:AC4868" si="1892">SUM(P4864:AA4864)</f>
        <v>0</v>
      </c>
      <c r="AD4864" s="196">
        <f t="shared" ref="AD4864:AD4868" si="1893">SUM(P4864:AB4864)</f>
        <v>0</v>
      </c>
      <c r="AE4864" s="196">
        <f t="shared" ref="AE4864:AE4868" si="1894">SUM(AC4864-AD4864)</f>
        <v>0</v>
      </c>
      <c r="AF4864" s="2">
        <f t="shared" ref="AF4864:AF4868" si="1895">+AC4864</f>
        <v>0</v>
      </c>
      <c r="AG4864" s="2">
        <f t="shared" ref="AG4864:AG4868" si="1896">+AC4864-AF4864</f>
        <v>0</v>
      </c>
      <c r="AP4864" s="416"/>
    </row>
    <row r="4865" spans="1:42">
      <c r="A4865" s="20" t="s">
        <v>1528</v>
      </c>
      <c r="B4865" s="150"/>
      <c r="C4865" s="21" t="s">
        <v>158</v>
      </c>
      <c r="D4865" s="109" t="s">
        <v>3122</v>
      </c>
      <c r="E4865" s="109" t="s">
        <v>3117</v>
      </c>
      <c r="F4865" s="391" t="s">
        <v>4396</v>
      </c>
      <c r="G4865" s="23" t="s">
        <v>9143</v>
      </c>
      <c r="H4865" s="23"/>
      <c r="I4865" s="23"/>
      <c r="J4865" s="23"/>
      <c r="K4865" s="23"/>
      <c r="L4865" s="35"/>
      <c r="M4865" s="36"/>
      <c r="N4865" s="267">
        <f>SUM(L4865:M4865)</f>
        <v>0</v>
      </c>
      <c r="O4865" s="268">
        <f>SUM(P4865:Z4865)</f>
        <v>0</v>
      </c>
      <c r="P4865" s="25"/>
      <c r="Q4865" s="25"/>
      <c r="R4865" s="25"/>
      <c r="S4865" s="25"/>
      <c r="T4865" s="25"/>
      <c r="U4865" s="11"/>
      <c r="V4865" s="11"/>
      <c r="W4865" s="11"/>
      <c r="X4865" s="12"/>
      <c r="Y4865" s="15"/>
      <c r="Z4865" s="15"/>
      <c r="AA4865" s="118"/>
      <c r="AB4865" s="238"/>
      <c r="AC4865" s="196">
        <f t="shared" si="1892"/>
        <v>0</v>
      </c>
      <c r="AD4865" s="196">
        <f t="shared" si="1893"/>
        <v>0</v>
      </c>
      <c r="AE4865" s="196">
        <f t="shared" si="1894"/>
        <v>0</v>
      </c>
      <c r="AF4865" s="2">
        <f t="shared" si="1895"/>
        <v>0</v>
      </c>
      <c r="AG4865" s="2">
        <f t="shared" si="1896"/>
        <v>0</v>
      </c>
      <c r="AP4865" s="416"/>
    </row>
    <row r="4866" spans="1:42">
      <c r="A4866" s="20" t="s">
        <v>1530</v>
      </c>
      <c r="B4866" s="161"/>
      <c r="C4866" s="21" t="s">
        <v>158</v>
      </c>
      <c r="D4866" s="109" t="s">
        <v>3122</v>
      </c>
      <c r="E4866" s="109" t="s">
        <v>3922</v>
      </c>
      <c r="F4866" s="391" t="s">
        <v>4396</v>
      </c>
      <c r="G4866" s="23" t="s">
        <v>9143</v>
      </c>
      <c r="H4866" s="23"/>
      <c r="I4866" s="23"/>
      <c r="J4866" s="23"/>
      <c r="K4866" s="23"/>
      <c r="L4866" s="35"/>
      <c r="M4866" s="36"/>
      <c r="N4866" s="267">
        <f>SUM(L4866:M4866)</f>
        <v>0</v>
      </c>
      <c r="O4866" s="268">
        <f>SUM(P4866:Z4866)</f>
        <v>0</v>
      </c>
      <c r="P4866" s="25"/>
      <c r="Q4866" s="25"/>
      <c r="R4866" s="25"/>
      <c r="S4866" s="25"/>
      <c r="T4866" s="25"/>
      <c r="U4866" s="11"/>
      <c r="V4866" s="11"/>
      <c r="W4866" s="11"/>
      <c r="X4866" s="12"/>
      <c r="Y4866" s="15"/>
      <c r="Z4866" s="15"/>
      <c r="AA4866" s="118"/>
      <c r="AB4866" s="238"/>
      <c r="AC4866" s="196">
        <f t="shared" si="1892"/>
        <v>0</v>
      </c>
      <c r="AD4866" s="196">
        <f t="shared" si="1893"/>
        <v>0</v>
      </c>
      <c r="AE4866" s="196">
        <f t="shared" si="1894"/>
        <v>0</v>
      </c>
      <c r="AF4866" s="2">
        <f t="shared" si="1895"/>
        <v>0</v>
      </c>
      <c r="AG4866" s="2">
        <f t="shared" si="1896"/>
        <v>0</v>
      </c>
      <c r="AP4866" s="416"/>
    </row>
    <row r="4867" spans="1:42" ht="18" thickBot="1">
      <c r="A4867" s="20" t="s">
        <v>10400</v>
      </c>
      <c r="B4867" s="150"/>
      <c r="C4867" s="21" t="s">
        <v>10436</v>
      </c>
      <c r="D4867" s="109" t="s">
        <v>9740</v>
      </c>
      <c r="E4867" s="109"/>
      <c r="F4867" s="391" t="s">
        <v>10483</v>
      </c>
      <c r="G4867" s="23" t="s">
        <v>10441</v>
      </c>
      <c r="H4867" s="23"/>
      <c r="I4867" s="23"/>
      <c r="J4867" s="23"/>
      <c r="K4867" s="23"/>
      <c r="L4867" s="270"/>
      <c r="M4867" s="36">
        <v>0</v>
      </c>
      <c r="N4867" s="267">
        <f>SUM(L4867:M4867)</f>
        <v>0</v>
      </c>
      <c r="O4867" s="268">
        <f>SUM(P4867:Z4867)</f>
        <v>0</v>
      </c>
      <c r="P4867" s="25"/>
      <c r="Q4867" s="25"/>
      <c r="R4867" s="25"/>
      <c r="S4867" s="25"/>
      <c r="T4867" s="25"/>
      <c r="U4867" s="11"/>
      <c r="V4867" s="11"/>
      <c r="W4867" s="11"/>
      <c r="X4867" s="12"/>
      <c r="Y4867" s="15"/>
      <c r="Z4867" s="15"/>
      <c r="AA4867" s="118"/>
      <c r="AB4867" s="238"/>
      <c r="AC4867" s="196">
        <f t="shared" si="1892"/>
        <v>0</v>
      </c>
      <c r="AD4867" s="196">
        <f t="shared" si="1893"/>
        <v>0</v>
      </c>
      <c r="AE4867" s="196">
        <f t="shared" si="1894"/>
        <v>0</v>
      </c>
      <c r="AF4867" s="2">
        <f t="shared" si="1895"/>
        <v>0</v>
      </c>
      <c r="AG4867" s="2">
        <f t="shared" si="1896"/>
        <v>0</v>
      </c>
      <c r="AP4867" s="416"/>
    </row>
    <row r="4868" spans="1:42" ht="18" thickBot="1">
      <c r="A4868" s="20" t="s">
        <v>6870</v>
      </c>
      <c r="B4868" s="150"/>
      <c r="C4868" s="21" t="s">
        <v>6729</v>
      </c>
      <c r="D4868" s="109" t="s">
        <v>3137</v>
      </c>
      <c r="E4868" s="109" t="s">
        <v>6730</v>
      </c>
      <c r="F4868" s="391" t="s">
        <v>6731</v>
      </c>
      <c r="G4868" s="23" t="s">
        <v>7275</v>
      </c>
      <c r="H4868" s="23"/>
      <c r="I4868" s="23"/>
      <c r="J4868" s="23"/>
      <c r="K4868" s="23"/>
      <c r="L4868" s="269"/>
      <c r="M4868" s="36" t="s">
        <v>45</v>
      </c>
      <c r="N4868" s="267">
        <f>SUM(L4868:M4868)</f>
        <v>0</v>
      </c>
      <c r="O4868" s="268">
        <f>SUM(P4868:Z4868)</f>
        <v>0</v>
      </c>
      <c r="P4868" s="25"/>
      <c r="Q4868" s="25"/>
      <c r="R4868" s="25"/>
      <c r="S4868" s="25"/>
      <c r="T4868" s="25"/>
      <c r="U4868" s="11"/>
      <c r="V4868" s="11"/>
      <c r="W4868" s="11"/>
      <c r="X4868" s="12"/>
      <c r="Y4868" s="419"/>
      <c r="Z4868" s="15"/>
      <c r="AA4868" s="118"/>
      <c r="AB4868" s="238"/>
      <c r="AC4868" s="196">
        <f t="shared" si="1892"/>
        <v>0</v>
      </c>
      <c r="AD4868" s="196">
        <f t="shared" si="1893"/>
        <v>0</v>
      </c>
      <c r="AE4868" s="196">
        <f t="shared" si="1894"/>
        <v>0</v>
      </c>
      <c r="AF4868" s="2">
        <f t="shared" si="1895"/>
        <v>0</v>
      </c>
      <c r="AG4868" s="2">
        <f t="shared" si="1896"/>
        <v>0</v>
      </c>
      <c r="AP4868" s="416"/>
    </row>
    <row r="4869" spans="1:42" ht="21" thickBot="1">
      <c r="A4869" s="478" t="s">
        <v>10440</v>
      </c>
      <c r="B4869" s="476"/>
      <c r="C4869" s="476"/>
      <c r="D4869" s="476"/>
      <c r="E4869" s="476"/>
      <c r="F4869" s="477"/>
      <c r="G4869" s="308"/>
      <c r="H4869" s="308"/>
      <c r="I4869" s="308"/>
      <c r="J4869" s="308"/>
      <c r="K4869" s="308"/>
      <c r="L4869" s="307">
        <f t="shared" ref="L4869:AA4870" si="1897">SUM(L4864:L4868)</f>
        <v>0</v>
      </c>
      <c r="M4869" s="307">
        <f t="shared" si="1897"/>
        <v>0</v>
      </c>
      <c r="N4869" s="307">
        <f t="shared" si="1897"/>
        <v>0</v>
      </c>
      <c r="O4869" s="307">
        <f t="shared" si="1897"/>
        <v>0</v>
      </c>
      <c r="P4869" s="307">
        <f t="shared" si="1897"/>
        <v>0</v>
      </c>
      <c r="Q4869" s="307">
        <f t="shared" si="1897"/>
        <v>0</v>
      </c>
      <c r="R4869" s="307">
        <f t="shared" si="1897"/>
        <v>0</v>
      </c>
      <c r="S4869" s="307">
        <f t="shared" si="1897"/>
        <v>0</v>
      </c>
      <c r="T4869" s="307">
        <f t="shared" si="1897"/>
        <v>0</v>
      </c>
      <c r="U4869" s="307">
        <f t="shared" si="1897"/>
        <v>0</v>
      </c>
      <c r="V4869" s="307">
        <f t="shared" si="1897"/>
        <v>0</v>
      </c>
      <c r="W4869" s="307">
        <f t="shared" si="1897"/>
        <v>0</v>
      </c>
      <c r="X4869" s="307">
        <f t="shared" si="1897"/>
        <v>0</v>
      </c>
      <c r="Y4869" s="307">
        <f t="shared" si="1897"/>
        <v>0</v>
      </c>
      <c r="Z4869" s="307">
        <f t="shared" si="1897"/>
        <v>0</v>
      </c>
      <c r="AA4869" s="307">
        <f t="shared" si="1897"/>
        <v>0</v>
      </c>
      <c r="AB4869" s="306"/>
      <c r="AC4869" s="196">
        <f t="shared" ref="AC4869:AC4882" si="1898">SUM(P4869:AA4869)</f>
        <v>0</v>
      </c>
      <c r="AD4869" s="196">
        <f t="shared" ref="AD4869:AD4882" si="1899">SUM(P4869:AB4869)</f>
        <v>0</v>
      </c>
      <c r="AE4869" s="196">
        <f t="shared" ref="AE4869:AE4882" si="1900">SUM(AC4869-AD4869)</f>
        <v>0</v>
      </c>
      <c r="AF4869" s="2">
        <f t="shared" ref="AF4869:AF4882" si="1901">+AC4869</f>
        <v>0</v>
      </c>
      <c r="AG4869" s="2">
        <f t="shared" ref="AG4869:AG4882" si="1902">+AC4869-AF4869</f>
        <v>0</v>
      </c>
      <c r="AH4869" s="416"/>
      <c r="AI4869" s="416"/>
      <c r="AJ4869" s="416"/>
      <c r="AK4869" s="416"/>
      <c r="AL4869" s="416"/>
      <c r="AM4869" s="416"/>
      <c r="AN4869" s="416"/>
      <c r="AO4869" s="416"/>
    </row>
    <row r="4870" spans="1:42" ht="21" thickBot="1">
      <c r="A4870" s="475" t="s">
        <v>10460</v>
      </c>
      <c r="B4870" s="476"/>
      <c r="C4870" s="476"/>
      <c r="D4870" s="476"/>
      <c r="E4870" s="476"/>
      <c r="F4870" s="477"/>
      <c r="G4870" s="308"/>
      <c r="H4870" s="308"/>
      <c r="I4870" s="308"/>
      <c r="J4870" s="308"/>
      <c r="K4870" s="308"/>
      <c r="L4870" s="307">
        <f t="shared" si="1897"/>
        <v>0</v>
      </c>
      <c r="M4870" s="307">
        <f t="shared" si="1897"/>
        <v>0</v>
      </c>
      <c r="N4870" s="307">
        <f t="shared" si="1897"/>
        <v>0</v>
      </c>
      <c r="O4870" s="307">
        <f>SUM(O4869,O4863)</f>
        <v>2668333</v>
      </c>
      <c r="P4870" s="307">
        <f t="shared" si="1897"/>
        <v>0</v>
      </c>
      <c r="Q4870" s="307">
        <f t="shared" si="1897"/>
        <v>0</v>
      </c>
      <c r="R4870" s="307">
        <f t="shared" si="1897"/>
        <v>0</v>
      </c>
      <c r="S4870" s="307">
        <f>SUM(S4864:S4868)</f>
        <v>0</v>
      </c>
      <c r="T4870" s="307">
        <f t="shared" si="1897"/>
        <v>0</v>
      </c>
      <c r="U4870" s="307">
        <f t="shared" si="1897"/>
        <v>0</v>
      </c>
      <c r="V4870" s="307">
        <f t="shared" si="1897"/>
        <v>0</v>
      </c>
      <c r="W4870" s="307">
        <f t="shared" si="1897"/>
        <v>0</v>
      </c>
      <c r="X4870" s="307">
        <f t="shared" si="1897"/>
        <v>0</v>
      </c>
      <c r="Y4870" s="307">
        <f t="shared" si="1897"/>
        <v>0</v>
      </c>
      <c r="Z4870" s="307">
        <f t="shared" si="1897"/>
        <v>0</v>
      </c>
      <c r="AA4870" s="307">
        <f t="shared" si="1897"/>
        <v>0</v>
      </c>
      <c r="AB4870" s="306"/>
      <c r="AC4870" s="196">
        <f t="shared" si="1898"/>
        <v>0</v>
      </c>
      <c r="AD4870" s="196">
        <f t="shared" si="1899"/>
        <v>0</v>
      </c>
      <c r="AE4870" s="196">
        <f t="shared" si="1900"/>
        <v>0</v>
      </c>
      <c r="AF4870" s="2">
        <f t="shared" si="1901"/>
        <v>0</v>
      </c>
      <c r="AG4870" s="2">
        <f t="shared" si="1902"/>
        <v>0</v>
      </c>
      <c r="AH4870" s="416"/>
      <c r="AI4870" s="416"/>
      <c r="AJ4870" s="416"/>
      <c r="AK4870" s="416"/>
      <c r="AL4870" s="416"/>
      <c r="AM4870" s="416"/>
      <c r="AN4870" s="416"/>
      <c r="AO4870" s="416"/>
    </row>
    <row r="4871" spans="1:42">
      <c r="A4871" s="39" t="s">
        <v>50</v>
      </c>
      <c r="B4871" s="149"/>
      <c r="C4871" s="40" t="s">
        <v>677</v>
      </c>
      <c r="D4871" s="40" t="s">
        <v>3923</v>
      </c>
      <c r="E4871" s="40"/>
      <c r="F4871" s="402" t="s">
        <v>5320</v>
      </c>
      <c r="G4871" s="41" t="s">
        <v>3971</v>
      </c>
      <c r="H4871" s="41" t="s">
        <v>3972</v>
      </c>
      <c r="I4871" s="41"/>
      <c r="J4871" s="41"/>
      <c r="K4871" s="41"/>
      <c r="L4871" s="42"/>
      <c r="M4871" s="43"/>
      <c r="N4871" s="274">
        <f t="shared" ref="N4871:N4879" si="1903">SUM(L4871:M4871)</f>
        <v>0</v>
      </c>
      <c r="O4871" s="275">
        <f t="shared" ref="O4871:O4881" si="1904">SUM(P4871:Z4871)</f>
        <v>0</v>
      </c>
      <c r="P4871" s="44"/>
      <c r="Q4871" s="44"/>
      <c r="R4871" s="44"/>
      <c r="S4871" s="44"/>
      <c r="T4871" s="44"/>
      <c r="U4871" s="45"/>
      <c r="V4871" s="45"/>
      <c r="W4871" s="45"/>
      <c r="X4871" s="46"/>
      <c r="Y4871" s="15"/>
      <c r="Z4871" s="47"/>
      <c r="AA4871" s="119"/>
      <c r="AB4871" s="48"/>
      <c r="AC4871" s="196">
        <f t="shared" si="1898"/>
        <v>0</v>
      </c>
      <c r="AD4871" s="196">
        <f t="shared" si="1899"/>
        <v>0</v>
      </c>
      <c r="AE4871" s="196">
        <f t="shared" si="1900"/>
        <v>0</v>
      </c>
      <c r="AF4871" s="2">
        <f t="shared" si="1901"/>
        <v>0</v>
      </c>
      <c r="AG4871" s="2">
        <f t="shared" si="1902"/>
        <v>0</v>
      </c>
    </row>
    <row r="4872" spans="1:42">
      <c r="A4872" s="20" t="s">
        <v>51</v>
      </c>
      <c r="B4872" s="148"/>
      <c r="C4872" s="21" t="s">
        <v>678</v>
      </c>
      <c r="D4872" s="40" t="s">
        <v>3923</v>
      </c>
      <c r="E4872" s="21"/>
      <c r="F4872" s="391" t="s">
        <v>5321</v>
      </c>
      <c r="G4872" s="41" t="s">
        <v>3971</v>
      </c>
      <c r="H4872" s="41" t="s">
        <v>3972</v>
      </c>
      <c r="I4872" s="41"/>
      <c r="J4872" s="41"/>
      <c r="K4872" s="41"/>
      <c r="L4872" s="35"/>
      <c r="M4872" s="36"/>
      <c r="N4872" s="267">
        <f t="shared" si="1903"/>
        <v>0</v>
      </c>
      <c r="O4872" s="268">
        <f t="shared" si="1904"/>
        <v>0</v>
      </c>
      <c r="P4872" s="25"/>
      <c r="Q4872" s="25"/>
      <c r="R4872" s="25"/>
      <c r="S4872" s="25"/>
      <c r="T4872" s="25"/>
      <c r="U4872" s="11"/>
      <c r="V4872" s="11"/>
      <c r="W4872" s="11"/>
      <c r="X4872" s="12"/>
      <c r="Y4872" s="15"/>
      <c r="Z4872" s="15"/>
      <c r="AA4872" s="118"/>
      <c r="AB4872" s="13"/>
      <c r="AC4872" s="196">
        <f t="shared" si="1898"/>
        <v>0</v>
      </c>
      <c r="AD4872" s="196">
        <f t="shared" si="1899"/>
        <v>0</v>
      </c>
      <c r="AE4872" s="196">
        <f t="shared" si="1900"/>
        <v>0</v>
      </c>
      <c r="AF4872" s="2">
        <f t="shared" si="1901"/>
        <v>0</v>
      </c>
      <c r="AG4872" s="2">
        <f t="shared" si="1902"/>
        <v>0</v>
      </c>
    </row>
    <row r="4873" spans="1:42">
      <c r="A4873" s="20" t="s">
        <v>52</v>
      </c>
      <c r="B4873" s="148"/>
      <c r="C4873" s="21" t="s">
        <v>678</v>
      </c>
      <c r="D4873" s="40" t="s">
        <v>3923</v>
      </c>
      <c r="E4873" s="21" t="s">
        <v>3925</v>
      </c>
      <c r="F4873" s="391" t="s">
        <v>5322</v>
      </c>
      <c r="G4873" s="41" t="s">
        <v>3971</v>
      </c>
      <c r="H4873" s="41" t="s">
        <v>3972</v>
      </c>
      <c r="I4873" s="41"/>
      <c r="J4873" s="41"/>
      <c r="K4873" s="41"/>
      <c r="L4873" s="35"/>
      <c r="M4873" s="36"/>
      <c r="N4873" s="267">
        <f t="shared" si="1903"/>
        <v>0</v>
      </c>
      <c r="O4873" s="268">
        <f t="shared" si="1904"/>
        <v>0</v>
      </c>
      <c r="P4873" s="25"/>
      <c r="Q4873" s="25"/>
      <c r="R4873" s="25"/>
      <c r="S4873" s="25"/>
      <c r="T4873" s="25"/>
      <c r="U4873" s="11"/>
      <c r="V4873" s="11"/>
      <c r="W4873" s="11"/>
      <c r="X4873" s="12"/>
      <c r="Y4873" s="15"/>
      <c r="Z4873" s="15"/>
      <c r="AA4873" s="118"/>
      <c r="AB4873" s="13"/>
      <c r="AC4873" s="196">
        <f t="shared" si="1898"/>
        <v>0</v>
      </c>
      <c r="AD4873" s="196">
        <f t="shared" si="1899"/>
        <v>0</v>
      </c>
      <c r="AE4873" s="196">
        <f t="shared" si="1900"/>
        <v>0</v>
      </c>
      <c r="AF4873" s="2">
        <f t="shared" si="1901"/>
        <v>0</v>
      </c>
      <c r="AG4873" s="2">
        <f t="shared" si="1902"/>
        <v>0</v>
      </c>
    </row>
    <row r="4874" spans="1:42">
      <c r="A4874" s="20" t="s">
        <v>53</v>
      </c>
      <c r="B4874" s="148"/>
      <c r="C4874" s="21" t="s">
        <v>678</v>
      </c>
      <c r="D4874" s="40" t="s">
        <v>3923</v>
      </c>
      <c r="E4874" s="21"/>
      <c r="F4874" s="391" t="s">
        <v>5322</v>
      </c>
      <c r="G4874" s="41" t="s">
        <v>3971</v>
      </c>
      <c r="H4874" s="41" t="s">
        <v>3972</v>
      </c>
      <c r="I4874" s="41"/>
      <c r="J4874" s="41"/>
      <c r="K4874" s="41"/>
      <c r="L4874" s="35"/>
      <c r="M4874" s="36"/>
      <c r="N4874" s="267">
        <f t="shared" si="1903"/>
        <v>0</v>
      </c>
      <c r="O4874" s="268">
        <f t="shared" si="1904"/>
        <v>0</v>
      </c>
      <c r="P4874" s="25"/>
      <c r="Q4874" s="25"/>
      <c r="R4874" s="25"/>
      <c r="S4874" s="25"/>
      <c r="T4874" s="25"/>
      <c r="U4874" s="11"/>
      <c r="V4874" s="11"/>
      <c r="W4874" s="11"/>
      <c r="X4874" s="12"/>
      <c r="Y4874" s="15"/>
      <c r="Z4874" s="15"/>
      <c r="AA4874" s="118"/>
      <c r="AB4874" s="13"/>
      <c r="AC4874" s="196">
        <f t="shared" si="1898"/>
        <v>0</v>
      </c>
      <c r="AD4874" s="196">
        <f t="shared" si="1899"/>
        <v>0</v>
      </c>
      <c r="AE4874" s="196">
        <f t="shared" si="1900"/>
        <v>0</v>
      </c>
      <c r="AF4874" s="2">
        <f t="shared" si="1901"/>
        <v>0</v>
      </c>
      <c r="AG4874" s="2">
        <f t="shared" si="1902"/>
        <v>0</v>
      </c>
    </row>
    <row r="4875" spans="1:42">
      <c r="A4875" s="20" t="s">
        <v>54</v>
      </c>
      <c r="B4875" s="148"/>
      <c r="C4875" s="21" t="s">
        <v>209</v>
      </c>
      <c r="D4875" s="40" t="s">
        <v>3923</v>
      </c>
      <c r="E4875" s="21"/>
      <c r="F4875" s="391" t="s">
        <v>5323</v>
      </c>
      <c r="G4875" s="41" t="s">
        <v>3971</v>
      </c>
      <c r="H4875" s="41" t="s">
        <v>3972</v>
      </c>
      <c r="I4875" s="41"/>
      <c r="J4875" s="41"/>
      <c r="K4875" s="41"/>
      <c r="L4875" s="35"/>
      <c r="M4875" s="36"/>
      <c r="N4875" s="267">
        <f t="shared" si="1903"/>
        <v>0</v>
      </c>
      <c r="O4875" s="268">
        <f t="shared" si="1904"/>
        <v>0</v>
      </c>
      <c r="P4875" s="25"/>
      <c r="Q4875" s="25"/>
      <c r="R4875" s="25"/>
      <c r="S4875" s="25"/>
      <c r="T4875" s="25"/>
      <c r="U4875" s="11"/>
      <c r="V4875" s="11"/>
      <c r="W4875" s="11"/>
      <c r="X4875" s="12"/>
      <c r="Y4875" s="183"/>
      <c r="Z4875" s="15"/>
      <c r="AA4875" s="118"/>
      <c r="AB4875" s="13"/>
      <c r="AC4875" s="196">
        <f t="shared" si="1898"/>
        <v>0</v>
      </c>
      <c r="AD4875" s="196">
        <f t="shared" si="1899"/>
        <v>0</v>
      </c>
      <c r="AE4875" s="196">
        <f t="shared" si="1900"/>
        <v>0</v>
      </c>
      <c r="AF4875" s="2">
        <f t="shared" si="1901"/>
        <v>0</v>
      </c>
      <c r="AG4875" s="2">
        <f t="shared" si="1902"/>
        <v>0</v>
      </c>
    </row>
    <row r="4876" spans="1:42">
      <c r="A4876" s="20" t="s">
        <v>55</v>
      </c>
      <c r="B4876" s="148"/>
      <c r="C4876" s="21" t="s">
        <v>679</v>
      </c>
      <c r="D4876" s="40" t="s">
        <v>3923</v>
      </c>
      <c r="E4876" s="21"/>
      <c r="F4876" s="391" t="s">
        <v>5324</v>
      </c>
      <c r="G4876" s="41" t="s">
        <v>3971</v>
      </c>
      <c r="H4876" s="41" t="s">
        <v>3972</v>
      </c>
      <c r="I4876" s="41"/>
      <c r="J4876" s="41"/>
      <c r="K4876" s="41"/>
      <c r="L4876" s="35"/>
      <c r="M4876" s="36"/>
      <c r="N4876" s="267">
        <f t="shared" si="1903"/>
        <v>0</v>
      </c>
      <c r="O4876" s="268">
        <f t="shared" si="1904"/>
        <v>0</v>
      </c>
      <c r="P4876" s="25"/>
      <c r="Q4876" s="25"/>
      <c r="R4876" s="25"/>
      <c r="S4876" s="25"/>
      <c r="T4876" s="25"/>
      <c r="U4876" s="11"/>
      <c r="V4876" s="11"/>
      <c r="W4876" s="11"/>
      <c r="X4876" s="12"/>
      <c r="Y4876" s="208"/>
      <c r="Z4876" s="15"/>
      <c r="AA4876" s="118"/>
      <c r="AB4876" s="13"/>
      <c r="AC4876" s="196">
        <f t="shared" si="1898"/>
        <v>0</v>
      </c>
      <c r="AD4876" s="196">
        <f t="shared" si="1899"/>
        <v>0</v>
      </c>
      <c r="AE4876" s="196">
        <f t="shared" si="1900"/>
        <v>0</v>
      </c>
      <c r="AF4876" s="2">
        <f t="shared" si="1901"/>
        <v>0</v>
      </c>
      <c r="AG4876" s="2">
        <f t="shared" si="1902"/>
        <v>0</v>
      </c>
    </row>
    <row r="4877" spans="1:42">
      <c r="A4877" s="20" t="s">
        <v>3937</v>
      </c>
      <c r="B4877" s="148"/>
      <c r="C4877" s="21" t="s">
        <v>270</v>
      </c>
      <c r="D4877" s="40" t="s">
        <v>3923</v>
      </c>
      <c r="E4877" s="21"/>
      <c r="F4877" s="391" t="s">
        <v>5325</v>
      </c>
      <c r="G4877" s="41" t="s">
        <v>3971</v>
      </c>
      <c r="H4877" s="41" t="s">
        <v>3972</v>
      </c>
      <c r="I4877" s="41"/>
      <c r="J4877" s="41"/>
      <c r="K4877" s="41"/>
      <c r="L4877" s="35"/>
      <c r="M4877" s="36"/>
      <c r="N4877" s="267">
        <f t="shared" si="1903"/>
        <v>0</v>
      </c>
      <c r="O4877" s="268">
        <f t="shared" si="1904"/>
        <v>0</v>
      </c>
      <c r="P4877" s="25"/>
      <c r="Q4877" s="25"/>
      <c r="R4877" s="25"/>
      <c r="S4877" s="25"/>
      <c r="T4877" s="25"/>
      <c r="U4877" s="11"/>
      <c r="V4877" s="11"/>
      <c r="W4877" s="11"/>
      <c r="X4877" s="12"/>
      <c r="Y4877" s="208"/>
      <c r="Z4877" s="15"/>
      <c r="AA4877" s="118"/>
      <c r="AB4877" s="13"/>
      <c r="AC4877" s="196">
        <f t="shared" si="1898"/>
        <v>0</v>
      </c>
      <c r="AD4877" s="196">
        <f t="shared" si="1899"/>
        <v>0</v>
      </c>
      <c r="AE4877" s="196">
        <f t="shared" si="1900"/>
        <v>0</v>
      </c>
      <c r="AF4877" s="2">
        <f t="shared" si="1901"/>
        <v>0</v>
      </c>
      <c r="AG4877" s="2">
        <f t="shared" si="1902"/>
        <v>0</v>
      </c>
    </row>
    <row r="4878" spans="1:42">
      <c r="A4878" s="20" t="s">
        <v>3944</v>
      </c>
      <c r="B4878" s="148"/>
      <c r="C4878" s="21" t="s">
        <v>680</v>
      </c>
      <c r="D4878" s="40" t="s">
        <v>4066</v>
      </c>
      <c r="E4878" s="21"/>
      <c r="F4878" s="391" t="s">
        <v>5640</v>
      </c>
      <c r="G4878" s="41" t="s">
        <v>5641</v>
      </c>
      <c r="H4878" s="41" t="s">
        <v>5642</v>
      </c>
      <c r="I4878" s="41"/>
      <c r="J4878" s="41"/>
      <c r="K4878" s="41"/>
      <c r="L4878" s="35"/>
      <c r="M4878" s="36"/>
      <c r="N4878" s="267">
        <f t="shared" si="1903"/>
        <v>0</v>
      </c>
      <c r="O4878" s="268">
        <f>SUM(P4878:Z4878)</f>
        <v>0</v>
      </c>
      <c r="P4878" s="25"/>
      <c r="Q4878" s="25"/>
      <c r="R4878" s="25"/>
      <c r="S4878" s="25"/>
      <c r="T4878" s="25"/>
      <c r="U4878" s="11"/>
      <c r="V4878" s="11"/>
      <c r="W4878" s="11"/>
      <c r="X4878" s="12"/>
      <c r="Y4878" s="208"/>
      <c r="Z4878" s="15"/>
      <c r="AA4878" s="118"/>
      <c r="AB4878" s="13"/>
      <c r="AC4878" s="196">
        <f t="shared" si="1898"/>
        <v>0</v>
      </c>
      <c r="AD4878" s="196">
        <f t="shared" si="1899"/>
        <v>0</v>
      </c>
      <c r="AE4878" s="196">
        <f t="shared" si="1900"/>
        <v>0</v>
      </c>
      <c r="AF4878" s="2">
        <f t="shared" si="1901"/>
        <v>0</v>
      </c>
      <c r="AG4878" s="2">
        <f t="shared" si="1902"/>
        <v>0</v>
      </c>
    </row>
    <row r="4879" spans="1:42" s="416" customFormat="1" ht="17.25" customHeight="1">
      <c r="A4879" s="20" t="s">
        <v>5643</v>
      </c>
      <c r="B4879" s="148"/>
      <c r="C4879" s="21" t="s">
        <v>5644</v>
      </c>
      <c r="D4879" s="40" t="s">
        <v>3923</v>
      </c>
      <c r="E4879" s="21"/>
      <c r="F4879" s="391" t="s">
        <v>5645</v>
      </c>
      <c r="G4879" s="41" t="s">
        <v>3971</v>
      </c>
      <c r="H4879" s="41" t="s">
        <v>3972</v>
      </c>
      <c r="I4879" s="41"/>
      <c r="J4879" s="41"/>
      <c r="K4879" s="41"/>
      <c r="L4879" s="35"/>
      <c r="M4879" s="36"/>
      <c r="N4879" s="267">
        <f t="shared" si="1903"/>
        <v>0</v>
      </c>
      <c r="O4879" s="268">
        <f>SUM(P4879:Z4879)</f>
        <v>0</v>
      </c>
      <c r="P4879" s="25"/>
      <c r="Q4879" s="25"/>
      <c r="R4879" s="25"/>
      <c r="S4879" s="25"/>
      <c r="T4879" s="25"/>
      <c r="U4879" s="11"/>
      <c r="V4879" s="11"/>
      <c r="W4879" s="11"/>
      <c r="X4879" s="12"/>
      <c r="Y4879" s="208"/>
      <c r="Z4879" s="15"/>
      <c r="AA4879" s="118"/>
      <c r="AB4879" s="13"/>
      <c r="AC4879" s="196">
        <f t="shared" si="1898"/>
        <v>0</v>
      </c>
      <c r="AD4879" s="196">
        <f t="shared" si="1899"/>
        <v>0</v>
      </c>
      <c r="AE4879" s="196">
        <f t="shared" si="1900"/>
        <v>0</v>
      </c>
      <c r="AF4879" s="2">
        <f t="shared" si="1901"/>
        <v>0</v>
      </c>
      <c r="AG4879" s="2">
        <f t="shared" si="1902"/>
        <v>0</v>
      </c>
      <c r="AH4879" s="415"/>
      <c r="AI4879" s="415"/>
      <c r="AJ4879" s="415"/>
      <c r="AK4879" s="415"/>
      <c r="AL4879" s="415"/>
      <c r="AM4879" s="415"/>
      <c r="AN4879" s="415"/>
      <c r="AO4879" s="415"/>
      <c r="AP4879" s="415"/>
    </row>
    <row r="4880" spans="1:42" s="416" customFormat="1" ht="16.5" customHeight="1" thickBot="1">
      <c r="A4880" s="174" t="s">
        <v>5643</v>
      </c>
      <c r="B4880" s="175"/>
      <c r="C4880" s="26" t="s">
        <v>7435</v>
      </c>
      <c r="D4880" s="176" t="s">
        <v>4066</v>
      </c>
      <c r="E4880" s="26"/>
      <c r="F4880" s="391" t="s">
        <v>7436</v>
      </c>
      <c r="G4880" s="177" t="s">
        <v>5641</v>
      </c>
      <c r="H4880" s="177" t="s">
        <v>5642</v>
      </c>
      <c r="I4880" s="177"/>
      <c r="J4880" s="177"/>
      <c r="K4880" s="177"/>
      <c r="L4880" s="178"/>
      <c r="M4880" s="179"/>
      <c r="N4880" s="276">
        <f>SUM(L4880:M4880)</f>
        <v>0</v>
      </c>
      <c r="O4880" s="277">
        <f>SUM(P4880:Z4880)</f>
        <v>0</v>
      </c>
      <c r="P4880" s="180"/>
      <c r="Q4880" s="180"/>
      <c r="R4880" s="180"/>
      <c r="S4880" s="180"/>
      <c r="T4880" s="180"/>
      <c r="U4880" s="181"/>
      <c r="V4880" s="181"/>
      <c r="W4880" s="181"/>
      <c r="X4880" s="182"/>
      <c r="Y4880" s="208"/>
      <c r="Z4880" s="183"/>
      <c r="AA4880" s="184"/>
      <c r="AB4880" s="185"/>
      <c r="AC4880" s="196">
        <f t="shared" si="1898"/>
        <v>0</v>
      </c>
      <c r="AD4880" s="196">
        <f t="shared" si="1899"/>
        <v>0</v>
      </c>
      <c r="AE4880" s="196">
        <f t="shared" si="1900"/>
        <v>0</v>
      </c>
      <c r="AF4880" s="2">
        <f t="shared" si="1901"/>
        <v>0</v>
      </c>
      <c r="AG4880" s="2">
        <f t="shared" si="1902"/>
        <v>0</v>
      </c>
      <c r="AH4880" s="415"/>
      <c r="AI4880" s="415"/>
      <c r="AJ4880" s="415"/>
      <c r="AK4880" s="415"/>
      <c r="AL4880" s="415"/>
      <c r="AM4880" s="415"/>
      <c r="AN4880" s="415"/>
      <c r="AO4880" s="415"/>
    </row>
    <row r="4881" spans="1:42" ht="18" thickBot="1">
      <c r="A4881" s="174" t="s">
        <v>5643</v>
      </c>
      <c r="B4881" s="175"/>
      <c r="C4881" s="26" t="s">
        <v>6615</v>
      </c>
      <c r="D4881" s="26" t="s">
        <v>4066</v>
      </c>
      <c r="E4881" s="26"/>
      <c r="F4881" s="401" t="s">
        <v>6616</v>
      </c>
      <c r="G4881" s="28" t="s">
        <v>5641</v>
      </c>
      <c r="H4881" s="28" t="s">
        <v>5642</v>
      </c>
      <c r="I4881" s="28"/>
      <c r="J4881" s="28"/>
      <c r="K4881" s="28"/>
      <c r="L4881" s="178"/>
      <c r="M4881" s="179"/>
      <c r="N4881" s="271">
        <f>SUM(L4881:M4881)</f>
        <v>0</v>
      </c>
      <c r="O4881" s="277">
        <f t="shared" si="1904"/>
        <v>0</v>
      </c>
      <c r="P4881" s="205"/>
      <c r="Q4881" s="205"/>
      <c r="R4881" s="205"/>
      <c r="S4881" s="205"/>
      <c r="T4881" s="205"/>
      <c r="U4881" s="206"/>
      <c r="V4881" s="206"/>
      <c r="W4881" s="206"/>
      <c r="X4881" s="207"/>
      <c r="Y4881" s="419"/>
      <c r="Z4881" s="208"/>
      <c r="AA4881" s="209"/>
      <c r="AB4881" s="210"/>
      <c r="AC4881" s="196">
        <f t="shared" si="1898"/>
        <v>0</v>
      </c>
      <c r="AD4881" s="196">
        <f t="shared" si="1899"/>
        <v>0</v>
      </c>
      <c r="AE4881" s="196">
        <f t="shared" si="1900"/>
        <v>0</v>
      </c>
      <c r="AF4881" s="2">
        <f t="shared" si="1901"/>
        <v>0</v>
      </c>
      <c r="AG4881" s="2">
        <f t="shared" si="1902"/>
        <v>0</v>
      </c>
      <c r="AP4881" s="416"/>
    </row>
    <row r="4882" spans="1:42" ht="21" thickBot="1">
      <c r="A4882" s="478" t="s">
        <v>48</v>
      </c>
      <c r="B4882" s="476"/>
      <c r="C4882" s="476"/>
      <c r="D4882" s="476"/>
      <c r="E4882" s="476"/>
      <c r="F4882" s="477"/>
      <c r="G4882" s="308" t="s">
        <v>45</v>
      </c>
      <c r="H4882" s="308"/>
      <c r="I4882" s="308"/>
      <c r="J4882" s="308"/>
      <c r="K4882" s="308"/>
      <c r="L4882" s="307">
        <f t="shared" ref="L4882:V4882" si="1905">SUM(L4871:L4881)</f>
        <v>0</v>
      </c>
      <c r="M4882" s="307">
        <f t="shared" si="1905"/>
        <v>0</v>
      </c>
      <c r="N4882" s="307">
        <f t="shared" si="1905"/>
        <v>0</v>
      </c>
      <c r="O4882" s="307">
        <f t="shared" si="1905"/>
        <v>0</v>
      </c>
      <c r="P4882" s="307">
        <f t="shared" si="1905"/>
        <v>0</v>
      </c>
      <c r="Q4882" s="307">
        <f t="shared" si="1905"/>
        <v>0</v>
      </c>
      <c r="R4882" s="307">
        <f t="shared" si="1905"/>
        <v>0</v>
      </c>
      <c r="S4882" s="307">
        <f t="shared" si="1905"/>
        <v>0</v>
      </c>
      <c r="T4882" s="307">
        <f t="shared" si="1905"/>
        <v>0</v>
      </c>
      <c r="U4882" s="307">
        <f t="shared" si="1905"/>
        <v>0</v>
      </c>
      <c r="V4882" s="307">
        <f t="shared" si="1905"/>
        <v>0</v>
      </c>
      <c r="W4882" s="307">
        <f>SUM(W4871:W4881)</f>
        <v>0</v>
      </c>
      <c r="X4882" s="307">
        <f>SUM(X4871:X4881)</f>
        <v>0</v>
      </c>
      <c r="Y4882" s="307">
        <f>SUM(Y4871:Y4881)</f>
        <v>0</v>
      </c>
      <c r="Z4882" s="307">
        <f>SUM(Z4871:Z4881)</f>
        <v>0</v>
      </c>
      <c r="AA4882" s="307">
        <f>SUM(AA4871:AA4881)</f>
        <v>0</v>
      </c>
      <c r="AB4882" s="305">
        <f>SUM(AB12:AB4879)</f>
        <v>0</v>
      </c>
      <c r="AC4882" s="196">
        <f t="shared" si="1898"/>
        <v>0</v>
      </c>
      <c r="AD4882" s="196">
        <f t="shared" si="1899"/>
        <v>0</v>
      </c>
      <c r="AE4882" s="196">
        <f t="shared" si="1900"/>
        <v>0</v>
      </c>
      <c r="AF4882" s="2">
        <f t="shared" si="1901"/>
        <v>0</v>
      </c>
      <c r="AG4882" s="2">
        <f t="shared" si="1902"/>
        <v>0</v>
      </c>
      <c r="AH4882" s="416"/>
      <c r="AI4882" s="416"/>
      <c r="AJ4882" s="416"/>
      <c r="AK4882" s="416"/>
      <c r="AL4882" s="416"/>
      <c r="AM4882" s="416"/>
      <c r="AN4882" s="416"/>
      <c r="AO4882" s="416"/>
    </row>
    <row r="4883" spans="1:42" ht="21" thickBot="1">
      <c r="A4883" s="475" t="s">
        <v>49</v>
      </c>
      <c r="B4883" s="476"/>
      <c r="C4883" s="476"/>
      <c r="D4883" s="476"/>
      <c r="E4883" s="476"/>
      <c r="F4883" s="477"/>
      <c r="G4883" s="304"/>
      <c r="H4883" s="304"/>
      <c r="I4883" s="304"/>
      <c r="J4883" s="304"/>
      <c r="K4883" s="304"/>
      <c r="L4883" s="303">
        <f t="shared" ref="L4883:V4883" si="1906">L4863+L4869+L4882</f>
        <v>171645</v>
      </c>
      <c r="M4883" s="303">
        <f t="shared" si="1906"/>
        <v>32600</v>
      </c>
      <c r="N4883" s="303">
        <f t="shared" si="1906"/>
        <v>204245</v>
      </c>
      <c r="O4883" s="303">
        <f t="shared" si="1906"/>
        <v>2668333</v>
      </c>
      <c r="P4883" s="303">
        <f t="shared" si="1906"/>
        <v>162030</v>
      </c>
      <c r="Q4883" s="303">
        <f t="shared" si="1906"/>
        <v>316496</v>
      </c>
      <c r="R4883" s="303">
        <f t="shared" si="1906"/>
        <v>277908</v>
      </c>
      <c r="S4883" s="303">
        <f t="shared" si="1906"/>
        <v>22770</v>
      </c>
      <c r="T4883" s="303">
        <f t="shared" si="1906"/>
        <v>170420</v>
      </c>
      <c r="U4883" s="303">
        <f t="shared" si="1906"/>
        <v>680115</v>
      </c>
      <c r="V4883" s="303">
        <f t="shared" si="1906"/>
        <v>986210</v>
      </c>
      <c r="W4883" s="303">
        <f>W4863+W4869+W4882</f>
        <v>0</v>
      </c>
      <c r="X4883" s="303">
        <f>X4863+X4869+X4882</f>
        <v>7200</v>
      </c>
      <c r="Y4883" s="303">
        <f>Y4863+Y4869+Y4882</f>
        <v>39484</v>
      </c>
      <c r="Z4883" s="303">
        <f>Z4863+Z4869+Z4882</f>
        <v>0</v>
      </c>
      <c r="AA4883" s="303">
        <f>AA4863+AA4869+AA4882</f>
        <v>5700</v>
      </c>
      <c r="AB4883" s="302"/>
      <c r="AC4883" s="196">
        <f t="shared" ref="AC4883" si="1907">SUM(P4883:AA4883)</f>
        <v>2668333</v>
      </c>
      <c r="AD4883" s="196">
        <f t="shared" ref="AD4883" si="1908">SUM(P4883:AB4883)</f>
        <v>2668333</v>
      </c>
      <c r="AE4883" s="196">
        <f t="shared" ref="AE4883" si="1909">SUM(AC4883-AD4883)</f>
        <v>0</v>
      </c>
      <c r="AF4883" s="2">
        <f t="shared" ref="AF4883" si="1910">+AC4883</f>
        <v>2668333</v>
      </c>
      <c r="AG4883" s="2">
        <f t="shared" ref="AG4883" si="1911">+AC4883-AF4883</f>
        <v>0</v>
      </c>
      <c r="AH4883" s="416"/>
      <c r="AI4883" s="416"/>
      <c r="AJ4883" s="416"/>
      <c r="AK4883" s="416"/>
      <c r="AL4883" s="416"/>
      <c r="AM4883" s="416"/>
      <c r="AN4883" s="416"/>
      <c r="AO4883" s="416"/>
    </row>
    <row r="4884" spans="1:42">
      <c r="N4884" s="32"/>
      <c r="O4884" s="32"/>
      <c r="AD4884" s="16"/>
    </row>
    <row r="4885" spans="1:42">
      <c r="A4885" s="2"/>
      <c r="B4885" s="2"/>
      <c r="M4885" s="16"/>
      <c r="U4885" s="16"/>
      <c r="V4885" s="317"/>
      <c r="AD4885" s="16"/>
    </row>
    <row r="4886" spans="1:42">
      <c r="A4886" s="2"/>
      <c r="B4886" s="2"/>
      <c r="M4886" s="16"/>
      <c r="O4886" s="468"/>
      <c r="U4886" s="16"/>
      <c r="V4886" s="317"/>
      <c r="AD4886" s="16"/>
    </row>
    <row r="4887" spans="1:42">
      <c r="A4887" s="2"/>
      <c r="B4887" s="2"/>
      <c r="M4887" s="16"/>
      <c r="N4887" s="34"/>
      <c r="O4887" s="34"/>
      <c r="U4887" s="16"/>
      <c r="V4887" s="317"/>
      <c r="AD4887" s="16"/>
    </row>
    <row r="4888" spans="1:42">
      <c r="A4888" s="2"/>
      <c r="B4888" s="2"/>
      <c r="M4888" s="16"/>
      <c r="U4888" s="16"/>
      <c r="V4888" s="317"/>
      <c r="AD4888" s="16"/>
    </row>
    <row r="4889" spans="1:42">
      <c r="A4889" s="2"/>
      <c r="B4889" s="2"/>
      <c r="M4889" s="16"/>
      <c r="U4889" s="16"/>
      <c r="V4889" s="317"/>
      <c r="AD4889" s="16"/>
    </row>
    <row r="4890" spans="1:42">
      <c r="A4890" s="2"/>
      <c r="B4890" s="2"/>
      <c r="F4890" s="134"/>
      <c r="M4890" s="16"/>
      <c r="U4890" s="16"/>
      <c r="V4890" s="317"/>
      <c r="AD4890" s="16"/>
    </row>
    <row r="4891" spans="1:42">
      <c r="A4891" s="2"/>
      <c r="B4891" s="2"/>
      <c r="M4891" s="16"/>
      <c r="U4891" s="16"/>
      <c r="V4891" s="317"/>
      <c r="AD4891" s="16"/>
    </row>
    <row r="4892" spans="1:42">
      <c r="A4892" s="2"/>
      <c r="B4892" s="2"/>
      <c r="M4892" s="16"/>
      <c r="U4892" s="16"/>
      <c r="V4892" s="317"/>
      <c r="AD4892" s="16"/>
    </row>
    <row r="4893" spans="1:42">
      <c r="A4893" s="2"/>
      <c r="B4893" s="2"/>
      <c r="M4893" s="16"/>
      <c r="U4893" s="16"/>
      <c r="V4893" s="317"/>
      <c r="AD4893" s="16"/>
    </row>
    <row r="4894" spans="1:42">
      <c r="A4894" s="2"/>
      <c r="B4894" s="2"/>
      <c r="M4894" s="16"/>
      <c r="U4894" s="16"/>
      <c r="V4894" s="317"/>
      <c r="AD4894" s="16"/>
    </row>
    <row r="4895" spans="1:42">
      <c r="A4895" s="2"/>
      <c r="B4895" s="2"/>
      <c r="M4895" s="16"/>
      <c r="U4895" s="16"/>
      <c r="V4895" s="317"/>
      <c r="AD4895" s="16"/>
    </row>
    <row r="4896" spans="1:42">
      <c r="A4896" s="2"/>
      <c r="B4896" s="2"/>
      <c r="M4896" s="16"/>
      <c r="U4896" s="16"/>
      <c r="V4896" s="317"/>
      <c r="AD4896" s="16"/>
    </row>
    <row r="4897" spans="1:30">
      <c r="A4897" s="2"/>
      <c r="B4897" s="2"/>
      <c r="M4897" s="16"/>
      <c r="U4897" s="16"/>
      <c r="V4897" s="317"/>
      <c r="AD4897" s="16"/>
    </row>
    <row r="4898" spans="1:30">
      <c r="A4898" s="2"/>
      <c r="B4898" s="2"/>
      <c r="M4898" s="16"/>
      <c r="U4898" s="16"/>
      <c r="V4898" s="317"/>
      <c r="AD4898" s="16"/>
    </row>
    <row r="4899" spans="1:30">
      <c r="A4899" s="2"/>
      <c r="B4899" s="2"/>
      <c r="M4899" s="16"/>
      <c r="U4899" s="16"/>
      <c r="V4899" s="317"/>
      <c r="AD4899" s="16"/>
    </row>
    <row r="4900" spans="1:30">
      <c r="A4900" s="2"/>
      <c r="B4900" s="2"/>
      <c r="M4900" s="16"/>
      <c r="U4900" s="16"/>
      <c r="V4900" s="317"/>
      <c r="AD4900" s="16"/>
    </row>
    <row r="4901" spans="1:30">
      <c r="A4901" s="2"/>
      <c r="B4901" s="2"/>
      <c r="F4901" s="2"/>
      <c r="G4901" s="2"/>
      <c r="H4901" s="2"/>
      <c r="I4901" s="2"/>
      <c r="J4901" s="2"/>
      <c r="K4901" s="2"/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L4909" s="17">
        <v>644</v>
      </c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L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L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L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L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L4927" s="2"/>
      <c r="M4927" s="16"/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L4928" s="2"/>
      <c r="M4928" s="16"/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L4929" s="2"/>
      <c r="M4929" s="16"/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L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L4931" s="2"/>
      <c r="M4931" s="16"/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L4932" s="2"/>
      <c r="M4932" s="16"/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M4933" s="16"/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L4936" s="17">
        <v>3600</v>
      </c>
      <c r="M4936" s="16">
        <v>600</v>
      </c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M4937" s="16"/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L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L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L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L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L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L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L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L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L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L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L5122" s="17">
        <v>3700</v>
      </c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L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/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/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/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/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/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/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>
        <v>50</v>
      </c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/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L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L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L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L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L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L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L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L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L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M5238" s="16"/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M5239" s="16"/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M5240" s="16"/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M5242" s="16"/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M5243" s="16"/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M5244" s="16"/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L5247" s="17">
        <v>1937</v>
      </c>
      <c r="M5247" s="16">
        <v>3100</v>
      </c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M5248" s="16"/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L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/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/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/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/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/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/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>
        <v>950</v>
      </c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/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L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L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L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L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L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L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L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L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L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/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/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M5337" s="16"/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M5339" s="16"/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M5340" s="16"/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M5341" s="16"/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M5344" s="16">
        <v>100</v>
      </c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M5345" s="16"/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L5346" s="17">
        <v>400</v>
      </c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L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L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L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L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L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L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L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L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L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L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M5365" s="16"/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M5366" s="16"/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M5367" s="16"/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M5369" s="16"/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M5370" s="16"/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M5371" s="16"/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L5374" s="17">
        <v>2100</v>
      </c>
      <c r="M5374" s="16">
        <v>1750</v>
      </c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M5375" s="16"/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L5380" s="17">
        <v>200</v>
      </c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2"/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/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/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/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/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/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/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>
        <v>50</v>
      </c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/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L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L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L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L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L5472" s="2"/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L5473" s="2"/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L5474" s="2"/>
      <c r="M5474" s="16"/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L5475" s="2"/>
      <c r="M5475" s="16"/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L5476" s="2"/>
      <c r="M5476" s="16"/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M5478" s="16"/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/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/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L5481" s="17">
        <v>2500</v>
      </c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>
        <v>100</v>
      </c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M5484" s="16"/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L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/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/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/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/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/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/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>
        <v>150</v>
      </c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/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L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L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L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L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L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L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L5522" s="2"/>
      <c r="M5522" s="16"/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L5523" s="2"/>
      <c r="M5523" s="16"/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L5524" s="2"/>
      <c r="M5524" s="16"/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M5525" s="16"/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M5526" s="16"/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/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M5528" s="16"/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M5529" s="16"/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M5530" s="16"/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>
        <v>100</v>
      </c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M5532" s="16">
        <v>100</v>
      </c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L5533" s="17">
        <v>1800</v>
      </c>
      <c r="M5533" s="16">
        <v>1100</v>
      </c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M5534" s="16"/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L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/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/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/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/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/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/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>
        <v>500</v>
      </c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/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/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/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/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/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/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/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>
        <v>1950</v>
      </c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/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2"/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L5821" s="2"/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L5822" s="2"/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L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L5824" s="2"/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L5825" s="2"/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L5826" s="2"/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L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L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L5829" s="17">
        <v>100</v>
      </c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L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/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/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/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/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/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/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>
        <v>2500</v>
      </c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/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M6010" s="16"/>
      <c r="U6010" s="16"/>
      <c r="V6010" s="317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M6011" s="16"/>
      <c r="U6011" s="16"/>
      <c r="V6011" s="317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L6012" s="2"/>
      <c r="M6012" s="16"/>
      <c r="U6012" s="16"/>
      <c r="V6012" s="317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L6013" s="2"/>
      <c r="M6013" s="16"/>
      <c r="U6013" s="16"/>
      <c r="V6013" s="317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L6014" s="2"/>
      <c r="M6014" s="16"/>
      <c r="U6014" s="16"/>
      <c r="V6014" s="317"/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L6015" s="2"/>
      <c r="M6015" s="16"/>
      <c r="U6015" s="16"/>
      <c r="V6015" s="317"/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L6016" s="2"/>
      <c r="M6016" s="16"/>
      <c r="U6016" s="16"/>
      <c r="V6016" s="317"/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L6017" s="2"/>
      <c r="M6017" s="16"/>
      <c r="U6017" s="16"/>
      <c r="V6017" s="317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L6018" s="2"/>
      <c r="M6018" s="16"/>
      <c r="U6018" s="16"/>
      <c r="V6018" s="317"/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L6019" s="2"/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L6020" s="2"/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L6023" s="17">
        <v>800</v>
      </c>
      <c r="M6023" s="18">
        <v>1900</v>
      </c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Y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Y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Y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Y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Y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Z6064" s="2"/>
      <c r="AA6064" s="2"/>
      <c r="AB6064" s="2"/>
      <c r="AC6064" s="2"/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Z6065" s="2"/>
      <c r="AA6065" s="2"/>
      <c r="AB6065" s="2"/>
      <c r="AC6065" s="2"/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Z6066" s="2"/>
      <c r="AA6066" s="2"/>
      <c r="AB6066" s="2"/>
      <c r="AC6066" s="2"/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Z6067" s="2"/>
      <c r="AA6067" s="2"/>
      <c r="AB6067" s="2"/>
      <c r="AC6067" s="2"/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Z6068" s="2"/>
      <c r="AA6068" s="2"/>
      <c r="AB6068" s="2"/>
      <c r="AC6068" s="2"/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L6069" s="17">
        <v>1400</v>
      </c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M6071" s="18">
        <v>800</v>
      </c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Y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Y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Y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Y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Y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Z6128" s="2"/>
      <c r="AA6128" s="2"/>
      <c r="AB6128" s="2"/>
      <c r="AC6128" s="2"/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Z6129" s="2"/>
      <c r="AA6129" s="2"/>
      <c r="AB6129" s="2"/>
      <c r="AC6129" s="2"/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Z6130" s="2"/>
      <c r="AA6130" s="2"/>
      <c r="AB6130" s="2"/>
      <c r="AC6130" s="2"/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Z6131" s="2"/>
      <c r="AA6131" s="2"/>
      <c r="AB6131" s="2"/>
      <c r="AC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Z6132" s="2"/>
      <c r="AA6132" s="2"/>
      <c r="AB6132" s="2"/>
      <c r="AC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L6133" s="17">
        <v>1600</v>
      </c>
      <c r="M6133" s="18">
        <v>1400</v>
      </c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Y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Y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Y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Y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Y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16"/>
    </row>
    <row r="6183" spans="1:30">
      <c r="A6183" s="2"/>
      <c r="B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16"/>
    </row>
    <row r="6184" spans="1:30">
      <c r="A6184" s="2"/>
      <c r="B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16"/>
    </row>
    <row r="6185" spans="1:30">
      <c r="A6185" s="2"/>
      <c r="B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16"/>
    </row>
    <row r="6186" spans="1:30">
      <c r="A6186" s="2"/>
      <c r="B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16"/>
    </row>
    <row r="6187" spans="1:30">
      <c r="A6187" s="2"/>
      <c r="B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Z6187" s="2"/>
      <c r="AA6187" s="2"/>
      <c r="AB6187" s="2"/>
      <c r="AC6187" s="2"/>
      <c r="AD6187" s="16"/>
    </row>
    <row r="6188" spans="1:30">
      <c r="A6188" s="2"/>
      <c r="B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Z6188" s="2"/>
      <c r="AA6188" s="2"/>
      <c r="AB6188" s="2"/>
      <c r="AC6188" s="2"/>
      <c r="AD6188" s="16"/>
    </row>
    <row r="6189" spans="1:30">
      <c r="A6189" s="2"/>
      <c r="B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Z6189" s="2"/>
      <c r="AA6189" s="2"/>
      <c r="AB6189" s="2"/>
      <c r="AC6189" s="2"/>
      <c r="AD6189" s="16"/>
    </row>
    <row r="6190" spans="1:30">
      <c r="A6190" s="2"/>
      <c r="B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Z6190" s="2"/>
      <c r="AA6190" s="2"/>
      <c r="AB6190" s="2"/>
      <c r="AC6190" s="2"/>
      <c r="AD6190" s="16"/>
    </row>
    <row r="6191" spans="1:30">
      <c r="A6191" s="2"/>
      <c r="B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Z6191" s="2"/>
      <c r="AA6191" s="2"/>
      <c r="AB6191" s="2"/>
      <c r="AC6191" s="2"/>
      <c r="AD6191" s="16"/>
    </row>
    <row r="6208" spans="25:25">
      <c r="Y6208" s="2"/>
    </row>
    <row r="6213" spans="1:29">
      <c r="A6213" s="2"/>
      <c r="B6213" s="2"/>
      <c r="F6213" s="2"/>
      <c r="G6213" s="2"/>
      <c r="H6213" s="2"/>
      <c r="I6213" s="2"/>
      <c r="J6213" s="2"/>
      <c r="K6213" s="2"/>
      <c r="L6213" s="17">
        <v>400</v>
      </c>
      <c r="M6213" s="18">
        <v>500</v>
      </c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Z6213" s="2"/>
      <c r="AA6213" s="2"/>
      <c r="AB6213" s="2"/>
      <c r="AC6213" s="2"/>
    </row>
    <row r="6217" spans="1:29">
      <c r="Y6217" s="2"/>
    </row>
    <row r="6222" spans="1:29">
      <c r="A6222" s="2"/>
      <c r="B6222" s="2"/>
      <c r="F6222" s="2"/>
      <c r="G6222" s="2"/>
      <c r="H6222" s="2"/>
      <c r="I6222" s="2"/>
      <c r="J6222" s="2"/>
      <c r="K6222" s="2"/>
      <c r="M6222" s="18">
        <v>1500</v>
      </c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Z6222" s="2"/>
      <c r="AA6222" s="2"/>
      <c r="AB6222" s="2"/>
      <c r="AC6222" s="2"/>
    </row>
    <row r="6253" spans="25:25">
      <c r="Y6253" s="2"/>
    </row>
    <row r="6254" spans="25:25">
      <c r="Y6254" s="2"/>
    </row>
    <row r="6255" spans="25:25">
      <c r="Y6255" s="2"/>
    </row>
    <row r="6258" spans="1:29">
      <c r="A6258" s="2"/>
      <c r="B6258" s="2"/>
      <c r="F6258" s="2"/>
      <c r="G6258" s="2"/>
      <c r="H6258" s="2"/>
      <c r="I6258" s="2"/>
      <c r="J6258" s="2"/>
      <c r="K6258" s="2"/>
      <c r="L6258" s="17">
        <v>2600</v>
      </c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Z6258" s="2"/>
      <c r="AA6258" s="2"/>
      <c r="AB6258" s="2"/>
      <c r="AC6258" s="2"/>
    </row>
    <row r="6259" spans="1:29">
      <c r="A6259" s="2"/>
      <c r="B6259" s="2"/>
      <c r="F6259" s="2"/>
      <c r="G6259" s="2"/>
      <c r="H6259" s="2"/>
      <c r="I6259" s="2"/>
      <c r="J6259" s="2"/>
      <c r="K6259" s="2"/>
      <c r="L6259" s="17">
        <v>313</v>
      </c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Z6259" s="2"/>
      <c r="AA6259" s="2"/>
      <c r="AB6259" s="2"/>
      <c r="AC6259" s="2"/>
    </row>
    <row r="6260" spans="1:29">
      <c r="A6260" s="2"/>
      <c r="B6260" s="2"/>
      <c r="F6260" s="2"/>
      <c r="G6260" s="2"/>
      <c r="H6260" s="2"/>
      <c r="I6260" s="2"/>
      <c r="J6260" s="2"/>
      <c r="K6260" s="2"/>
      <c r="M6260" s="18">
        <v>2600</v>
      </c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Z6260" s="2"/>
      <c r="AA6260" s="2"/>
      <c r="AB6260" s="2"/>
      <c r="AC6260" s="2"/>
    </row>
    <row r="6284" spans="25:25">
      <c r="Y6284" s="2"/>
    </row>
    <row r="6289" spans="1:29">
      <c r="A6289" s="2"/>
      <c r="B6289" s="2"/>
      <c r="F6289" s="2"/>
      <c r="G6289" s="2"/>
      <c r="H6289" s="2"/>
      <c r="I6289" s="2"/>
      <c r="J6289" s="2"/>
      <c r="K6289" s="2"/>
      <c r="L6289" s="17">
        <v>2700</v>
      </c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Z6289" s="2"/>
      <c r="AA6289" s="2"/>
      <c r="AB6289" s="2"/>
      <c r="AC6289" s="2"/>
    </row>
    <row r="6291" spans="1:29">
      <c r="Y6291" s="2"/>
    </row>
    <row r="6296" spans="1:29">
      <c r="A6296" s="2"/>
      <c r="B6296" s="2"/>
      <c r="F6296" s="2"/>
      <c r="G6296" s="2"/>
      <c r="H6296" s="2"/>
      <c r="I6296" s="2"/>
      <c r="J6296" s="2"/>
      <c r="K6296" s="2"/>
      <c r="L6296" s="2"/>
      <c r="M6296" s="18">
        <v>2700</v>
      </c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Z6296" s="2"/>
      <c r="AA6296" s="2"/>
      <c r="AB6296" s="2"/>
      <c r="AC6296" s="2"/>
    </row>
    <row r="6303" spans="1:29">
      <c r="Y6303" s="2"/>
    </row>
    <row r="6308" spans="1:29">
      <c r="A6308" s="2"/>
      <c r="B6308" s="2"/>
      <c r="F6308" s="2"/>
      <c r="G6308" s="2"/>
      <c r="H6308" s="2"/>
      <c r="I6308" s="2"/>
      <c r="J6308" s="2"/>
      <c r="K6308" s="2"/>
      <c r="L6308" s="2"/>
      <c r="M6308" s="18">
        <v>100</v>
      </c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Z6308" s="2"/>
      <c r="AA6308" s="2"/>
      <c r="AB6308" s="2"/>
      <c r="AC6308" s="2"/>
    </row>
    <row r="6316" spans="1:29">
      <c r="Y6316" s="2"/>
    </row>
    <row r="6321" spans="1:29">
      <c r="A6321" s="2"/>
      <c r="B6321" s="2"/>
      <c r="F6321" s="2"/>
      <c r="G6321" s="2"/>
      <c r="H6321" s="2"/>
      <c r="I6321" s="2"/>
      <c r="J6321" s="2"/>
      <c r="K6321" s="2"/>
      <c r="L6321" s="17">
        <v>1500</v>
      </c>
      <c r="M6321" s="18">
        <v>650</v>
      </c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Z6321" s="2"/>
      <c r="AA6321" s="2"/>
      <c r="AB6321" s="2"/>
      <c r="AC6321" s="2"/>
    </row>
    <row r="6352" spans="25:25">
      <c r="Y6352" s="2"/>
    </row>
    <row r="6356" spans="1:29">
      <c r="Y6356" s="2"/>
    </row>
    <row r="6357" spans="1:29">
      <c r="A6357" s="2"/>
      <c r="B6357" s="2"/>
      <c r="F6357" s="2"/>
      <c r="G6357" s="2"/>
      <c r="H6357" s="2"/>
      <c r="I6357" s="2"/>
      <c r="J6357" s="2"/>
      <c r="K6357" s="2"/>
      <c r="L6357" s="17">
        <v>3500</v>
      </c>
      <c r="M6357" s="18">
        <v>1900</v>
      </c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Z6357" s="2"/>
      <c r="AA6357" s="2"/>
      <c r="AB6357" s="2"/>
      <c r="AC6357" s="2"/>
    </row>
    <row r="6361" spans="1:29">
      <c r="A6361" s="2"/>
      <c r="B6361" s="2"/>
      <c r="F6361" s="2"/>
      <c r="G6361" s="2"/>
      <c r="H6361" s="2"/>
      <c r="I6361" s="2"/>
      <c r="J6361" s="2"/>
      <c r="K6361" s="2"/>
      <c r="L6361" s="17">
        <v>3800</v>
      </c>
      <c r="M6361" s="18">
        <v>4600</v>
      </c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Z6361" s="2"/>
      <c r="AA6361" s="2"/>
      <c r="AB6361" s="2"/>
      <c r="AC6361" s="2"/>
    </row>
    <row r="6381" spans="25:25">
      <c r="Y6381" s="2"/>
    </row>
    <row r="6386" spans="1:29">
      <c r="A6386" s="2"/>
      <c r="B6386" s="2"/>
      <c r="F6386" s="2"/>
      <c r="G6386" s="2"/>
      <c r="H6386" s="2"/>
      <c r="I6386" s="2"/>
      <c r="J6386" s="2"/>
      <c r="K6386" s="2"/>
      <c r="L6386" s="17">
        <v>882</v>
      </c>
      <c r="M6386" s="18">
        <v>2200</v>
      </c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Z6386" s="2"/>
      <c r="AA6386" s="2"/>
      <c r="AB6386" s="2"/>
      <c r="AC6386" s="2"/>
    </row>
    <row r="6410" spans="1:29">
      <c r="Y6410" s="2"/>
    </row>
    <row r="6415" spans="1:29">
      <c r="A6415" s="2"/>
      <c r="B6415" s="2"/>
      <c r="F6415" s="2"/>
      <c r="G6415" s="2"/>
      <c r="H6415" s="2"/>
      <c r="I6415" s="2"/>
      <c r="J6415" s="2"/>
      <c r="K6415" s="2"/>
      <c r="L6415" s="17">
        <v>6276</v>
      </c>
      <c r="M6415" s="18">
        <v>1000</v>
      </c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Z6415" s="2"/>
      <c r="AA6415" s="2"/>
      <c r="AB6415" s="2"/>
      <c r="AC6415" s="2"/>
    </row>
    <row r="6426" spans="1:29">
      <c r="Y6426" s="2"/>
    </row>
    <row r="6428" spans="1:29">
      <c r="Y6428" s="2"/>
    </row>
    <row r="6431" spans="1:29">
      <c r="A6431" s="2"/>
      <c r="B6431" s="2"/>
      <c r="F6431" s="2"/>
      <c r="G6431" s="2"/>
      <c r="H6431" s="2"/>
      <c r="I6431" s="2"/>
      <c r="J6431" s="2"/>
      <c r="K6431" s="2"/>
      <c r="L6431" s="2"/>
      <c r="M6431" s="18">
        <v>7900</v>
      </c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Z6431" s="2"/>
      <c r="AA6431" s="2"/>
      <c r="AB6431" s="2"/>
      <c r="AC6431" s="2"/>
    </row>
    <row r="6433" spans="1:29">
      <c r="A6433" s="2"/>
      <c r="B6433" s="2"/>
      <c r="F6433" s="2"/>
      <c r="G6433" s="2"/>
      <c r="H6433" s="2"/>
      <c r="I6433" s="2"/>
      <c r="J6433" s="2"/>
      <c r="K6433" s="2"/>
      <c r="L6433" s="2"/>
      <c r="M6433" s="18">
        <v>300</v>
      </c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Z6433" s="2"/>
      <c r="AA6433" s="2"/>
      <c r="AB6433" s="2"/>
      <c r="AC6433" s="2"/>
    </row>
    <row r="6446" spans="1:29">
      <c r="Y6446" s="2"/>
    </row>
    <row r="6451" spans="1:29">
      <c r="A6451" s="2"/>
      <c r="B6451" s="2"/>
      <c r="F6451" s="2"/>
      <c r="G6451" s="2"/>
      <c r="H6451" s="2"/>
      <c r="I6451" s="2"/>
      <c r="J6451" s="2"/>
      <c r="K6451" s="2"/>
      <c r="L6451" s="17">
        <v>1300</v>
      </c>
      <c r="M6451" s="18">
        <v>1100</v>
      </c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Z6451" s="2"/>
      <c r="AA6451" s="2"/>
      <c r="AB6451" s="2"/>
      <c r="AC6451" s="2"/>
    </row>
    <row r="6471" spans="1:29">
      <c r="Y6471" s="2"/>
    </row>
    <row r="6476" spans="1:29">
      <c r="A6476" s="2"/>
      <c r="B6476" s="2"/>
      <c r="F6476" s="2"/>
      <c r="G6476" s="2"/>
      <c r="H6476" s="2"/>
      <c r="I6476" s="2"/>
      <c r="J6476" s="2"/>
      <c r="K6476" s="2"/>
      <c r="L6476" s="2"/>
      <c r="M6476" s="18">
        <v>2600</v>
      </c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Z6476" s="2"/>
      <c r="AA6476" s="2"/>
      <c r="AB6476" s="2"/>
      <c r="AC6476" s="2"/>
    </row>
    <row r="6477" spans="1:29">
      <c r="Y6477" s="2"/>
    </row>
    <row r="6482" spans="1:29">
      <c r="A6482" s="2"/>
      <c r="B6482" s="2"/>
      <c r="F6482" s="2"/>
      <c r="G6482" s="2"/>
      <c r="H6482" s="2"/>
      <c r="I6482" s="2"/>
      <c r="J6482" s="2"/>
      <c r="K6482" s="2"/>
      <c r="L6482" s="2"/>
      <c r="M6482" s="18">
        <v>2100</v>
      </c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Z6482" s="2"/>
      <c r="AA6482" s="2"/>
      <c r="AB6482" s="2"/>
      <c r="AC6482" s="2"/>
    </row>
    <row r="6783" spans="25:25">
      <c r="Y6783" s="2"/>
    </row>
    <row r="6788" spans="1:29">
      <c r="A6788" s="2"/>
      <c r="B6788" s="2"/>
      <c r="F6788" s="2"/>
      <c r="G6788" s="2"/>
      <c r="H6788" s="2"/>
      <c r="I6788" s="2"/>
      <c r="J6788" s="2"/>
      <c r="K6788" s="2"/>
      <c r="L6788" s="17">
        <v>585</v>
      </c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Z6788" s="2"/>
      <c r="AA6788" s="2"/>
      <c r="AB6788" s="2"/>
      <c r="AC6788" s="2"/>
    </row>
    <row r="6790" spans="1:29">
      <c r="Y6790" s="2"/>
    </row>
    <row r="6795" spans="1:29">
      <c r="A6795" s="2"/>
      <c r="B6795" s="2"/>
      <c r="F6795" s="2"/>
      <c r="G6795" s="2"/>
      <c r="H6795" s="2"/>
      <c r="I6795" s="2"/>
      <c r="J6795" s="2"/>
      <c r="K6795" s="2"/>
      <c r="L6795" s="2"/>
      <c r="M6795" s="18">
        <v>1100</v>
      </c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Z6795" s="2"/>
      <c r="AA6795" s="2"/>
      <c r="AB6795" s="2"/>
      <c r="AC6795" s="2"/>
    </row>
    <row r="6804" spans="1:29">
      <c r="Y6804" s="2"/>
    </row>
    <row r="6809" spans="1:29">
      <c r="A6809" s="2"/>
      <c r="B6809" s="2"/>
      <c r="F6809" s="2"/>
      <c r="G6809" s="2"/>
      <c r="H6809" s="2"/>
      <c r="I6809" s="2"/>
      <c r="J6809" s="2"/>
      <c r="K6809" s="2"/>
      <c r="L6809" s="2"/>
      <c r="M6809" s="18">
        <v>30</v>
      </c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Z6809" s="2"/>
      <c r="AA6809" s="2"/>
      <c r="AB6809" s="2"/>
      <c r="AC6809" s="2"/>
    </row>
    <row r="6836" spans="1:29">
      <c r="Y6836" s="2"/>
    </row>
    <row r="6841" spans="1:29">
      <c r="A6841" s="2"/>
      <c r="B6841" s="2"/>
      <c r="F6841" s="2"/>
      <c r="G6841" s="2"/>
      <c r="H6841" s="2"/>
      <c r="I6841" s="2"/>
      <c r="J6841" s="2"/>
      <c r="K6841" s="2"/>
      <c r="L6841" s="2"/>
      <c r="M6841" s="18">
        <v>1140</v>
      </c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Z6841" s="2"/>
      <c r="AA6841" s="2"/>
      <c r="AB6841" s="2"/>
      <c r="AC6841" s="2"/>
    </row>
  </sheetData>
  <autoFilter ref="A4:AB4883" xr:uid="{00000000-0009-0000-0000-000000000000}"/>
  <mergeCells count="19"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  <mergeCell ref="A4870:F4870"/>
    <mergeCell ref="A4882:F4882"/>
    <mergeCell ref="A4883:F4883"/>
    <mergeCell ref="G3:K3"/>
    <mergeCell ref="E3:E4"/>
    <mergeCell ref="A4863:F4863"/>
    <mergeCell ref="A4869:F4869"/>
    <mergeCell ref="A3:A4"/>
    <mergeCell ref="C3:C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50"/>
  <sheetViews>
    <sheetView topLeftCell="A4727" workbookViewId="0">
      <selection activeCell="D4617" sqref="D4617"/>
    </sheetView>
  </sheetViews>
  <sheetFormatPr defaultRowHeight="14.25"/>
  <cols>
    <col min="2" max="2" width="11.75" customWidth="1"/>
    <col min="3" max="3" width="17.75" customWidth="1"/>
    <col min="4" max="5" width="15" customWidth="1"/>
    <col min="6" max="6" width="32.8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6.5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6.5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6.5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6.5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6.5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6.5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6.5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6.5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6.5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6.5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6.5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6.5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6.5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6.5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6.5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6.5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6.5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6.5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6.5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6.5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6.5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6.5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6.5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6.5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6.5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6.5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6.5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6.5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6.5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6.5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6.5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6.5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6.5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6.5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6.5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6.5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6.5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6.5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6.5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6.5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6.5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6.5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6.5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6.5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6.5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6.5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6.5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6.5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6.5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6.5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6.5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6.5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6.5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6.5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6.5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6.5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6.5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6.5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6.5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6.5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6.5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6.5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6.5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6.5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6.5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6.5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6.5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6.5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6.5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6.5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6.5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6.5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6.5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6.5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6.5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6.5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6.5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6.5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6.5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6.5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6.5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6.5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6.5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6.5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6.5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6.5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6.5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6.5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6.5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6.5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6.5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6.5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6.5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6.5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6.5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6.5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6.5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6.5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6.5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6.5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6.5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6.5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6.5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6.5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6.5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6.5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6.5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6.5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6.5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6.5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6.5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6.5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6.5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6.5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6.5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6.5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6.5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6.5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6.5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6.5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6.5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6.5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6.5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6.5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6.5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6.5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6.5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6.5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6.5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6.5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6.5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6.5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6.5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6.5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6.5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6.5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6.5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6.5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6.5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6.5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6.5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6.5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6.5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6.5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6.5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6.5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6.5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6.5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6.5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6.5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6.5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6.5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6.5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6.5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6.5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6.5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6.5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6.5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6.5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6.5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6.5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6.5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6.5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6.5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6.5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6.5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6.5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6.5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6.5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6.5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6.5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6.5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6.5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6.5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6.5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6.5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6.5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6.5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6.5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6.5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6.5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6.5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6.5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6.5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6.5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6.5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6.5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6.5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6.5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6.5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6.5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6.5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6.5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6.5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6.5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6.5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6.5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6.5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6.5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6.5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6.5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6.5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6.5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6.5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6.5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6.5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6.5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6.5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6.5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6.5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6.5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6.5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6.5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6.5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6.5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6.5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6.5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6.5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6.5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6.5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6.5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6.5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6.5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6.5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6.5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6.5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6.5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6.5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6.5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6.5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6.5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6.5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6.5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6.5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6.5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6.5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6.5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6.5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6.5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6.5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6.5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6.5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6.5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6.5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6.5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6.5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6.5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6.5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6.5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6.5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6.5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6.5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6.5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6.5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6.5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6.5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6.5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6.5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6.5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6.5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6.5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6.5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6.5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6.5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6.5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6.5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6.5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6.5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6.5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6.5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6.5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6.5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6.5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6.5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6.5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6.5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6.5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6.5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6.5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6.5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6.5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6.5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6.5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6.5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6.5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6.5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6.5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6.5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6.5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6.5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6.5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6.5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6.5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6.5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6.5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6.5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6.5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6.5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6.5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6.5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6.5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6.5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6.5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6.5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6.5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6.5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6.5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6.5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6.5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6.5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6.5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6.5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6.5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6.5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6.5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6.5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6.5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6.5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6.5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6.5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6.5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6.5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6.5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6.5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6.5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6.5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6.5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6.5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6.5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6.5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6.5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6.5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6.5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6.5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6.5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6.5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6.5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6.5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6.5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6.5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6.5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6.5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6.5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6.5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6.5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6.5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6.5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6.5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6.5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6.5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6.5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6.5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6.5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6.5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6.5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6.5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6.5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6.5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6.5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6.5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6.5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6.5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6.5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6.5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6.5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6.5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6.5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6.5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6.5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6.5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6.5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6.5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6.5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6.5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6.5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6.5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6.5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6.5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6.5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6.5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6.5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6.5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6.5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6.5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6.5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6.5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6.5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6.5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6.5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6.5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6.5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6.5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6.5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6.5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6.5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6.5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6.5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6.5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6.5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6.5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6.5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6.5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6.5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6.5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6.5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6.5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6.5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6.5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6.5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6.5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6.5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6.5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6.5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6.5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6.5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6.5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6.5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6.5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6.5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6.5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6.5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6.5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6.5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6.5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6.5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6.5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6.5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6.5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6.5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6.5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6.5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6.5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6.5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6.5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6.5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6.5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6.5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6.5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6.5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6.5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6.5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6.5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6.5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6.5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6.5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6.5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6.5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6.5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6.5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6.5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6.5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6.5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6.5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6.5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6.5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6.5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6.5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6.5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6.5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6.5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6.5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6.5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6.5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6.5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6.5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6.5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6.5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6.5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6.5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6.5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6.5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6.5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6.5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6.5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6.5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6.5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6.5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6.5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6.5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6.5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6.5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6.5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6.5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6.5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6.5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6.5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6.5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6.5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6.5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6.5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6.5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6.5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6.5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6.5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6.5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6.5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6.5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6.5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6.5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6.5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6.5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6.5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6.5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6.5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6.5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6.5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6.5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6.5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6.5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6.5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6.5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6.5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6.5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6.5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6.5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6.5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6.5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6.5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6.5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6.5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6.5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6.5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6.5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6.5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6.5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6.5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6.5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6.5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6.5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6.5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6.5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6.5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6.5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6.5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6.5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6.5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6.5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6.5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6.5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6.5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6.5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6.5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6.5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6.5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6.5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6.5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6.5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6.5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6.5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6.5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6.5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6.5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6.5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6.5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6.5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6.5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6.5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6.5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6.5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6.5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6.5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6.5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6.5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6.5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6.5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6.5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6.5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6.5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6.5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6.5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6.5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6.5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6.5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6.5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6.5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6.5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6.5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6.5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6.5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6.5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6.5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6.5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6.5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6.5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6.5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6.5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6.5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6.5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6.5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6.5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6.5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6.5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6.5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6.5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6.5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6.5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6.5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6.5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6.5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6.5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6.5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6.5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6.5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6.5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6.5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6.5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6.5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6.5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6.5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6.5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6.5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6.5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6.5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6.5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6.5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6.5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6.5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6.5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6.5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6.5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6.5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6.5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6.5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6.5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6.5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6.5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6.5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6.5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6.5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6.5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6.5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6.5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6.5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6.5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6.5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6.5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6.5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6.5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6.5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6.5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6.5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6.5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6.5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6.5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6.5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6.5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6.5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6.5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6.5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6.5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6.5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6.5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6.5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6.5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6.5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6.5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6.5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6.5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6.5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6.5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6.5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6.5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6.5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6.5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6.5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6.5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6.5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6.5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6.5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6.5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6.5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6.5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6.5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6.5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6.5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6.5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6.5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6.5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6.5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6.5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6.5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6.5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6.5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6.5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6.5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6.5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6.5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6.5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6.5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6.5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6.5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6.5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6.5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6.5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6.5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6.5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6.5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6.5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6.5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6.5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6.5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6.5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6.5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6.5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6.5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6.5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6.5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6.5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6.5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6.5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6.5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6.5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6.5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6.5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6.5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6.5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6.5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6.5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6.5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6.5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6.5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6.5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6.5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6.5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6.5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6.5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6.5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6.5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6.5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6.5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6.5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6.5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6.5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6.5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6.5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6.5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6.5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6.5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6.5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6.5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6.5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6.5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6.5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6.5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6.5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6.5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6.5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6.5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6.5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6.5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6.5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6.5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6.5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6.5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6.5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6.5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6.5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6.5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6.5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6.5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6.5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6.5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6.5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6.5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6.5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6.5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6.5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6.5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6.5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6.5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6.5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6.5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6.5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6.5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6.5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6.5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6.5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6.5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6.5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6.5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6.5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6.5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6.5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6.5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6.5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6.5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6.5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6.5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6.5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6.5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6.5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6.5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6.5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6.5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6.5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6.5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6.5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6.5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6.5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6.5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6.5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6.5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6.5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6.5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6.5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6.5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6.5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6.5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6.5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6.5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6.5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6.5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6.5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6.5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6.5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6.5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6.5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6.5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6.5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6.5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6.5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6.5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6.5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6.5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6.5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6.5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6.5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6.5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6.5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6.5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6.5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6.5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6.5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6.5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6.5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6.5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6.5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6.5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6.5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6.5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6.5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6.5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6.5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6.5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6.5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6.5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6.5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6.5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6.5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6.5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6.5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6.5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6.5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6.5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6.5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6.5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6.5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6.5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6.5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6.5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6.5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6.5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6.5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6.5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6.5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6.5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6.5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6.5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6.5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6.5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6.5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6.5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6.5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6.5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6.5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6.5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6.5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6.5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6.5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6.5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6.5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6.5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6.5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6.5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6.5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6.5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6.5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6.5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6.5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6.5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6.5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6.5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6.5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6.5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6.5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6.5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6.5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6.5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6.5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6.5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6.5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6.5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6.5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6.5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6.5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6.5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6.5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6.5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6.5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6.5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6.5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6.5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6.5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6.5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6.5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6.5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6.5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6.5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6.5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6.5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6.5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6.5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6.5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6.5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6.5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6.5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6.5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6.5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6.5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6.5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6.5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6.5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6.5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6.5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6.5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6.5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6.5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6.5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6.5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6.5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6.5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6.5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6.5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6.5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6.5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6.5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6.5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6.5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6.5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6.5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6.5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6.5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6.5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6.5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6.5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6.5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6.5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6.5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6.5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6.5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6.5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6.5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6.5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6.5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6.5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6.5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6.5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6.5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6.5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6.5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6.5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6.5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6.5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6.5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6.5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6.5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6.5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6.5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6.5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6.5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6.5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6.5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6.5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6.5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6.5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6.5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6.5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6.5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6.5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6.5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6.5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6.5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6.5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6.5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6.5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6.5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6.5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6.5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6.5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6.5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6.5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6.5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6.5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6.5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6.5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6.5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6.5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6.5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6.5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6.5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6.5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6.5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6.5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6.5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6.5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6.5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6.5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6.5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6.5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6.5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6.5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6.5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6.5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6.5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6.5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6.5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6.5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6.5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6.5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6.5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6.5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6.5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6.5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6.5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6.5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6.5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6.5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6.5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6.5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6.5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6.5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6.5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6.5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6.5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6.5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6.5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6.5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6.5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6.5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6.5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6.5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6.5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6.5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6.5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6.5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6.5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6.5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6.5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6.5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6.5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6.5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6.5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6.5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6.5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6.5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6.5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6.5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6.5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6.5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6.5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6.5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6.5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6.5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6.5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6.5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6.5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6.5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6.5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6.5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6.5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6.5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6.5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6.5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6.5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6.5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6.5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6.5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6.5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6.5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6.5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6.5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6.5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6.5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6.5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6.5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6.5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6.5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6.5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6.5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6.5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6.5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6.5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6.5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6.5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6.5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6.5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6.5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6.5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6.5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6.5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6.5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6.5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6.5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6.5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6.5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6.5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6.5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6.5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6.5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6.5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6.5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6.5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6.5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6.5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6.5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6.5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6.5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6.5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6.5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6.5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6.5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6.5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6.5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6.5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6.5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6.5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6.5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6.5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6.5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6.5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6.5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6.5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6.5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6.5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6.5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6.5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6.5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6.5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6.5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6.5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6.5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6.5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6.5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6.5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6.5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6.5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6.5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6.5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6.5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6.5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6.5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6.5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6.5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6.5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6.5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6.5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6.5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6.5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6.5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6.5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6.5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6.5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6.5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6.5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6.5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6.5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6.5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6.5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6.5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6.5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6.5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6.5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6.5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6.5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6.5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6.5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6.5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6.5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6.5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6.5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6.5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6.5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6.5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6.5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6.5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6.5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6.5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6.5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6.5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6.5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6.5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6.5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6.5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6.5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6.5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6.5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6.5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6.5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6.5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6.5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6.5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6.5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6.5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6.5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6.5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6.5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6.5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6.5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6.5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6.5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6.5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6.5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6.5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6.5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6.5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6.5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6.5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6.5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6.5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6.5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6.5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6.5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6.5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6.5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6.5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6.5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6.5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6.5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6.5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6.5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6.5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6.5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6.5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6.5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6.5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6.5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6.5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6.5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6.5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6.5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6.5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6.5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6.5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6.5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6.5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6.5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6.5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6.5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6.5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6.5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6.5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6.5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6.5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6.5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6.5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6.5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6.5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6.5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6.5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6.5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6.5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6.5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6.5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6.5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6.5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6.5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6.5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6.5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6.5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6.5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6.5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6.5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6.5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6.5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6.5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6.5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6.5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6.5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6.5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6.5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6.5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6.5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6.5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6.5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6.5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6.5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6.5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6.5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6.5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6.5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6.5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6.5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6.5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6.5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6.5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6.5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6.5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6.5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6.5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6.5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6.5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6.5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6.5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6.5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6.5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6.5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6.5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6.5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6.5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6.5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6.5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6.5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6.5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6.5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6.5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6.5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6.5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6.5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6.5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6.5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6.5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6.5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6.5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6.5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6.5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6.5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6.5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6.5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6.5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6.5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6.5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6.5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6.5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6.5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6.5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6.5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6.5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6.5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6.5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6.5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6.5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6.5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6.5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6.5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6.5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6.5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6.5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6.5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6.5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6.5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6.5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6.5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6.5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6.5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6.5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6.5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6.5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6.5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6.5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6.5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6.5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6.5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6.5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6.5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6.5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6.5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6.5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6.5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6.5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6.5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6.5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6.5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6.5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6.5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6.5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6.5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6.5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6.5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6.5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6.5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6.5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6.5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6.5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6.5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6.5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6.5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6.5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6.5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6.5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6.5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6.5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6.5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6.5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6.5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6.5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6.5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6.5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6.5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6.5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6.5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6.5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6.5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6.5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6.5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6.5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6.5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6.5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6.5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6.5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6.5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6.5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6.5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6.5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6.5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6.5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6.5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6.5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6.5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6.5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6.5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6.5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6.5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6.5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6.5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6.5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6.5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6.5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6.5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6.5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6.5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6.5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6.5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6.5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6.5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6.5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6.5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6.5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6.5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6.5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6.5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6.5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6.5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6.5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6.5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6.5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6.5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6.5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6.5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6.5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6.5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6.5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6.5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6.5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6.5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6.5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6.5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6.5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6.5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6.5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6.5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6.5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6.5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6.5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6.5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6.5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6.5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6.5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6.5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6.5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6.5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6.5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6.5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6.5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6.5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6.5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6.5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6.5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6.5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6.5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6.5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6.5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6.5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6.5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6.5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6.5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6.5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6.5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6.5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6.5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6.5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6.5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6.5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6.5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6.5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6.5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6.5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6.5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6.5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6.5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6.5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6.5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6.5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6.5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6.5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6.5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6.5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6.5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6.5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6.5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6.5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6.5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6.5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6.5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6.5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6.5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6.5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6.5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6.5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6.5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6.5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6.5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6.5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6.5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6.5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6.5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6.5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6.5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6.5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6.5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6.5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6.5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6.5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6.5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6.5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6.5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6.5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6.5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6.5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6.5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6.5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6.5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6.5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6.5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6.5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6.5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6.5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6.5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6.5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6.5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6.5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6.5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6.5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6.5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6.5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6.5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6.5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6.5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6.5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6.5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6.5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6.5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6.5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6.5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6.5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6.5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6.5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6.5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6.5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6.5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6.5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6.5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6.5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6.5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6.5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6.5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6.5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6.5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6.5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6.5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6.5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6.5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6.5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6.5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6.5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6.5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6.5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6.5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6.5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6.5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6.5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6.5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6.5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6.5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6.5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6.5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6.5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6.5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6.5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6.5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6.5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6.5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6.5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6.5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6.5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6.5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6.5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6.5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6.5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6.5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6.5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6.5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6.5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6.5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6.5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6.5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6.5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6.5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6.5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6.5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6.5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6.5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6.5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6.5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6.5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6.5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6.5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6.5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6.5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6.5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6.5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6.5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6.5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6.5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6.5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6.5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6.5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6.5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6.5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6.5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6.5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6.5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6.5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6.5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6.5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6.5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6.5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6.5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6.5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6.5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6.5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6.5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6.5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6.5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6.5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6.5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6.5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6.5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6.5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6.5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6.5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6.5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6.5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6.5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6.5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6.5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6.5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6.5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6.5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6.5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6.5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6.5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6.5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6.5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6.5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6.5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6.5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6.5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6.5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6.5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6.5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6.5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6.5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6.5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6.5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6.5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6.5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6.5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6.5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6.5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6.5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6.5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6.5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6.5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6.5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6.5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6.5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6.5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6.5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6.5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6.5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6.5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6.5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6.5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6.5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6.5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6.5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6.5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6.5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6.5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6.5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6.5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6.5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6.5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6.5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6.5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6.5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6.5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6.5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6.5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6.5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6.5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6.5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6.5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6.5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6.5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6.5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6.5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6.5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6.5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6.5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6.5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6.5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6.5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6.5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6.5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6.5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6.5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6.5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6.5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6.5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6.5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6.5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6.5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6.5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6.5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6.5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6.5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6.5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6.5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6.5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6.5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6.5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6.5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6.5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6.5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6.5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6.5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6.5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6.5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6.5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6.5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6.5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6.5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6.5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6.5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6.5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6.5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6.5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6.5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6.5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6.5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6.5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6.5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6.5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6.5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6.5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6.5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6.5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6.5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6.5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6.5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6.5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6.5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6.5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6.5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6.5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6.5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6.5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6.5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6.5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6.5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6.5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6.5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6.5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6.5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6.5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6.5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6.5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6.5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6.5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6.5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6.5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6.5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6.5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6.5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6.5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6.5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6.5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6.5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6.5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6.5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6.5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6.5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6.5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6.5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6.5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6.5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6.5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6.5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6.5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6.5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6.5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6.5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6.5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6.5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6.5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6.5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6.5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6.5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6.5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6.5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6.5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6.5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6.5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6.5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6.5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6.5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6.5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6.5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6.5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6.5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6.5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6.5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6.5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6.5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6.5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6.5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6.5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6.5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6.5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6.5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6.5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6.5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6.5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6.5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6.5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6.5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6.5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6.5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6.5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6.5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6.5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6.5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6.5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6.5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6.5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6.5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6.5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6.5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6.5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6.5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6.5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6.5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6.5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6.5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6.5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6.5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6.5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6.5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6.5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6.5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6.5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6.5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6.5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6.5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6.5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6.5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6.5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6.5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6.5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6.5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6.5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6.5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6.5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6.5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6.5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6.5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6.5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6.5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6.5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6.5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6.5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6.5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6.5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6.5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6.5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6.5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6.5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6.5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6.5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6.5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6.5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6.5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6.5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6.5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6.5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6.5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6.5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6.5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6.5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6.5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6.5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6.5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6.5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6.5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6.5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6.5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6.5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6.5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6.5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6.5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6.5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6.5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6.5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6.5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6.5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6.5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6.5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6.5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6.5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6.5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6.5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6.5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6.5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6.5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6.5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6.5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6.5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6.5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6.5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6.5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6.5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6.5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6.5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6.5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6.5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6.5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6.5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6.5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6.5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6.5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6.5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6.5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6.5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6.5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6.5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6.5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6.5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6.5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6.5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6.5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6.5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6.5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6.5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6.5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6.5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6.5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6.5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6.5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6.5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6.5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6.5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6.5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6.5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6.5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6.5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6.5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6.5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6.5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6.5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6.5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6.5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6.5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6.5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6.5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6.5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6.5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6.5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6.5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6.5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6.5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6.5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6.5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6.5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6.5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6.5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6.5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6.5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6.5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6.5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6.5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6.5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6.5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6.5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6.5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6.5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6.5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6.5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6.5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6.5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6.5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6.5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6.5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6.5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6.5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6.5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6.5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6.5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6.5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6.5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6.5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6.5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6.5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6.5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6.5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6.5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6.5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6.5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6.5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6.5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6.5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6.5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6.5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6.5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6.5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6.5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6.5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6.5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6.5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6.5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6.5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6.5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6.5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6.5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6.5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6.5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6.5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6.5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6.5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6.5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6.5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6.5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6.5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6.5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6.5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6.5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6.5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6.5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6.5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6.5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6.5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6.5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6.5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6.5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6.5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6.5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6.5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6.5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6.5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6.5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6.5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6.5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6.5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6.5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6.5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6.5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6.5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6.5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6.5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6.5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6.5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6.5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6.5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6.5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6.5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6.5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6.5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6.5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6.5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6.5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6.5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6.5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6.5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6.5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6.5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6.5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6.5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6.5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6.5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6.5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6.5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6.5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6.5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6.5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6.5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6.5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6.5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6.5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6.5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6.5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6.5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6.5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6.5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6.5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6.5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6.5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6.5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6.5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6.5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6.5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6.5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6.5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6.5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6.5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6.5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6.5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6.5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6.5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6.5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6.5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6.5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6.5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6.5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6.5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6.5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6.5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6.5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6.5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6.5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6.5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6.5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6.5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6.5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6.5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6.5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6.5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6.5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6.5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6.5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6.5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6.5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6.5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6.5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6.5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6.5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6.5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6.5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6.5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6.5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6.5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6.5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6.5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6.5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6.5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6.5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6.5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6.5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6.5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6.5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6.5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6.5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6.5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6.5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6.5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6.5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6.5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6.5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6.5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6.5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6.5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6.5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6.5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6.5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6.5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6.5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6.5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6.5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6.5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6.5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6.5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6.5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6.5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6.5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6.5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6.5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6.5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6.5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6.5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6.5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6.5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6.5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6.5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6.5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6.5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6.5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6.5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6.5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6.5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6.5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6.5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6.5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6.5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6.5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6.5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6.5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6.5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6.5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6.5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6.5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6.5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6.5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6.5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6.5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6.5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6.5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6.5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6.5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6.5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6.5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6.5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6.5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6.5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6.5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6.5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6.5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6.5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6.5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6.5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6.5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6.5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6.5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6.5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6.5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6.5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6.5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6.5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6.5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6.5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6.5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6.5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6.5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6.5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6.5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6.5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6.5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6.5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6.5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6.5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6.5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6.5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6.5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6.5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6.5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6.5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6.5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6.5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6.5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6.5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6.5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6.5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6.5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6.5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6.5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6.5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6.5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6.5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6.5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6.5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6.5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6.5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6.5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6.5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6.5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6.5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6.5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6.5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6.5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6.5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6.5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6.5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6.5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6.5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6.5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6.5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6.5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7.25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7.25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6.5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6.5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6.5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6.5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6.5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6.5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6.5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6.5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6.5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6.5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6.5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6.5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6.5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6.5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6.5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6.5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6.5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6.5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6.5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6.5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6.5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6.5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6.5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6.5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6.5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6.5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6.5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6.5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6.5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6.5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6.5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6.5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6.5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6.5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6.5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6.5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6.5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6.5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6.5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6.5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6.5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6.5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6.5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6.5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6.5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6.5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6.5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6.5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6.5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6.5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6.5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6.5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6.5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6.5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6.5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6.5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6.5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6.5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6.5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6.5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6.5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6.5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6.5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6.5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6.5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6.5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6.5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6.5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6.5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6.5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6.5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6.5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6.5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6.5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6.5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6.5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6.5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6.5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6.5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5.75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6.5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6.5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6.5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6.5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6.5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6.5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6.5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6.5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6.5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6.5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6.5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6.5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6.5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6.5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6.5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6.5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6.5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6.5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6.5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6.5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6.5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6.5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6.5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6.5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6.5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6.5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6.5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6.5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6.5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6.5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6.5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6.5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6.5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6.5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6.5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6.5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6.5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6.5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6.5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6.5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6.5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6.5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6.5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6.5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6.5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6.5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6.5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6.5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6.5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6.5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6.5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6.5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6.5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6.5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6.5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6.5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6.5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6.5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6.5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6.5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6.5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6.5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6.5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6.5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6.5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6.5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6.5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6.5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6.5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6.5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6.5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6.5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6.5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6.5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6.5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6.5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6.5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6.5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6.5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6.5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6.5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6.5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6.5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6.5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6.5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6.5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6.5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6.5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6.5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6.5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6.5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6.5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6.5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6.5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6.5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6.5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6.5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6.5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6.5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6.5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6.5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6.5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6.5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6.5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6.5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6.5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6.5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6.5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6.5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6.5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6.5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6.5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6.5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6.5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6.5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6.5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6.5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6.5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6.5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6.5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6.5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6.5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6.5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6.5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6.5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6.5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6.5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6.5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6.5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6.5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6.5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6.5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6.5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6.5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6.5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6.5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6.5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6.5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6.5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6.5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6.5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6.5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6.5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6.5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6.5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6.5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6.5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6.5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6.5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6.5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6.5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6.5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6.5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6.5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6.5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6.5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6.5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6.5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6.5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6.5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6.5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6.5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6.5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6.5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6.5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6.5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6.5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6.5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6.5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6.5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6.5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6.5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6.5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6.5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6.5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6.5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6.5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6.5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6.5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6.5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6.5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6.5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6.5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6.5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6.5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6.5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6.5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6.5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6.5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6.5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6.5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6.5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6.5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6.5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6.5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6.5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6.5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6.5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6.5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6.5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6.5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6.5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6.5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6.5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6.5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6.5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6.5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6.5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6.5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6.5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6.5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6.5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6.5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6.5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6.5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6.5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6.5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6.5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6.5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6.5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6.5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6.5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6.5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6.5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6.5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6.5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6.5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6.5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6.5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6.5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6.5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6.5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6.5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6.5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6.5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6.5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6.5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6.5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6.5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6.5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6.5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6.5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6.5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6.5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6.5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6.5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6.5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6.5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6.5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6.5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6.5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6.5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6.5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6.5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6.5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6.5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6.5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6.5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6.5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6.5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6.5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6.5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6.5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6.5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6.5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6.5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6.5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6.5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6.5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6.5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6.5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6.5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6.5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6.5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6.5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6.5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6.5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6.5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6.5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6.5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6.5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6.5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6.5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6.5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6.5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6.5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6.5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6.5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6.5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6.5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6.5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6.5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6.5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6.5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6.5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6.5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6.5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6.5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6.5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6.5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6.5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6.5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6.5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6.5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6.5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6.5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6.5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6.5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6.5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6.5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6.5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6.5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6.5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6.5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6.5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6.5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6.5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6.5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6.5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6.5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6.5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6.5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6.5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6.5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6.5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6.5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6.5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6.5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6.5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6.5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6.5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6.5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6.5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6.5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6.5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6.5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6.5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6.5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6.5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6.5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6.5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6.5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6.5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6.5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6.5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6.5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6.5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6.5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6.5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6.5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6.5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6.5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6.5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6.5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6.5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6.5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6.5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6.5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6.5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6.5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6.5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6.5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6.5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6.5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6.5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6.5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6.5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6.5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6.5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6.5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6.5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6.5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6.5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6.5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6.5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6.5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6.5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6.5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6.5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6.5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6.5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6.5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6.5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6.5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6.5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6.5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6.5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6.5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6.5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6.5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6.5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6.5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6.5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6.5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6.5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6.5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6.5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6.5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6.5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6.5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6.5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6.5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6.5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6.5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6.5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6.5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6.5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6.5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6.5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6.5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6.5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6.5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6.5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6.5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6.5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6.5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6.5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6.5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6.5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6.5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6.5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6.5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6.5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6.5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6.5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6.5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6.5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6.5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6.5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6.5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6.5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6.5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6.5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6.5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6.5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6.5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6.5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6.5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6.5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6.5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6.5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6.5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6.5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6.5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6.5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6.5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6.5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6.5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6.5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6.5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6.5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6.5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6.5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6.5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6.5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6.5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6.5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6.5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6.5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6.5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6.5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6.5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6.5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6.5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6.5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6.5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6.5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6.5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6.5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6.5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6.5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6.5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6.5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6.5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6.5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6.5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6.5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6.5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6.5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6.5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6.5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6.5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6.5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6.5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6.5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6.5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6.5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6.5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6.5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6.5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6.5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6.5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6.5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6.5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6.5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6.5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6.5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6.5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6.5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6.5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6.5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6.5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6.5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6.5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6.5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6.5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6.5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6.5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6.5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6.5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6.5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6.5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6.5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6.5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6.5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6.5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6.5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6.5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6.5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6.5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6.5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6.5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6.5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6.5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6.5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6.5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6.5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6.5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6.5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6.5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6.5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6.5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6.5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6.5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6.5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6.5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6.5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6.5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6.5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6.5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6.5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6.5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6.5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6.5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6.5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6.5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6.5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6.5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6.5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6.5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6.5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6.5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6.5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6.5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6.5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6.5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6.5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6.5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6.5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6.5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6.5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6.5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6.5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6.5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6.5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6.5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6.5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6.5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6.5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6.5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6.5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6.5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6.5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6.5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6.5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6.5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6.5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6.5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6.5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6.5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6.5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6.5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6.5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6.5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6.5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6.5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6.5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6.5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6.5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6.5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6.5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6.5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6.5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6.5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6.5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6.5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6.5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6.5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6.5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6.5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6.5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6.5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6.5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6.5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6.5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6.5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6.5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6.5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6.5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6.5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6.5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6.5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6.5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6.5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6.5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6.5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6.5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6.5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6.5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6.5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6.5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6.5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6.5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6.5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6.5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6.5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6.5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6.5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6.5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6.5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6.5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6.5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6.5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6.5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6.5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6.5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6.5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6.5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6.5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6.5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6.5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6.5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6.5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6.5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6.5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6.5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6.5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6.5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6.5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6.5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6.5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6.5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6.5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6.5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6.5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6.5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6.5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6.5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6.5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6.5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6.5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6.5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6.5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6.5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6.5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6.5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6.5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6.5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6.5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6.5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6.5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6.5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6.5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6.5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6.5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6.5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6.5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6.5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6.5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6.5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6.5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6.5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6.5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6.5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6.5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6.5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6.5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6.5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6.5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6.5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6.5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6.5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6.5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6.5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6.5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6.5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6.5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6.5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6.5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6.5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6.5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6.5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6.5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6.5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6.5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6.5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6.5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6.5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6.5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6.5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6.5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6.5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6.5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6.5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6.5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6.5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6.5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6.5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6.5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6.5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6.5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6.5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6.5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6.5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6.5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6.5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6.5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6.5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6.5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6.5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6.5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6.5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6.5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6.5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6.5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6.5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6.5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6.5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6.5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6.5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6.5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6.5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6.5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6.5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6.5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6.5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6.5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6.5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6.5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6.5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6.5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6.5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6.5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6.5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6.5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6.5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6.5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6.5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6.5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6.5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6.5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6.5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6.5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6.5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6.5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6.5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6.5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6.5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6.5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6.5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6.5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6.5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6.5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6.5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6.5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6.5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6.5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6.5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6.5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6.5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6.5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6.5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6.5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6.5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6.5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6.5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6.5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6.5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6.5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6.5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6.5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6.5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6.5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6.5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6.5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6.5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6.5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6.5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6.5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6.5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6.5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6.5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6.5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6.5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6.5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6.5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6.5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6.5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6.5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6.5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6.5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6.5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6.5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6.5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6.5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6.5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6.5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6.5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6.5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6.5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6.5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6.5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6.5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6.5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6.5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6.5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6.5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6.5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6.5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6.5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6.5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6.5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6.5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6.5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6.5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6.5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6.5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6.5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6.5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6.5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6.5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6.5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6.5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6.5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6.5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6.5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6.5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6.5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6.5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6.5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6.5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6.5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6.5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6.5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6.5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6.5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6.5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6.5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6.5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6.5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6.5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6.5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6.5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6.5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6.5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6.5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6.5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6.5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6.5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6.5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6.5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6.5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6.5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6.5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6.5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6.5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6.5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6.5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6.5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6.5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6.5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6.5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6.5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6.5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6.5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6.5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6.5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6.5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6.5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6.5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6.5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6.5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6.5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6.5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6.5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6.5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6.5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6.5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6.5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6.5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6.5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6.5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6.5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6.5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6.5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6.5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6.5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6.5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6.5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6.5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6.5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6.5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6.5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6.5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6.5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6.5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6.5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6.5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6.5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6.5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6.5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6.5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6.5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6.5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6.5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6.5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6.5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6.5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6.5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6.5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6.5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6.5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6.5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6.5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6.5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6.5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6.5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6.5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6.5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6.5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6.5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6.5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6.5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6.5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6.5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6.5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6.5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6.5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6.5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6.5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6.5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6.5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6.5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6.5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6.5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6.5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6.5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6.5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6.5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6.5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6.5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6.5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6.5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6.5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6.5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6.5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6.5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6.5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6.5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6.5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6.5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6.5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6.5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6.5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6.5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6.5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6.5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6.5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6.5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6.5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6.5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6.5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6.5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6.5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6.5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6.5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6.5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6.5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6.5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6.5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6.5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6.5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6.5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6.5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6.5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6.5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6.5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6.5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6.5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6.5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6.5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6.5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6.5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6.5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6.5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6.5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6.5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6.5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6.5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6.5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6.5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6.5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6.5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6.5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6.5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6.5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6.5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6.5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6.5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6.5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6.5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6.5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6.5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6.5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6.5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6.5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6.5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6.5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6.5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6.5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6.5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6.5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6.5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6.5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6.5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6.5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6.5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6.5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6.5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6.5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6.5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6.5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6.5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6.5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6.5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6.5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6.5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6.5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6.5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6.5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6.5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6.5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6.5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6.5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6.5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6.5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6.5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6.5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6.5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6.5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6.5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6.5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6.5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6.5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6.5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6.5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6.5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6.5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6.5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6.5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6.5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6.5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6.5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6.5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6.5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6.5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6.5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6.5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6.5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6.5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6.5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6.5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6.5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6.5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6.5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6.5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6.5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6.5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6.5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6.5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6.5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6.5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6.5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6.5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6.5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6.5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6.5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6.5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6.5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6.5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6.5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6.5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6.5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6.5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6.5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6.5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6.5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6.5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6.5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6.5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6.5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6.5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6.5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6.5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6.5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6.5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6.5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6.5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6.5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6.5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6.5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6.5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6.5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6.5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6.5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6.5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6.5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6.5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6.5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6.5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6.5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6.5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6.5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6.5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6.5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6.5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6.5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6.5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6.5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6.5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6.5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6.5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6.5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6.5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6.5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6.5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6.5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6.5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6.5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6.5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6.5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6.5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6.5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6.5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6.5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6.5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6.5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6.5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6.5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6.5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6.5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6.5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6.5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6.5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6.5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6.5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6.5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6.5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6.5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6.5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6.5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6.5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6.5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6.5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6.5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6.5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6.5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6.5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6.5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6.5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6.5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6.5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6.5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6.5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6.5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6.5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6.5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6.5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6.5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6.5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6.5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6.5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6.5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6.5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6.5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6.5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6.5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6.5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6.5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6.5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6.5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6.5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6.5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6.5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6.5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6.5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6.5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6.5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6.5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6.5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6.5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6.5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6.5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6.5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6.5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6.5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6.5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6.5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6.5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6.5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6.5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6.5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6.5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6.5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6.5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6.5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6.5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6.5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6.5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6.5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6.5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6.5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6.5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6.5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6.5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6.5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6.5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6.5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6.5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6.5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6.5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6.5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6.5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6.5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6.5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6.5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6.5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6.5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6.5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6.5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6.5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6.5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6.5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6.5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6.5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6.5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6.5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6.5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6.5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6.5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6.5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6.5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6.5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6.5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6.5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6.5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6.5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6.5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6.5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6.5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6.5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6.5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6.5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6.5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6.5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6.5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6.5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6.5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6.5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6.5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6.5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6.5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6.5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6.5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6.5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6.5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6.5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6.5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6.5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6.5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6.5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6.5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6.5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6.5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6.5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6.5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6.5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6.5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6.5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6.5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6.5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6.5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6.5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6.5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6.5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6.5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6.5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6.5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6.5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6.5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6.5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6.5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6.5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6.5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6.5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6.5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6.5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6.5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6.5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6.5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6.5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6.5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6.5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6.5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6.5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6.5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6.5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6.5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6.5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6.5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6.5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6.5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6.5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6.5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6.5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6.5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6.5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6.5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6.5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6.5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6.5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6.5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6.5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6.5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6.5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6.5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6.5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6.5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6.5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6.5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6.5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6.5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6.5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6.5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6.5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6.5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6.5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6.5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6.5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6.5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6.5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6.5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6.5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6.5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6.5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6.5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6.5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6.5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6.5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6.5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6.5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6.5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6.5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6.5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6.5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6.5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6.5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6.5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6.5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6.5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6.5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6.5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6.5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6.5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6.5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6.5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6.5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6.5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6.5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6.5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6.5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6.5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6.5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6.5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6.5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6.5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6.5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6.5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6.5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6.5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6.5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6.5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6.5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6.5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6.5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6.5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6.5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6.5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6.5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6.5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6.5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6.5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6.5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6.5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6.5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6.5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6.5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6.5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6.5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6.5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6.5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6.5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6.5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6.5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6.5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6.5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6.5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6.5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6.5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6.5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6.5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6.5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6.5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6.5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6.5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6.5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6.5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6.5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6.5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6.5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6.5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6.5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6.5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6.5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6.5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6.5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6.5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6.5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6.5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6.5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6.5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6.5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6.5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6.5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6.5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6.5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6.5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6.5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6.5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6.5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6.5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6.5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6.5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6.5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6.5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6.5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6.5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6.5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6.5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6.5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6.5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6.5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6.5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6.5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6.5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6.5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6.5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6.5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6.5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6.5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6.5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6.5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6.5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6.5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6.5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6.5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6.5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6.5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6.5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6.5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6.5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6.5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6.5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6.5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6.5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6.5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6.5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6.5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6.5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6.5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6.5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6.5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6.5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6.5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6.5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6.5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6.5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6.5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6.5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6.5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6.5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6.5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6.5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6.5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6.5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6.5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6.5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6.5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6.5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6.5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6.5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6.5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6.5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6.5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6.5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6.5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6.5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6.5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6.5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6.5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6.5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6.5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6.5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6.5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6.5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6.5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6.5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6.5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6.5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6.5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6.5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6.5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6.5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6.5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6.5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6.5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6.5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6.5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6.5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6.5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6.5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6.5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6.5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6.5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6.5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6.5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6.5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6.5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6.5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6.5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6.5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6.5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6.5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6.5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6.5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6.5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6.5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6.5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6.5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6.5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6.5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6.5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6.5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6.5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6.5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6.5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6.5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6.5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6.5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6.5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6.5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6.5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6.5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6.5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6.5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6.5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6.5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6.5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6.5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6.5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6.5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6.5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6.5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6.5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6.5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6.5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6.5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6.5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6.5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6.5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6.5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6.5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6.5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6.5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6.5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6.5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6.5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6.5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6.5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6.5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6.5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6.5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6.5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6.5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6.5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6.5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6.5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6.5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6.5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6.5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6.5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6.5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6.5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6.5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6.5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6.5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6.5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6.5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6.5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6.5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6.5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6.5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6.5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6.5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6.5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6.5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6.5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6.5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6.5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6.5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6.5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6.5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6.5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6.5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6.5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6.5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6.5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6.5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6.5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6.5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6.5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6.5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6.5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6.5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6.5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6.5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6.5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6.5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6.5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6.5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6.5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6.5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6.5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6.5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6.5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6.5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6.5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6.5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6.5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6.5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6.5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6.5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6.5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6.5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6.5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6.5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6.5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6.5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6.5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6.5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6.5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6.5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6.5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6.5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6.5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6.5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6.5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6.5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6.5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6.5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6.5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6.5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6.5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6.5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6.5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6.5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6.5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6.5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6.5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6.5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6.5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6.5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6.5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6.5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6.5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6.5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6.5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6.5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6.5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6.5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6.5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6.5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6.5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6.5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6.5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6.5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6.5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6.5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6.5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6.5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6.5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6.5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6.5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6.5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6.5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6.5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6.5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6.5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6.5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6.5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6.5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6.5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6.5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6.5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6.5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6.5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6.5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6.5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6.5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6.5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6.5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6.5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6.5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6.5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6.5">
      <c r="A4144" s="20" t="s">
        <v>24138</v>
      </c>
      <c r="B4144" s="155"/>
      <c r="C4144" s="21" t="s">
        <v>24187</v>
      </c>
      <c r="D4144" s="109" t="s">
        <v>3133</v>
      </c>
      <c r="E4144" s="109"/>
      <c r="F4144" s="391" t="s">
        <v>24188</v>
      </c>
    </row>
    <row r="4145" spans="1:6" ht="16.5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6.5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6.5">
      <c r="A4147" s="20" t="s">
        <v>24141</v>
      </c>
      <c r="B4147" s="155"/>
      <c r="C4147" s="21" t="s">
        <v>24186</v>
      </c>
      <c r="D4147" s="109" t="s">
        <v>5979</v>
      </c>
      <c r="E4147" s="109"/>
      <c r="F4147" s="391" t="s">
        <v>24201</v>
      </c>
    </row>
    <row r="4148" spans="1:6" ht="16.5">
      <c r="A4148" s="20" t="s">
        <v>24189</v>
      </c>
      <c r="B4148" s="155"/>
      <c r="C4148" s="21" t="s">
        <v>24203</v>
      </c>
      <c r="D4148" s="109" t="s">
        <v>5979</v>
      </c>
      <c r="E4148" s="109"/>
      <c r="F4148" s="391" t="s">
        <v>24206</v>
      </c>
    </row>
    <row r="4149" spans="1:6" ht="16.5">
      <c r="A4149" s="20" t="s">
        <v>24190</v>
      </c>
      <c r="B4149" s="155"/>
      <c r="C4149" s="21" t="s">
        <v>24204</v>
      </c>
      <c r="D4149" s="109" t="s">
        <v>7957</v>
      </c>
      <c r="E4149" s="109"/>
      <c r="F4149" s="391" t="s">
        <v>24208</v>
      </c>
    </row>
    <row r="4150" spans="1:6" ht="16.5">
      <c r="A4150" s="20" t="s">
        <v>24191</v>
      </c>
      <c r="B4150" s="155"/>
      <c r="C4150" s="21" t="s">
        <v>24205</v>
      </c>
      <c r="D4150" s="109" t="s">
        <v>3096</v>
      </c>
      <c r="E4150" s="109"/>
      <c r="F4150" s="391" t="s">
        <v>24210</v>
      </c>
    </row>
    <row r="4151" spans="1:6" ht="16.5">
      <c r="A4151" s="20" t="s">
        <v>24192</v>
      </c>
      <c r="B4151" s="155"/>
      <c r="C4151" s="21" t="s">
        <v>24211</v>
      </c>
      <c r="D4151" s="109" t="s">
        <v>8376</v>
      </c>
      <c r="E4151" s="109" t="s">
        <v>24212</v>
      </c>
      <c r="F4151" s="391" t="s">
        <v>24214</v>
      </c>
    </row>
    <row r="4152" spans="1:6" ht="16.5">
      <c r="A4152" s="20" t="s">
        <v>24193</v>
      </c>
      <c r="B4152" s="155"/>
      <c r="C4152" s="21" t="s">
        <v>24215</v>
      </c>
      <c r="D4152" s="109" t="s">
        <v>3137</v>
      </c>
      <c r="E4152" s="109" t="s">
        <v>24217</v>
      </c>
      <c r="F4152" s="391" t="s">
        <v>24218</v>
      </c>
    </row>
    <row r="4153" spans="1:6" ht="16.5">
      <c r="A4153" s="20" t="s">
        <v>24194</v>
      </c>
      <c r="B4153" s="155"/>
      <c r="C4153" s="21" t="s">
        <v>24220</v>
      </c>
      <c r="D4153" s="109" t="s">
        <v>3096</v>
      </c>
      <c r="E4153" s="109"/>
      <c r="F4153" s="391" t="s">
        <v>24221</v>
      </c>
    </row>
    <row r="4154" spans="1:6" ht="16.5">
      <c r="A4154" s="20" t="s">
        <v>24195</v>
      </c>
      <c r="B4154" s="155"/>
      <c r="C4154" s="21" t="s">
        <v>24229</v>
      </c>
      <c r="D4154" s="109" t="s">
        <v>9855</v>
      </c>
      <c r="E4154" s="109"/>
      <c r="F4154" s="391" t="s">
        <v>24230</v>
      </c>
    </row>
    <row r="4155" spans="1:6" ht="16.5">
      <c r="A4155" s="20" t="s">
        <v>24196</v>
      </c>
      <c r="B4155" s="155"/>
      <c r="C4155" s="21" t="s">
        <v>24226</v>
      </c>
      <c r="D4155" s="109" t="s">
        <v>3927</v>
      </c>
      <c r="E4155" s="109"/>
      <c r="F4155" s="391" t="s">
        <v>24227</v>
      </c>
    </row>
    <row r="4156" spans="1:6" ht="16.5">
      <c r="A4156" s="20" t="s">
        <v>24197</v>
      </c>
      <c r="B4156" s="155"/>
      <c r="C4156" s="21" t="s">
        <v>24231</v>
      </c>
      <c r="D4156" s="109" t="s">
        <v>9855</v>
      </c>
      <c r="E4156" s="109"/>
      <c r="F4156" s="391" t="s">
        <v>24232</v>
      </c>
    </row>
    <row r="4157" spans="1:6" ht="16.5">
      <c r="A4157" s="20" t="s">
        <v>24198</v>
      </c>
      <c r="B4157" s="155"/>
      <c r="C4157" s="21" t="s">
        <v>24233</v>
      </c>
      <c r="D4157" s="109" t="s">
        <v>5979</v>
      </c>
      <c r="E4157" s="109"/>
      <c r="F4157" s="391" t="s">
        <v>24236</v>
      </c>
    </row>
    <row r="4158" spans="1:6" ht="16.5">
      <c r="A4158" s="20" t="s">
        <v>24199</v>
      </c>
      <c r="B4158" s="155"/>
      <c r="C4158" s="21" t="s">
        <v>24406</v>
      </c>
      <c r="D4158" s="109" t="s">
        <v>3137</v>
      </c>
      <c r="E4158" s="109"/>
      <c r="F4158" s="391" t="s">
        <v>24238</v>
      </c>
    </row>
    <row r="4159" spans="1:6" ht="16.5">
      <c r="A4159" s="20" t="s">
        <v>24200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6.5">
      <c r="A4160" s="20" t="s">
        <v>24241</v>
      </c>
      <c r="B4160" s="155"/>
      <c r="C4160" s="21" t="s">
        <v>24237</v>
      </c>
      <c r="D4160" s="109" t="s">
        <v>3137</v>
      </c>
      <c r="E4160" s="109" t="s">
        <v>3128</v>
      </c>
      <c r="F4160" s="391" t="s">
        <v>24268</v>
      </c>
    </row>
    <row r="4161" spans="1:6" ht="16.5">
      <c r="A4161" s="20" t="s">
        <v>24242</v>
      </c>
      <c r="B4161" s="155"/>
      <c r="C4161" s="21" t="s">
        <v>24269</v>
      </c>
      <c r="D4161" s="109" t="s">
        <v>3096</v>
      </c>
      <c r="E4161" s="109"/>
      <c r="F4161" s="391" t="s">
        <v>24282</v>
      </c>
    </row>
    <row r="4162" spans="1:6" ht="16.5">
      <c r="A4162" s="20" t="s">
        <v>24243</v>
      </c>
      <c r="B4162" s="155"/>
      <c r="C4162" s="21" t="s">
        <v>24270</v>
      </c>
      <c r="D4162" s="109" t="s">
        <v>9855</v>
      </c>
      <c r="E4162" s="109"/>
      <c r="F4162" s="391" t="s">
        <v>24283</v>
      </c>
    </row>
    <row r="4163" spans="1:6" ht="16.5">
      <c r="A4163" s="20" t="s">
        <v>24244</v>
      </c>
      <c r="B4163" s="155"/>
      <c r="C4163" s="21" t="s">
        <v>24281</v>
      </c>
      <c r="D4163" s="109" t="s">
        <v>9855</v>
      </c>
      <c r="E4163" s="109"/>
      <c r="F4163" s="391" t="s">
        <v>24285</v>
      </c>
    </row>
    <row r="4164" spans="1:6" ht="16.5">
      <c r="A4164" s="20" t="s">
        <v>24245</v>
      </c>
      <c r="B4164" s="155"/>
      <c r="C4164" s="21" t="s">
        <v>24279</v>
      </c>
      <c r="D4164" s="109" t="s">
        <v>3137</v>
      </c>
      <c r="E4164" s="109"/>
      <c r="F4164" s="391" t="s">
        <v>24287</v>
      </c>
    </row>
    <row r="4165" spans="1:6" ht="16.5">
      <c r="A4165" s="20" t="s">
        <v>24246</v>
      </c>
      <c r="B4165" s="155"/>
      <c r="C4165" s="21" t="s">
        <v>24280</v>
      </c>
      <c r="D4165" s="109" t="s">
        <v>5979</v>
      </c>
      <c r="E4165" s="109"/>
      <c r="F4165" s="391" t="s">
        <v>24288</v>
      </c>
    </row>
    <row r="4166" spans="1:6" ht="16.5">
      <c r="A4166" s="20" t="s">
        <v>24247</v>
      </c>
      <c r="B4166" s="155"/>
      <c r="C4166" s="21" t="s">
        <v>24298</v>
      </c>
      <c r="D4166" s="109" t="s">
        <v>3137</v>
      </c>
      <c r="E4166" s="109"/>
      <c r="F4166" s="391" t="s">
        <v>24300</v>
      </c>
    </row>
    <row r="4167" spans="1:6" ht="16.5">
      <c r="A4167" s="20" t="s">
        <v>24248</v>
      </c>
      <c r="B4167" s="155"/>
      <c r="C4167" s="21" t="s">
        <v>24295</v>
      </c>
      <c r="D4167" s="109" t="s">
        <v>3137</v>
      </c>
      <c r="E4167" s="109"/>
      <c r="F4167" s="391" t="s">
        <v>24301</v>
      </c>
    </row>
    <row r="4168" spans="1:6" ht="16.5">
      <c r="A4168" s="20" t="s">
        <v>24249</v>
      </c>
      <c r="B4168" s="155"/>
      <c r="C4168" s="21" t="s">
        <v>24304</v>
      </c>
      <c r="D4168" s="109" t="s">
        <v>9855</v>
      </c>
      <c r="E4168" s="109"/>
      <c r="F4168" s="391" t="s">
        <v>24308</v>
      </c>
    </row>
    <row r="4169" spans="1:6" ht="16.5">
      <c r="A4169" s="20" t="s">
        <v>24250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6.5">
      <c r="A4170" s="20" t="s">
        <v>24251</v>
      </c>
      <c r="B4170" s="155"/>
      <c r="C4170" s="21" t="s">
        <v>24314</v>
      </c>
      <c r="D4170" s="109" t="s">
        <v>3137</v>
      </c>
      <c r="E4170" s="109"/>
      <c r="F4170" s="391" t="s">
        <v>24316</v>
      </c>
    </row>
    <row r="4171" spans="1:6" ht="16.5">
      <c r="A4171" s="20" t="s">
        <v>24252</v>
      </c>
      <c r="B4171" s="155"/>
      <c r="C4171" s="21" t="s">
        <v>24317</v>
      </c>
      <c r="D4171" s="109" t="s">
        <v>3096</v>
      </c>
      <c r="E4171" s="109"/>
      <c r="F4171" s="391" t="s">
        <v>24318</v>
      </c>
    </row>
    <row r="4172" spans="1:6" ht="16.5">
      <c r="A4172" s="20" t="s">
        <v>24253</v>
      </c>
      <c r="B4172" s="155"/>
      <c r="C4172" s="21" t="s">
        <v>24328</v>
      </c>
      <c r="D4172" s="109" t="s">
        <v>9855</v>
      </c>
      <c r="E4172" s="109"/>
      <c r="F4172" s="391" t="s">
        <v>24332</v>
      </c>
    </row>
    <row r="4173" spans="1:6" ht="16.5">
      <c r="A4173" s="20" t="s">
        <v>24254</v>
      </c>
      <c r="B4173" s="155"/>
      <c r="C4173" s="21" t="s">
        <v>24331</v>
      </c>
      <c r="D4173" s="109" t="s">
        <v>9855</v>
      </c>
      <c r="E4173" s="109"/>
      <c r="F4173" s="391" t="s">
        <v>24333</v>
      </c>
    </row>
    <row r="4174" spans="1:6" ht="16.5">
      <c r="A4174" s="20" t="s">
        <v>24255</v>
      </c>
      <c r="B4174" s="155"/>
      <c r="C4174" s="21" t="s">
        <v>24334</v>
      </c>
      <c r="D4174" s="109" t="s">
        <v>9855</v>
      </c>
      <c r="E4174" s="109"/>
      <c r="F4174" s="391" t="s">
        <v>24338</v>
      </c>
    </row>
    <row r="4175" spans="1:6" ht="16.5">
      <c r="A4175" s="20" t="s">
        <v>24256</v>
      </c>
      <c r="B4175" s="155"/>
      <c r="C4175" s="21" t="s">
        <v>24303</v>
      </c>
      <c r="D4175" s="109" t="s">
        <v>3137</v>
      </c>
      <c r="E4175" s="109" t="s">
        <v>23278</v>
      </c>
      <c r="F4175" s="391" t="s">
        <v>24339</v>
      </c>
    </row>
    <row r="4176" spans="1:6" ht="16.5">
      <c r="A4176" s="20" t="s">
        <v>24257</v>
      </c>
      <c r="B4176" s="155"/>
      <c r="C4176" s="21" t="s">
        <v>24340</v>
      </c>
      <c r="D4176" s="109" t="s">
        <v>3137</v>
      </c>
      <c r="E4176" s="109" t="s">
        <v>24343</v>
      </c>
      <c r="F4176" s="391" t="s">
        <v>24342</v>
      </c>
    </row>
    <row r="4177" spans="1:6" ht="16.5">
      <c r="A4177" s="20" t="s">
        <v>24258</v>
      </c>
      <c r="B4177" s="155"/>
      <c r="C4177" s="21" t="s">
        <v>24344</v>
      </c>
      <c r="D4177" s="109" t="s">
        <v>9855</v>
      </c>
      <c r="E4177" s="109" t="s">
        <v>24345</v>
      </c>
      <c r="F4177" s="391" t="s">
        <v>24346</v>
      </c>
    </row>
    <row r="4178" spans="1:6" ht="16.5">
      <c r="A4178" s="20" t="s">
        <v>24259</v>
      </c>
      <c r="B4178" s="155"/>
      <c r="C4178" s="21" t="s">
        <v>24335</v>
      </c>
      <c r="D4178" s="109" t="s">
        <v>9855</v>
      </c>
      <c r="E4178" s="109"/>
      <c r="F4178" s="391" t="s">
        <v>24350</v>
      </c>
    </row>
    <row r="4179" spans="1:6" ht="16.5">
      <c r="A4179" s="20" t="s">
        <v>24260</v>
      </c>
      <c r="B4179" s="155"/>
      <c r="C4179" s="21" t="s">
        <v>24347</v>
      </c>
      <c r="D4179" s="109" t="s">
        <v>9855</v>
      </c>
      <c r="E4179" s="109"/>
      <c r="F4179" s="391" t="s">
        <v>24354</v>
      </c>
    </row>
    <row r="4180" spans="1:6" ht="16.5">
      <c r="A4180" s="20" t="s">
        <v>24261</v>
      </c>
      <c r="B4180" s="155"/>
      <c r="C4180" s="21" t="s">
        <v>24357</v>
      </c>
      <c r="D4180" s="109" t="s">
        <v>8376</v>
      </c>
      <c r="E4180" s="109" t="s">
        <v>24358</v>
      </c>
      <c r="F4180" s="391" t="s">
        <v>24359</v>
      </c>
    </row>
    <row r="4181" spans="1:6" ht="16.5">
      <c r="A4181" s="20" t="s">
        <v>24262</v>
      </c>
      <c r="B4181" s="155"/>
      <c r="C4181" s="21" t="s">
        <v>24355</v>
      </c>
      <c r="D4181" s="109" t="s">
        <v>9855</v>
      </c>
      <c r="E4181" s="109" t="s">
        <v>22282</v>
      </c>
      <c r="F4181" s="391" t="s">
        <v>24360</v>
      </c>
    </row>
    <row r="4182" spans="1:6" ht="16.5">
      <c r="A4182" s="20" t="s">
        <v>24263</v>
      </c>
      <c r="B4182" s="155"/>
      <c r="C4182" s="21" t="s">
        <v>24373</v>
      </c>
      <c r="D4182" s="109" t="s">
        <v>3137</v>
      </c>
      <c r="E4182" s="109"/>
      <c r="F4182" s="391" t="s">
        <v>24374</v>
      </c>
    </row>
    <row r="4183" spans="1:6" ht="16.5">
      <c r="A4183" s="20" t="s">
        <v>24362</v>
      </c>
      <c r="B4183" s="155"/>
      <c r="C4183" s="21" t="s">
        <v>24377</v>
      </c>
      <c r="D4183" s="109" t="s">
        <v>3137</v>
      </c>
      <c r="E4183" s="109" t="s">
        <v>23083</v>
      </c>
      <c r="F4183" s="391" t="s">
        <v>24381</v>
      </c>
    </row>
    <row r="4184" spans="1:6" ht="16.5">
      <c r="A4184" s="20" t="s">
        <v>24363</v>
      </c>
      <c r="B4184" s="155"/>
      <c r="C4184" s="21" t="s">
        <v>24379</v>
      </c>
      <c r="D4184" s="109" t="s">
        <v>7761</v>
      </c>
      <c r="E4184" s="109"/>
      <c r="F4184" s="391" t="s">
        <v>24384</v>
      </c>
    </row>
    <row r="4185" spans="1:6" ht="16.5">
      <c r="A4185" s="20" t="s">
        <v>24364</v>
      </c>
      <c r="B4185" s="155"/>
      <c r="C4185" s="21" t="s">
        <v>24382</v>
      </c>
      <c r="D4185" s="109" t="s">
        <v>3137</v>
      </c>
      <c r="E4185" s="109"/>
      <c r="F4185" s="391" t="s">
        <v>24385</v>
      </c>
    </row>
    <row r="4186" spans="1:6" ht="16.5">
      <c r="A4186" s="20" t="s">
        <v>24365</v>
      </c>
      <c r="B4186" s="155"/>
      <c r="C4186" s="21" t="s">
        <v>24383</v>
      </c>
      <c r="D4186" s="109" t="s">
        <v>3137</v>
      </c>
      <c r="E4186" s="109"/>
      <c r="F4186" s="391" t="s">
        <v>24386</v>
      </c>
    </row>
    <row r="4187" spans="1:6" ht="16.5">
      <c r="A4187" s="20" t="s">
        <v>24366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6.5">
      <c r="A4188" s="20" t="s">
        <v>24367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6.5">
      <c r="A4189" s="20" t="s">
        <v>24368</v>
      </c>
      <c r="B4189" s="155"/>
      <c r="C4189" s="21" t="s">
        <v>24388</v>
      </c>
      <c r="D4189" s="109" t="s">
        <v>3137</v>
      </c>
      <c r="E4189" s="109"/>
      <c r="F4189" s="391" t="s">
        <v>24390</v>
      </c>
    </row>
    <row r="4190" spans="1:6" ht="16.5">
      <c r="A4190" s="20" t="s">
        <v>24369</v>
      </c>
      <c r="B4190" s="155"/>
      <c r="C4190" s="21" t="s">
        <v>24405</v>
      </c>
      <c r="D4190" s="109" t="s">
        <v>3137</v>
      </c>
      <c r="E4190" s="109"/>
      <c r="F4190" s="391" t="s">
        <v>24238</v>
      </c>
    </row>
    <row r="4191" spans="1:6" ht="16.5">
      <c r="A4191" s="20" t="s">
        <v>24370</v>
      </c>
      <c r="B4191" s="155"/>
      <c r="C4191" s="21" t="s">
        <v>9477</v>
      </c>
      <c r="D4191" s="109" t="s">
        <v>3137</v>
      </c>
      <c r="E4191" s="202" t="s">
        <v>24403</v>
      </c>
      <c r="F4191" s="391" t="s">
        <v>8868</v>
      </c>
    </row>
    <row r="4192" spans="1:6" ht="16.5">
      <c r="A4192" s="20" t="s">
        <v>24371</v>
      </c>
      <c r="B4192" s="155"/>
      <c r="C4192" s="21" t="s">
        <v>24410</v>
      </c>
      <c r="D4192" s="109" t="s">
        <v>5979</v>
      </c>
      <c r="E4192" s="109"/>
      <c r="F4192" s="391" t="s">
        <v>24413</v>
      </c>
    </row>
    <row r="4193" spans="1:6" ht="16.5">
      <c r="A4193" s="20" t="s">
        <v>24372</v>
      </c>
      <c r="B4193" s="155"/>
      <c r="C4193" s="21" t="s">
        <v>24408</v>
      </c>
      <c r="D4193" s="109" t="s">
        <v>9855</v>
      </c>
      <c r="E4193" s="109" t="s">
        <v>22282</v>
      </c>
      <c r="F4193" s="391" t="s">
        <v>24426</v>
      </c>
    </row>
    <row r="4194" spans="1:6" ht="16.5">
      <c r="A4194" s="20" t="s">
        <v>24414</v>
      </c>
      <c r="B4194" s="155"/>
      <c r="C4194" s="21" t="s">
        <v>24427</v>
      </c>
      <c r="D4194" s="109" t="s">
        <v>3137</v>
      </c>
      <c r="E4194" s="109" t="s">
        <v>23083</v>
      </c>
      <c r="F4194" s="391" t="s">
        <v>24433</v>
      </c>
    </row>
    <row r="4195" spans="1:6" ht="16.5">
      <c r="A4195" s="20" t="s">
        <v>24415</v>
      </c>
      <c r="B4195" s="155"/>
      <c r="C4195" s="21" t="s">
        <v>24428</v>
      </c>
      <c r="D4195" s="109" t="s">
        <v>3137</v>
      </c>
      <c r="E4195" s="109" t="s">
        <v>23083</v>
      </c>
      <c r="F4195" s="391" t="s">
        <v>24433</v>
      </c>
    </row>
    <row r="4196" spans="1:6" ht="16.5">
      <c r="A4196" s="20" t="s">
        <v>24416</v>
      </c>
      <c r="B4196" s="155"/>
      <c r="C4196" s="21" t="s">
        <v>24431</v>
      </c>
      <c r="D4196" s="109" t="s">
        <v>9855</v>
      </c>
      <c r="E4196" s="109"/>
      <c r="F4196" s="391" t="s">
        <v>24434</v>
      </c>
    </row>
    <row r="4197" spans="1:6" ht="16.5">
      <c r="A4197" s="20" t="s">
        <v>24417</v>
      </c>
      <c r="B4197" s="155"/>
      <c r="C4197" s="21" t="s">
        <v>24435</v>
      </c>
      <c r="D4197" s="109" t="s">
        <v>3137</v>
      </c>
      <c r="E4197" s="109" t="s">
        <v>24436</v>
      </c>
      <c r="F4197" s="391" t="s">
        <v>24437</v>
      </c>
    </row>
    <row r="4198" spans="1:6" ht="16.5">
      <c r="A4198" s="20" t="s">
        <v>24418</v>
      </c>
      <c r="B4198" s="155"/>
      <c r="C4198" s="21" t="s">
        <v>24440</v>
      </c>
      <c r="D4198" s="109" t="s">
        <v>5979</v>
      </c>
      <c r="E4198" s="109"/>
      <c r="F4198" s="440" t="s">
        <v>24449</v>
      </c>
    </row>
    <row r="4199" spans="1:6" ht="16.5">
      <c r="A4199" s="20" t="s">
        <v>24419</v>
      </c>
      <c r="B4199" s="155"/>
      <c r="C4199" s="21" t="s">
        <v>24441</v>
      </c>
      <c r="D4199" s="109" t="s">
        <v>9855</v>
      </c>
      <c r="E4199" s="109" t="s">
        <v>23083</v>
      </c>
      <c r="F4199" s="391" t="s">
        <v>24451</v>
      </c>
    </row>
    <row r="4200" spans="1:6" ht="16.5">
      <c r="A4200" s="20" t="s">
        <v>24420</v>
      </c>
      <c r="B4200" s="155"/>
      <c r="C4200" s="21" t="s">
        <v>556</v>
      </c>
      <c r="D4200" s="109" t="s">
        <v>24454</v>
      </c>
      <c r="E4200" s="109"/>
      <c r="F4200" s="391" t="s">
        <v>5531</v>
      </c>
    </row>
    <row r="4201" spans="1:6" ht="16.5">
      <c r="A4201" s="20" t="s">
        <v>24421</v>
      </c>
      <c r="B4201" s="155"/>
      <c r="C4201" s="21" t="s">
        <v>24439</v>
      </c>
      <c r="D4201" s="109" t="s">
        <v>7957</v>
      </c>
      <c r="E4201" s="109"/>
      <c r="F4201" s="391" t="s">
        <v>23655</v>
      </c>
    </row>
    <row r="4202" spans="1:6" ht="16.5">
      <c r="A4202" s="20" t="s">
        <v>24422</v>
      </c>
      <c r="B4202" s="155"/>
      <c r="C4202" s="21" t="s">
        <v>24460</v>
      </c>
      <c r="D4202" s="109" t="s">
        <v>24456</v>
      </c>
      <c r="E4202" s="109" t="s">
        <v>24457</v>
      </c>
      <c r="F4202" s="391" t="s">
        <v>24458</v>
      </c>
    </row>
    <row r="4203" spans="1:6" ht="16.5">
      <c r="A4203" s="20" t="s">
        <v>24423</v>
      </c>
      <c r="B4203" s="155"/>
      <c r="C4203" s="21" t="s">
        <v>24461</v>
      </c>
      <c r="D4203" s="109" t="s">
        <v>3137</v>
      </c>
      <c r="E4203" s="109" t="s">
        <v>23083</v>
      </c>
      <c r="F4203" s="391" t="s">
        <v>24464</v>
      </c>
    </row>
    <row r="4204" spans="1:6" ht="16.5">
      <c r="A4204" s="20" t="s">
        <v>24424</v>
      </c>
      <c r="B4204" s="155"/>
      <c r="C4204" s="21" t="s">
        <v>24468</v>
      </c>
      <c r="D4204" s="109" t="s">
        <v>5979</v>
      </c>
      <c r="E4204" s="109" t="s">
        <v>22282</v>
      </c>
      <c r="F4204" s="391" t="s">
        <v>24474</v>
      </c>
    </row>
    <row r="4205" spans="1:6" ht="16.5">
      <c r="A4205" s="20" t="s">
        <v>24425</v>
      </c>
      <c r="B4205" s="155"/>
      <c r="C4205" s="21" t="s">
        <v>24472</v>
      </c>
      <c r="D4205" s="109" t="s">
        <v>3137</v>
      </c>
      <c r="E4205" s="109" t="s">
        <v>23083</v>
      </c>
      <c r="F4205" s="391" t="s">
        <v>24486</v>
      </c>
    </row>
    <row r="4206" spans="1:6" ht="16.5">
      <c r="A4206" s="20" t="s">
        <v>24475</v>
      </c>
      <c r="B4206" s="155"/>
      <c r="C4206" s="21" t="s">
        <v>24491</v>
      </c>
      <c r="D4206" s="109" t="s">
        <v>24493</v>
      </c>
      <c r="E4206" s="109"/>
      <c r="F4206" s="391" t="s">
        <v>24495</v>
      </c>
    </row>
    <row r="4207" spans="1:6" ht="16.5">
      <c r="A4207" s="20" t="s">
        <v>24476</v>
      </c>
      <c r="B4207" s="155"/>
      <c r="C4207" s="21" t="s">
        <v>24496</v>
      </c>
      <c r="D4207" s="109" t="s">
        <v>9855</v>
      </c>
      <c r="E4207" s="109"/>
      <c r="F4207" s="391" t="s">
        <v>24501</v>
      </c>
    </row>
    <row r="4208" spans="1:6" ht="16.5">
      <c r="A4208" s="20" t="s">
        <v>24477</v>
      </c>
      <c r="B4208" s="155"/>
      <c r="C4208" s="21" t="s">
        <v>24497</v>
      </c>
      <c r="D4208" s="109" t="s">
        <v>3137</v>
      </c>
      <c r="E4208" s="109"/>
      <c r="F4208" s="391" t="s">
        <v>24502</v>
      </c>
    </row>
    <row r="4209" spans="1:6" ht="16.5">
      <c r="A4209" s="20" t="s">
        <v>24478</v>
      </c>
      <c r="B4209" s="155"/>
      <c r="C4209" s="21" t="s">
        <v>24498</v>
      </c>
      <c r="D4209" s="109" t="s">
        <v>3137</v>
      </c>
      <c r="E4209" s="109"/>
      <c r="F4209" s="391" t="s">
        <v>24503</v>
      </c>
    </row>
    <row r="4210" spans="1:6" ht="16.5">
      <c r="A4210" s="20" t="s">
        <v>24479</v>
      </c>
      <c r="B4210" s="155"/>
      <c r="C4210" s="21" t="s">
        <v>24488</v>
      </c>
      <c r="D4210" s="109" t="s">
        <v>3137</v>
      </c>
      <c r="E4210" s="109" t="s">
        <v>19998</v>
      </c>
      <c r="F4210" s="391" t="s">
        <v>24504</v>
      </c>
    </row>
    <row r="4211" spans="1:6" ht="16.5">
      <c r="A4211" s="20" t="s">
        <v>24480</v>
      </c>
      <c r="B4211" s="155"/>
      <c r="C4211" s="21" t="s">
        <v>24505</v>
      </c>
      <c r="D4211" s="109" t="s">
        <v>3137</v>
      </c>
      <c r="E4211" s="109"/>
      <c r="F4211" s="391" t="s">
        <v>24507</v>
      </c>
    </row>
    <row r="4212" spans="1:6" ht="16.5">
      <c r="A4212" s="20" t="s">
        <v>24481</v>
      </c>
      <c r="B4212" s="155"/>
      <c r="C4212" s="21" t="s">
        <v>24513</v>
      </c>
      <c r="D4212" s="109" t="s">
        <v>9855</v>
      </c>
      <c r="E4212" s="109"/>
      <c r="F4212" s="391" t="s">
        <v>24515</v>
      </c>
    </row>
    <row r="4213" spans="1:6" ht="16.5">
      <c r="A4213" s="20" t="s">
        <v>24482</v>
      </c>
      <c r="B4213" s="155"/>
      <c r="C4213" s="21" t="s">
        <v>24512</v>
      </c>
      <c r="D4213" s="109" t="s">
        <v>5979</v>
      </c>
      <c r="E4213" s="109"/>
      <c r="F4213" s="391" t="s">
        <v>24518</v>
      </c>
    </row>
    <row r="4214" spans="1:6" ht="16.5">
      <c r="A4214" s="20" t="s">
        <v>24483</v>
      </c>
      <c r="B4214" s="155"/>
      <c r="C4214" s="21" t="s">
        <v>24509</v>
      </c>
      <c r="D4214" s="109" t="s">
        <v>3137</v>
      </c>
      <c r="E4214" s="109" t="s">
        <v>24510</v>
      </c>
      <c r="F4214" s="391" t="s">
        <v>24519</v>
      </c>
    </row>
    <row r="4215" spans="1:6" ht="16.5">
      <c r="A4215" s="20" t="s">
        <v>24484</v>
      </c>
      <c r="B4215" s="155"/>
      <c r="C4215" s="21" t="s">
        <v>24522</v>
      </c>
      <c r="D4215" s="109" t="s">
        <v>3137</v>
      </c>
      <c r="E4215" s="109"/>
      <c r="F4215" s="391" t="s">
        <v>24525</v>
      </c>
    </row>
    <row r="4216" spans="1:6" ht="16.5">
      <c r="A4216" s="20" t="s">
        <v>24485</v>
      </c>
      <c r="B4216" s="155"/>
      <c r="C4216" s="21" t="s">
        <v>24541</v>
      </c>
      <c r="D4216" s="109" t="s">
        <v>3137</v>
      </c>
      <c r="E4216" s="109"/>
      <c r="F4216" s="391" t="s">
        <v>24542</v>
      </c>
    </row>
    <row r="4217" spans="1:6" ht="16.5">
      <c r="A4217" s="20" t="s">
        <v>24526</v>
      </c>
      <c r="B4217" s="155"/>
      <c r="C4217" s="21" t="s">
        <v>485</v>
      </c>
      <c r="D4217" s="109" t="s">
        <v>24521</v>
      </c>
      <c r="E4217" s="109"/>
      <c r="F4217" s="391" t="s">
        <v>4943</v>
      </c>
    </row>
    <row r="4218" spans="1:6" ht="16.5">
      <c r="A4218" s="20" t="s">
        <v>24527</v>
      </c>
      <c r="B4218" s="155"/>
      <c r="C4218" s="21" t="s">
        <v>24546</v>
      </c>
      <c r="D4218" s="109" t="s">
        <v>9855</v>
      </c>
      <c r="E4218" s="109"/>
      <c r="F4218" s="391" t="s">
        <v>24548</v>
      </c>
    </row>
    <row r="4219" spans="1:6" ht="16.5">
      <c r="A4219" s="20" t="s">
        <v>24528</v>
      </c>
      <c r="B4219" s="155"/>
      <c r="C4219" s="21" t="s">
        <v>24551</v>
      </c>
      <c r="D4219" s="109" t="s">
        <v>3137</v>
      </c>
      <c r="E4219" s="109"/>
      <c r="F4219" s="391" t="s">
        <v>24552</v>
      </c>
    </row>
    <row r="4220" spans="1:6" ht="16.5">
      <c r="A4220" s="20" t="s">
        <v>24529</v>
      </c>
      <c r="B4220" s="155"/>
      <c r="C4220" s="21" t="s">
        <v>24549</v>
      </c>
      <c r="D4220" s="109" t="s">
        <v>5979</v>
      </c>
      <c r="E4220" s="109"/>
      <c r="F4220" s="391" t="s">
        <v>24554</v>
      </c>
    </row>
    <row r="4221" spans="1:6" ht="16.5">
      <c r="A4221" s="20" t="s">
        <v>24530</v>
      </c>
      <c r="B4221" s="155"/>
      <c r="C4221" s="21" t="s">
        <v>24550</v>
      </c>
      <c r="D4221" s="109" t="s">
        <v>5979</v>
      </c>
      <c r="E4221" s="109"/>
      <c r="F4221" s="391" t="s">
        <v>24555</v>
      </c>
    </row>
    <row r="4222" spans="1:6" ht="16.5">
      <c r="A4222" s="20" t="s">
        <v>24531</v>
      </c>
      <c r="B4222" s="155"/>
      <c r="C4222" s="21" t="s">
        <v>24472</v>
      </c>
      <c r="D4222" s="109" t="s">
        <v>3137</v>
      </c>
      <c r="E4222" s="109" t="s">
        <v>24547</v>
      </c>
      <c r="F4222" s="391" t="s">
        <v>24486</v>
      </c>
    </row>
    <row r="4223" spans="1:6" ht="16.5">
      <c r="A4223" s="20" t="s">
        <v>24532</v>
      </c>
      <c r="B4223" s="155"/>
      <c r="C4223" s="21" t="s">
        <v>24558</v>
      </c>
      <c r="D4223" s="109" t="s">
        <v>3137</v>
      </c>
      <c r="E4223" s="109"/>
      <c r="F4223" s="391" t="s">
        <v>24562</v>
      </c>
    </row>
    <row r="4224" spans="1:6" ht="16.5">
      <c r="A4224" s="20" t="s">
        <v>24533</v>
      </c>
      <c r="B4224" s="155"/>
      <c r="C4224" s="21" t="s">
        <v>24557</v>
      </c>
      <c r="D4224" s="109" t="s">
        <v>5979</v>
      </c>
      <c r="E4224" s="109"/>
      <c r="F4224" s="391" t="s">
        <v>24236</v>
      </c>
    </row>
    <row r="4225" spans="1:6" ht="16.5">
      <c r="A4225" s="20" t="s">
        <v>24534</v>
      </c>
      <c r="B4225" s="155"/>
      <c r="C4225" s="21" t="s">
        <v>24317</v>
      </c>
      <c r="D4225" s="109" t="s">
        <v>3096</v>
      </c>
      <c r="E4225" s="109" t="s">
        <v>24566</v>
      </c>
      <c r="F4225" s="391" t="s">
        <v>24318</v>
      </c>
    </row>
    <row r="4226" spans="1:6" ht="16.5">
      <c r="A4226" s="20" t="s">
        <v>24535</v>
      </c>
      <c r="B4226" s="155"/>
      <c r="C4226" s="21" t="s">
        <v>24563</v>
      </c>
      <c r="D4226" s="109" t="s">
        <v>5979</v>
      </c>
      <c r="E4226" s="109"/>
      <c r="F4226" s="391" t="s">
        <v>24572</v>
      </c>
    </row>
    <row r="4227" spans="1:6" ht="16.5">
      <c r="A4227" s="20" t="s">
        <v>24536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6.5">
      <c r="A4228" s="20" t="s">
        <v>24537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6.5">
      <c r="A4229" s="20" t="s">
        <v>24538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6.5">
      <c r="A4230" s="20" t="s">
        <v>24539</v>
      </c>
      <c r="B4230" s="155"/>
      <c r="C4230" s="21" t="s">
        <v>24579</v>
      </c>
      <c r="D4230" s="109" t="s">
        <v>9855</v>
      </c>
      <c r="E4230" s="109"/>
      <c r="F4230" s="391" t="s">
        <v>24580</v>
      </c>
    </row>
    <row r="4231" spans="1:6" ht="16.5">
      <c r="A4231" s="20" t="s">
        <v>24540</v>
      </c>
      <c r="B4231" s="155"/>
      <c r="C4231" s="21" t="s">
        <v>24347</v>
      </c>
      <c r="D4231" s="109" t="s">
        <v>9855</v>
      </c>
      <c r="E4231" s="109" t="s">
        <v>24573</v>
      </c>
      <c r="F4231" s="391" t="s">
        <v>24354</v>
      </c>
    </row>
    <row r="4232" spans="1:6" ht="16.5">
      <c r="A4232" s="20" t="s">
        <v>24581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6.5">
      <c r="A4233" s="20" t="s">
        <v>24582</v>
      </c>
      <c r="B4233" s="155"/>
      <c r="C4233" s="21" t="s">
        <v>24599</v>
      </c>
      <c r="D4233" s="109" t="s">
        <v>9855</v>
      </c>
      <c r="E4233" s="109"/>
      <c r="F4233" s="391" t="s">
        <v>24603</v>
      </c>
    </row>
    <row r="4234" spans="1:6" ht="16.5">
      <c r="A4234" s="20" t="s">
        <v>24583</v>
      </c>
      <c r="B4234" s="155"/>
      <c r="C4234" s="21" t="s">
        <v>24600</v>
      </c>
      <c r="D4234" s="109" t="s">
        <v>3137</v>
      </c>
      <c r="E4234" s="109"/>
      <c r="F4234" s="391" t="s">
        <v>24605</v>
      </c>
    </row>
    <row r="4235" spans="1:6" ht="16.5">
      <c r="A4235" s="20" t="s">
        <v>24584</v>
      </c>
      <c r="B4235" s="155"/>
      <c r="C4235" s="21" t="s">
        <v>24601</v>
      </c>
      <c r="D4235" s="109" t="s">
        <v>9855</v>
      </c>
      <c r="E4235" s="109"/>
      <c r="F4235" s="391" t="s">
        <v>24609</v>
      </c>
    </row>
    <row r="4236" spans="1:6" ht="16.5">
      <c r="A4236" s="20" t="s">
        <v>24585</v>
      </c>
      <c r="B4236" s="155"/>
      <c r="C4236" s="21" t="s">
        <v>24602</v>
      </c>
      <c r="D4236" s="109" t="s">
        <v>9855</v>
      </c>
      <c r="E4236" s="109"/>
      <c r="F4236" s="391" t="s">
        <v>24610</v>
      </c>
    </row>
    <row r="4237" spans="1:6" ht="16.5">
      <c r="A4237" s="20" t="s">
        <v>24586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24604</v>
      </c>
    </row>
    <row r="4238" spans="1:6" ht="16.5">
      <c r="A4238" s="20" t="s">
        <v>24587</v>
      </c>
      <c r="B4238" s="155"/>
      <c r="C4238" s="21" t="s">
        <v>24606</v>
      </c>
      <c r="D4238" s="109" t="s">
        <v>20994</v>
      </c>
      <c r="E4238" s="109"/>
      <c r="F4238" s="391" t="s">
        <v>24607</v>
      </c>
    </row>
    <row r="4239" spans="1:6" ht="16.5">
      <c r="A4239" s="20" t="s">
        <v>24588</v>
      </c>
      <c r="B4239" s="155"/>
      <c r="C4239" s="21" t="s">
        <v>24617</v>
      </c>
      <c r="D4239" s="109" t="s">
        <v>9855</v>
      </c>
      <c r="E4239" s="109" t="s">
        <v>22282</v>
      </c>
      <c r="F4239" s="391" t="s">
        <v>24622</v>
      </c>
    </row>
    <row r="4240" spans="1:6" ht="16.5">
      <c r="A4240" s="20" t="s">
        <v>24589</v>
      </c>
      <c r="B4240" s="155"/>
      <c r="C4240" s="21" t="s">
        <v>24618</v>
      </c>
      <c r="D4240" s="109" t="s">
        <v>9855</v>
      </c>
      <c r="E4240" s="109" t="s">
        <v>22282</v>
      </c>
      <c r="F4240" s="391" t="s">
        <v>24621</v>
      </c>
    </row>
    <row r="4241" spans="1:6" ht="16.5">
      <c r="A4241" s="20" t="s">
        <v>24590</v>
      </c>
      <c r="B4241" s="155"/>
      <c r="C4241" s="21" t="s">
        <v>24619</v>
      </c>
      <c r="D4241" s="109" t="s">
        <v>9855</v>
      </c>
      <c r="E4241" s="109"/>
      <c r="F4241" s="391" t="s">
        <v>24624</v>
      </c>
    </row>
    <row r="4242" spans="1:6" ht="16.5">
      <c r="A4242" s="20" t="s">
        <v>24591</v>
      </c>
      <c r="B4242" s="155"/>
      <c r="C4242" s="21" t="s">
        <v>24631</v>
      </c>
      <c r="D4242" s="109" t="s">
        <v>9855</v>
      </c>
      <c r="E4242" s="109"/>
      <c r="F4242" s="391" t="s">
        <v>24633</v>
      </c>
    </row>
    <row r="4243" spans="1:6" ht="16.5">
      <c r="A4243" s="20" t="s">
        <v>24592</v>
      </c>
      <c r="B4243" s="155"/>
      <c r="C4243" s="21" t="s">
        <v>24639</v>
      </c>
      <c r="D4243" s="109" t="s">
        <v>3958</v>
      </c>
      <c r="E4243" s="109" t="s">
        <v>24640</v>
      </c>
      <c r="F4243" s="391" t="s">
        <v>24642</v>
      </c>
    </row>
    <row r="4244" spans="1:6" ht="16.5">
      <c r="A4244" s="20" t="s">
        <v>24593</v>
      </c>
      <c r="B4244" s="155"/>
      <c r="C4244" s="21" t="s">
        <v>24635</v>
      </c>
      <c r="D4244" s="109" t="s">
        <v>3137</v>
      </c>
      <c r="E4244" s="109"/>
      <c r="F4244" s="391" t="s">
        <v>24643</v>
      </c>
    </row>
    <row r="4245" spans="1:6" ht="16.5">
      <c r="A4245" s="20" t="s">
        <v>24594</v>
      </c>
      <c r="B4245" s="155"/>
      <c r="C4245" s="21" t="s">
        <v>24636</v>
      </c>
      <c r="D4245" s="109" t="s">
        <v>3137</v>
      </c>
      <c r="E4245" s="109"/>
      <c r="F4245" s="391" t="s">
        <v>24644</v>
      </c>
    </row>
    <row r="4246" spans="1:6" ht="16.5">
      <c r="A4246" s="20" t="s">
        <v>24595</v>
      </c>
      <c r="B4246" s="155"/>
      <c r="C4246" s="21" t="s">
        <v>24650</v>
      </c>
      <c r="D4246" s="109" t="s">
        <v>3137</v>
      </c>
      <c r="E4246" s="109"/>
      <c r="F4246" s="391" t="s">
        <v>24654</v>
      </c>
    </row>
    <row r="4247" spans="1:6" ht="16.5">
      <c r="A4247" s="20" t="s">
        <v>24596</v>
      </c>
      <c r="B4247" s="155"/>
      <c r="C4247" s="21" t="s">
        <v>24651</v>
      </c>
      <c r="D4247" s="109" t="s">
        <v>9855</v>
      </c>
      <c r="E4247" s="109"/>
      <c r="F4247" s="391" t="s">
        <v>24656</v>
      </c>
    </row>
    <row r="4248" spans="1:6" ht="16.5">
      <c r="A4248" s="20" t="s">
        <v>24597</v>
      </c>
      <c r="B4248" s="155"/>
      <c r="C4248" s="21" t="s">
        <v>24652</v>
      </c>
      <c r="D4248" s="109" t="s">
        <v>5979</v>
      </c>
      <c r="E4248" s="109" t="s">
        <v>22282</v>
      </c>
      <c r="F4248" s="391" t="s">
        <v>24657</v>
      </c>
    </row>
    <row r="4249" spans="1:6" ht="16.5">
      <c r="A4249" s="20" t="s">
        <v>24658</v>
      </c>
      <c r="B4249" s="155"/>
      <c r="C4249" s="21" t="s">
        <v>24678</v>
      </c>
      <c r="D4249" s="109" t="s">
        <v>5979</v>
      </c>
      <c r="E4249" s="109" t="s">
        <v>22282</v>
      </c>
      <c r="F4249" s="391" t="s">
        <v>24679</v>
      </c>
    </row>
    <row r="4250" spans="1:6" ht="16.5">
      <c r="A4250" s="20" t="s">
        <v>24659</v>
      </c>
      <c r="B4250" s="155"/>
      <c r="C4250" s="21" t="s">
        <v>655</v>
      </c>
      <c r="D4250" s="109" t="s">
        <v>3136</v>
      </c>
      <c r="E4250" s="109" t="s">
        <v>24616</v>
      </c>
      <c r="F4250" s="391" t="s">
        <v>5228</v>
      </c>
    </row>
    <row r="4251" spans="1:6" ht="16.5">
      <c r="A4251" s="20" t="s">
        <v>24660</v>
      </c>
      <c r="B4251" s="155"/>
      <c r="C4251" s="21" t="s">
        <v>24681</v>
      </c>
      <c r="D4251" s="109" t="s">
        <v>9855</v>
      </c>
      <c r="E4251" s="109" t="s">
        <v>20884</v>
      </c>
      <c r="F4251" s="391" t="s">
        <v>24687</v>
      </c>
    </row>
    <row r="4252" spans="1:6" ht="16.5">
      <c r="A4252" s="20" t="s">
        <v>24661</v>
      </c>
      <c r="B4252" s="155"/>
      <c r="C4252" s="21" t="s">
        <v>24682</v>
      </c>
      <c r="D4252" s="109" t="s">
        <v>3137</v>
      </c>
      <c r="E4252" s="109" t="s">
        <v>20884</v>
      </c>
      <c r="F4252" s="391" t="s">
        <v>24689</v>
      </c>
    </row>
    <row r="4253" spans="1:6" ht="16.5">
      <c r="A4253" s="20" t="s">
        <v>24662</v>
      </c>
      <c r="B4253" s="155"/>
      <c r="C4253" s="21" t="s">
        <v>24683</v>
      </c>
      <c r="D4253" s="109" t="s">
        <v>3137</v>
      </c>
      <c r="E4253" s="109" t="s">
        <v>20884</v>
      </c>
      <c r="F4253" s="391" t="s">
        <v>24690</v>
      </c>
    </row>
    <row r="4254" spans="1:6" ht="16.5">
      <c r="A4254" s="20" t="s">
        <v>24663</v>
      </c>
      <c r="B4254" s="155"/>
      <c r="C4254" s="21" t="s">
        <v>24627</v>
      </c>
      <c r="D4254" s="109" t="s">
        <v>24628</v>
      </c>
      <c r="E4254" s="109" t="s">
        <v>23714</v>
      </c>
      <c r="F4254" s="391" t="s">
        <v>24630</v>
      </c>
    </row>
    <row r="4255" spans="1:6" ht="16.5">
      <c r="A4255" s="20" t="s">
        <v>24664</v>
      </c>
      <c r="B4255" s="155"/>
      <c r="C4255" s="21" t="s">
        <v>23696</v>
      </c>
      <c r="D4255" s="109" t="s">
        <v>3137</v>
      </c>
      <c r="E4255" s="109" t="s">
        <v>24692</v>
      </c>
      <c r="F4255" s="391" t="s">
        <v>23270</v>
      </c>
    </row>
    <row r="4256" spans="1:6" ht="16.5">
      <c r="A4256" s="20" t="s">
        <v>24665</v>
      </c>
      <c r="B4256" s="155"/>
      <c r="C4256" s="21" t="s">
        <v>24693</v>
      </c>
      <c r="D4256" s="109" t="s">
        <v>9855</v>
      </c>
      <c r="E4256" s="109" t="s">
        <v>20884</v>
      </c>
      <c r="F4256" s="391" t="s">
        <v>24694</v>
      </c>
    </row>
    <row r="4257" spans="1:6" ht="16.5">
      <c r="A4257" s="20" t="s">
        <v>24666</v>
      </c>
      <c r="B4257" s="155"/>
      <c r="C4257" s="21" t="s">
        <v>24696</v>
      </c>
      <c r="D4257" s="109" t="s">
        <v>3137</v>
      </c>
      <c r="E4257" s="109"/>
      <c r="F4257" s="391" t="s">
        <v>24697</v>
      </c>
    </row>
    <row r="4258" spans="1:6" ht="16.5">
      <c r="A4258" s="20" t="s">
        <v>24667</v>
      </c>
      <c r="B4258" s="155"/>
      <c r="C4258" s="21" t="s">
        <v>24704</v>
      </c>
      <c r="D4258" s="109" t="s">
        <v>9855</v>
      </c>
      <c r="E4258" s="109"/>
      <c r="F4258" s="391" t="s">
        <v>24706</v>
      </c>
    </row>
    <row r="4259" spans="1:6" ht="16.5">
      <c r="A4259" s="20" t="s">
        <v>24668</v>
      </c>
      <c r="B4259" s="155"/>
      <c r="C4259" s="21" t="s">
        <v>24705</v>
      </c>
      <c r="D4259" s="109" t="s">
        <v>3137</v>
      </c>
      <c r="E4259" s="109" t="s">
        <v>24019</v>
      </c>
      <c r="F4259" s="391" t="s">
        <v>24707</v>
      </c>
    </row>
    <row r="4260" spans="1:6" ht="16.5">
      <c r="A4260" s="20" t="s">
        <v>24669</v>
      </c>
      <c r="B4260" s="155"/>
      <c r="C4260" s="21" t="s">
        <v>24331</v>
      </c>
      <c r="D4260" s="109" t="s">
        <v>9855</v>
      </c>
      <c r="E4260" s="109" t="s">
        <v>6737</v>
      </c>
      <c r="F4260" s="391" t="s">
        <v>24333</v>
      </c>
    </row>
    <row r="4261" spans="1:6" ht="16.5">
      <c r="A4261" s="20" t="s">
        <v>24670</v>
      </c>
      <c r="B4261" s="155"/>
      <c r="C4261" s="21" t="s">
        <v>24713</v>
      </c>
      <c r="D4261" s="109" t="s">
        <v>3137</v>
      </c>
      <c r="E4261" s="109" t="s">
        <v>22282</v>
      </c>
      <c r="F4261" s="391" t="s">
        <v>24715</v>
      </c>
    </row>
    <row r="4262" spans="1:6" ht="16.5">
      <c r="A4262" s="20" t="s">
        <v>24671</v>
      </c>
      <c r="B4262" s="155"/>
      <c r="C4262" s="21" t="s">
        <v>24684</v>
      </c>
      <c r="D4262" s="109" t="s">
        <v>3137</v>
      </c>
      <c r="E4262" s="109" t="s">
        <v>20884</v>
      </c>
      <c r="F4262" s="391" t="s">
        <v>24716</v>
      </c>
    </row>
    <row r="4263" spans="1:6" ht="16.5">
      <c r="A4263" s="20" t="s">
        <v>24672</v>
      </c>
      <c r="B4263" s="155"/>
      <c r="C4263" s="21" t="s">
        <v>24717</v>
      </c>
      <c r="D4263" s="109" t="s">
        <v>9855</v>
      </c>
      <c r="E4263" s="109" t="s">
        <v>22282</v>
      </c>
      <c r="F4263" s="391" t="s">
        <v>24718</v>
      </c>
    </row>
    <row r="4264" spans="1:6" ht="16.5">
      <c r="A4264" s="20" t="s">
        <v>24673</v>
      </c>
      <c r="B4264" s="155"/>
      <c r="C4264" s="21" t="s">
        <v>24734</v>
      </c>
      <c r="D4264" s="109" t="s">
        <v>5979</v>
      </c>
      <c r="E4264" s="109"/>
      <c r="F4264" s="440" t="s">
        <v>24740</v>
      </c>
    </row>
    <row r="4265" spans="1:6" ht="16.5">
      <c r="A4265" s="20" t="s">
        <v>24719</v>
      </c>
      <c r="B4265" s="155"/>
      <c r="C4265" s="21" t="s">
        <v>24738</v>
      </c>
      <c r="D4265" s="109" t="s">
        <v>3137</v>
      </c>
      <c r="E4265" s="109" t="s">
        <v>23278</v>
      </c>
      <c r="F4265" s="391" t="s">
        <v>23839</v>
      </c>
    </row>
    <row r="4266" spans="1:6" ht="16.5">
      <c r="A4266" s="20" t="s">
        <v>24720</v>
      </c>
      <c r="B4266" s="155"/>
      <c r="C4266" s="21" t="s">
        <v>24753</v>
      </c>
      <c r="D4266" s="109" t="s">
        <v>3137</v>
      </c>
      <c r="E4266" s="109" t="s">
        <v>22282</v>
      </c>
      <c r="F4266" s="443" t="s">
        <v>24756</v>
      </c>
    </row>
    <row r="4267" spans="1:6" ht="16.5">
      <c r="A4267" s="20" t="s">
        <v>24721</v>
      </c>
      <c r="B4267" s="155"/>
      <c r="C4267" s="21" t="s">
        <v>24755</v>
      </c>
      <c r="D4267" s="109" t="s">
        <v>9855</v>
      </c>
      <c r="E4267" s="109"/>
      <c r="F4267" s="391" t="s">
        <v>24758</v>
      </c>
    </row>
    <row r="4268" spans="1:6" ht="16.5">
      <c r="A4268" s="20" t="s">
        <v>24722</v>
      </c>
      <c r="B4268" s="155"/>
      <c r="C4268" s="323" t="s">
        <v>24742</v>
      </c>
      <c r="D4268" s="109" t="s">
        <v>9855</v>
      </c>
      <c r="E4268" s="109" t="s">
        <v>20884</v>
      </c>
      <c r="F4268" s="391" t="s">
        <v>24694</v>
      </c>
    </row>
    <row r="4269" spans="1:6" ht="16.5">
      <c r="A4269" s="20" t="s">
        <v>24723</v>
      </c>
      <c r="B4269" s="155"/>
      <c r="C4269" s="21" t="s">
        <v>24765</v>
      </c>
      <c r="D4269" s="109" t="s">
        <v>9855</v>
      </c>
      <c r="E4269" s="109"/>
      <c r="F4269" s="391" t="s">
        <v>24767</v>
      </c>
    </row>
    <row r="4270" spans="1:6" ht="16.5">
      <c r="A4270" s="20" t="s">
        <v>24724</v>
      </c>
      <c r="B4270" s="155"/>
      <c r="C4270" s="21" t="s">
        <v>24760</v>
      </c>
      <c r="D4270" s="109" t="s">
        <v>3137</v>
      </c>
      <c r="E4270" s="109"/>
      <c r="F4270" s="391" t="s">
        <v>24769</v>
      </c>
    </row>
    <row r="4271" spans="1:6" ht="16.5">
      <c r="A4271" s="20" t="s">
        <v>24725</v>
      </c>
      <c r="B4271" s="155"/>
      <c r="C4271" s="21" t="s">
        <v>24761</v>
      </c>
      <c r="D4271" s="109" t="s">
        <v>3958</v>
      </c>
      <c r="E4271" s="109" t="s">
        <v>22282</v>
      </c>
      <c r="F4271" s="391" t="s">
        <v>24771</v>
      </c>
    </row>
    <row r="4272" spans="1:6" ht="16.5">
      <c r="A4272" s="20" t="s">
        <v>24726</v>
      </c>
      <c r="B4272" s="155"/>
      <c r="C4272" s="21" t="s">
        <v>24773</v>
      </c>
      <c r="D4272" s="109" t="s">
        <v>24774</v>
      </c>
      <c r="E4272" s="109"/>
      <c r="F4272" s="391" t="s">
        <v>24775</v>
      </c>
    </row>
    <row r="4273" spans="1:6" ht="16.5">
      <c r="A4273" s="20" t="s">
        <v>24727</v>
      </c>
      <c r="B4273" s="155"/>
      <c r="C4273" s="21" t="s">
        <v>24762</v>
      </c>
      <c r="D4273" s="109" t="s">
        <v>9855</v>
      </c>
      <c r="E4273" s="109"/>
      <c r="F4273" s="391" t="s">
        <v>24777</v>
      </c>
    </row>
    <row r="4274" spans="1:6" ht="16.5">
      <c r="A4274" s="20" t="s">
        <v>24728</v>
      </c>
      <c r="B4274" s="155"/>
      <c r="C4274" s="21" t="s">
        <v>24790</v>
      </c>
      <c r="D4274" s="109" t="s">
        <v>5979</v>
      </c>
      <c r="E4274" s="109"/>
      <c r="F4274" s="391" t="s">
        <v>24792</v>
      </c>
    </row>
    <row r="4275" spans="1:6" ht="16.5">
      <c r="A4275" s="20" t="s">
        <v>24729</v>
      </c>
      <c r="B4275" s="155"/>
      <c r="C4275" s="21" t="s">
        <v>24793</v>
      </c>
      <c r="D4275" s="109" t="s">
        <v>9855</v>
      </c>
      <c r="E4275" s="109"/>
      <c r="F4275" s="391" t="s">
        <v>24794</v>
      </c>
    </row>
    <row r="4276" spans="1:6" ht="16.5">
      <c r="A4276" s="20" t="s">
        <v>24730</v>
      </c>
      <c r="B4276" s="155"/>
      <c r="C4276" s="21" t="s">
        <v>24791</v>
      </c>
      <c r="D4276" s="109" t="s">
        <v>3137</v>
      </c>
      <c r="E4276" s="109"/>
      <c r="F4276" s="391" t="s">
        <v>24795</v>
      </c>
    </row>
    <row r="4277" spans="1:6" ht="16.5">
      <c r="A4277" s="20" t="s">
        <v>24731</v>
      </c>
      <c r="B4277" s="155"/>
      <c r="C4277" s="21" t="s">
        <v>24810</v>
      </c>
      <c r="D4277" s="109" t="s">
        <v>9855</v>
      </c>
      <c r="E4277" s="109"/>
      <c r="F4277" s="391" t="s">
        <v>24813</v>
      </c>
    </row>
    <row r="4278" spans="1:6" ht="16.5">
      <c r="A4278" s="20" t="s">
        <v>24732</v>
      </c>
      <c r="B4278" s="155"/>
      <c r="C4278" s="21" t="s">
        <v>24818</v>
      </c>
      <c r="D4278" s="109" t="s">
        <v>3137</v>
      </c>
      <c r="E4278" s="109"/>
      <c r="F4278" s="391" t="s">
        <v>24821</v>
      </c>
    </row>
    <row r="4279" spans="1:6" ht="16.5">
      <c r="A4279" s="20" t="s">
        <v>24733</v>
      </c>
      <c r="B4279" s="155"/>
      <c r="C4279" s="21" t="s">
        <v>24825</v>
      </c>
      <c r="D4279" s="109" t="s">
        <v>3137</v>
      </c>
      <c r="E4279" s="109"/>
      <c r="F4279" s="391" t="s">
        <v>24828</v>
      </c>
    </row>
    <row r="4280" spans="1:6" ht="16.5">
      <c r="A4280" s="20" t="s">
        <v>24829</v>
      </c>
      <c r="B4280" s="155"/>
      <c r="C4280" s="21" t="s">
        <v>24853</v>
      </c>
      <c r="D4280" s="109" t="s">
        <v>3137</v>
      </c>
      <c r="E4280" s="109" t="s">
        <v>24854</v>
      </c>
      <c r="F4280" s="391" t="s">
        <v>24855</v>
      </c>
    </row>
    <row r="4281" spans="1:6" ht="16.5">
      <c r="A4281" s="20" t="s">
        <v>24830</v>
      </c>
      <c r="B4281" s="155"/>
      <c r="C4281" s="21" t="s">
        <v>24865</v>
      </c>
      <c r="D4281" s="109" t="s">
        <v>3099</v>
      </c>
      <c r="E4281" s="109"/>
      <c r="F4281" s="391" t="s">
        <v>24870</v>
      </c>
    </row>
    <row r="4282" spans="1:6" ht="16.5">
      <c r="A4282" s="20" t="s">
        <v>24831</v>
      </c>
      <c r="B4282" s="155"/>
      <c r="C4282" s="21" t="s">
        <v>24874</v>
      </c>
      <c r="D4282" s="109" t="s">
        <v>3101</v>
      </c>
      <c r="E4282" s="109"/>
      <c r="F4282" s="391" t="s">
        <v>24885</v>
      </c>
    </row>
    <row r="4283" spans="1:6" ht="16.5">
      <c r="A4283" s="20" t="s">
        <v>24832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6.5">
      <c r="A4284" s="20" t="s">
        <v>24833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6.5">
      <c r="A4285" s="20" t="s">
        <v>24834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6.5">
      <c r="A4286" s="20" t="s">
        <v>24835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6.5">
      <c r="A4287" s="20" t="s">
        <v>24836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6.5">
      <c r="A4288" s="20" t="s">
        <v>24837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6.5">
      <c r="A4289" s="20" t="s">
        <v>24838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6.5">
      <c r="A4290" s="20" t="s">
        <v>24839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6.5">
      <c r="A4291" s="20" t="s">
        <v>24840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6.5">
      <c r="A4292" s="20" t="s">
        <v>24841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6.5">
      <c r="A4293" s="20" t="s">
        <v>24842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6.5">
      <c r="A4294" s="20" t="s">
        <v>24843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6.5">
      <c r="A4295" s="20" t="s">
        <v>24844</v>
      </c>
      <c r="B4295" s="155"/>
      <c r="C4295" s="21" t="s">
        <v>24123</v>
      </c>
      <c r="D4295" s="109" t="s">
        <v>8376</v>
      </c>
      <c r="E4295" s="109" t="s">
        <v>24878</v>
      </c>
      <c r="F4295" s="391" t="s">
        <v>24145</v>
      </c>
    </row>
    <row r="4296" spans="1:6" ht="16.5">
      <c r="A4296" s="20" t="s">
        <v>24845</v>
      </c>
      <c r="B4296" s="155"/>
      <c r="C4296" s="21" t="s">
        <v>24123</v>
      </c>
      <c r="D4296" s="109" t="s">
        <v>8376</v>
      </c>
      <c r="E4296" s="109" t="s">
        <v>24879</v>
      </c>
      <c r="F4296" s="391" t="s">
        <v>24145</v>
      </c>
    </row>
    <row r="4297" spans="1:6" ht="16.5">
      <c r="A4297" s="20" t="s">
        <v>24846</v>
      </c>
      <c r="B4297" s="155"/>
      <c r="C4297" s="21" t="s">
        <v>24778</v>
      </c>
      <c r="D4297" s="109" t="s">
        <v>8376</v>
      </c>
      <c r="E4297" s="109" t="s">
        <v>24780</v>
      </c>
      <c r="F4297" s="391" t="s">
        <v>20313</v>
      </c>
    </row>
    <row r="4298" spans="1:6" ht="16.5">
      <c r="A4298" s="20" t="s">
        <v>24847</v>
      </c>
      <c r="B4298" s="155"/>
      <c r="C4298" s="21" t="s">
        <v>24894</v>
      </c>
      <c r="D4298" s="109" t="s">
        <v>5979</v>
      </c>
      <c r="E4298" s="109" t="s">
        <v>22282</v>
      </c>
      <c r="F4298" s="391" t="s">
        <v>24896</v>
      </c>
    </row>
    <row r="4299" spans="1:6" ht="16.5">
      <c r="A4299" s="20" t="s">
        <v>24848</v>
      </c>
      <c r="B4299" s="155"/>
      <c r="C4299" s="21" t="s">
        <v>24895</v>
      </c>
      <c r="D4299" s="109" t="s">
        <v>5979</v>
      </c>
      <c r="E4299" s="109" t="s">
        <v>22282</v>
      </c>
      <c r="F4299" s="391" t="s">
        <v>24898</v>
      </c>
    </row>
    <row r="4300" spans="1:6" ht="16.5">
      <c r="A4300" s="20" t="s">
        <v>24849</v>
      </c>
      <c r="B4300" s="155"/>
      <c r="C4300" s="21" t="s">
        <v>24889</v>
      </c>
      <c r="D4300" s="109" t="s">
        <v>3137</v>
      </c>
      <c r="E4300" s="109" t="s">
        <v>22282</v>
      </c>
      <c r="F4300" s="443" t="s">
        <v>24899</v>
      </c>
    </row>
    <row r="4301" spans="1:6" ht="16.5">
      <c r="A4301" s="20" t="s">
        <v>24850</v>
      </c>
      <c r="B4301" s="155"/>
      <c r="C4301" s="21" t="s">
        <v>24877</v>
      </c>
      <c r="D4301" s="109" t="s">
        <v>3137</v>
      </c>
      <c r="E4301" s="109" t="s">
        <v>23853</v>
      </c>
      <c r="F4301" s="391" t="s">
        <v>24876</v>
      </c>
    </row>
    <row r="4302" spans="1:6" ht="16.5">
      <c r="A4302" s="20" t="s">
        <v>24851</v>
      </c>
      <c r="B4302" s="155"/>
      <c r="C4302" s="21" t="s">
        <v>24816</v>
      </c>
      <c r="D4302" s="109" t="s">
        <v>5979</v>
      </c>
      <c r="E4302" s="109"/>
      <c r="F4302" s="391" t="s">
        <v>24236</v>
      </c>
    </row>
    <row r="4303" spans="1:6" ht="16.5">
      <c r="A4303" s="20" t="s">
        <v>24852</v>
      </c>
      <c r="B4303" s="155"/>
      <c r="C4303" s="21" t="s">
        <v>24914</v>
      </c>
      <c r="D4303" s="109" t="s">
        <v>3927</v>
      </c>
      <c r="E4303" s="109"/>
      <c r="F4303" s="391" t="s">
        <v>24916</v>
      </c>
    </row>
    <row r="4304" spans="1:6" ht="16.5">
      <c r="A4304" s="20" t="s">
        <v>24917</v>
      </c>
      <c r="B4304" s="155"/>
      <c r="C4304" s="21" t="s">
        <v>24912</v>
      </c>
      <c r="D4304" s="109" t="s">
        <v>3137</v>
      </c>
      <c r="E4304" s="109"/>
      <c r="F4304" s="391" t="s">
        <v>24933</v>
      </c>
    </row>
    <row r="4305" spans="1:6" ht="16.5">
      <c r="A4305" s="20" t="s">
        <v>24918</v>
      </c>
      <c r="B4305" s="155"/>
      <c r="C4305" s="21" t="s">
        <v>24915</v>
      </c>
      <c r="D4305" s="109" t="s">
        <v>3927</v>
      </c>
      <c r="E4305" s="109"/>
      <c r="F4305" s="391" t="s">
        <v>24935</v>
      </c>
    </row>
    <row r="4306" spans="1:6" ht="16.5">
      <c r="A4306" s="20" t="s">
        <v>24919</v>
      </c>
      <c r="B4306" s="155"/>
      <c r="C4306" s="21" t="s">
        <v>24939</v>
      </c>
      <c r="D4306" s="109" t="s">
        <v>5979</v>
      </c>
      <c r="E4306" s="109"/>
      <c r="F4306" s="391" t="s">
        <v>24941</v>
      </c>
    </row>
    <row r="4307" spans="1:6" ht="16.5">
      <c r="A4307" s="20" t="s">
        <v>24920</v>
      </c>
      <c r="B4307" s="155"/>
      <c r="C4307" s="21" t="s">
        <v>24938</v>
      </c>
      <c r="D4307" s="109" t="s">
        <v>9855</v>
      </c>
      <c r="E4307" s="109"/>
      <c r="F4307" s="391" t="s">
        <v>24942</v>
      </c>
    </row>
    <row r="4308" spans="1:6" ht="16.5">
      <c r="A4308" s="20" t="s">
        <v>24921</v>
      </c>
      <c r="B4308" s="155"/>
      <c r="C4308" s="21" t="s">
        <v>24947</v>
      </c>
      <c r="D4308" s="109" t="s">
        <v>3134</v>
      </c>
      <c r="E4308" s="109"/>
      <c r="F4308" s="391" t="s">
        <v>24952</v>
      </c>
    </row>
    <row r="4309" spans="1:6" ht="16.5">
      <c r="A4309" s="20" t="s">
        <v>24922</v>
      </c>
      <c r="B4309" s="155"/>
      <c r="C4309" s="21" t="s">
        <v>24949</v>
      </c>
      <c r="D4309" s="109" t="s">
        <v>3137</v>
      </c>
      <c r="E4309" s="109"/>
      <c r="F4309" s="391" t="s">
        <v>24954</v>
      </c>
    </row>
    <row r="4310" spans="1:6" ht="16.5">
      <c r="A4310" s="20" t="s">
        <v>24923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6.5">
      <c r="A4311" s="20" t="s">
        <v>24924</v>
      </c>
      <c r="B4311" s="155"/>
      <c r="C4311" s="21" t="s">
        <v>24961</v>
      </c>
      <c r="D4311" s="109" t="s">
        <v>5979</v>
      </c>
      <c r="E4311" s="109"/>
      <c r="F4311" s="391" t="s">
        <v>24968</v>
      </c>
    </row>
    <row r="4312" spans="1:6" ht="16.5">
      <c r="A4312" s="20" t="s">
        <v>24925</v>
      </c>
      <c r="B4312" s="155"/>
      <c r="C4312" s="21" t="s">
        <v>24964</v>
      </c>
      <c r="D4312" s="109" t="s">
        <v>3137</v>
      </c>
      <c r="E4312" s="109"/>
      <c r="F4312" s="391" t="s">
        <v>24971</v>
      </c>
    </row>
    <row r="4313" spans="1:6" ht="16.5">
      <c r="A4313" s="20" t="s">
        <v>24926</v>
      </c>
      <c r="B4313" s="155"/>
      <c r="C4313" s="21" t="s">
        <v>24966</v>
      </c>
      <c r="D4313" s="109" t="s">
        <v>9855</v>
      </c>
      <c r="E4313" s="109"/>
      <c r="F4313" s="391" t="s">
        <v>24972</v>
      </c>
    </row>
    <row r="4314" spans="1:6" ht="16.5">
      <c r="A4314" s="20" t="s">
        <v>24927</v>
      </c>
      <c r="B4314" s="155"/>
      <c r="C4314" s="21" t="s">
        <v>24977</v>
      </c>
      <c r="D4314" s="109" t="s">
        <v>3137</v>
      </c>
      <c r="E4314" s="109" t="s">
        <v>7146</v>
      </c>
      <c r="F4314" s="391" t="s">
        <v>24983</v>
      </c>
    </row>
    <row r="4315" spans="1:6" ht="16.5">
      <c r="A4315" s="20" t="s">
        <v>24928</v>
      </c>
      <c r="B4315" s="155"/>
      <c r="C4315" s="21" t="s">
        <v>24975</v>
      </c>
      <c r="D4315" s="109" t="s">
        <v>3137</v>
      </c>
      <c r="E4315" s="109"/>
      <c r="F4315" s="391" t="s">
        <v>24976</v>
      </c>
    </row>
    <row r="4316" spans="1:6" ht="16.5">
      <c r="A4316" s="20" t="s">
        <v>24929</v>
      </c>
      <c r="B4316" s="155"/>
      <c r="C4316" s="21" t="s">
        <v>24980</v>
      </c>
      <c r="D4316" s="109" t="s">
        <v>9855</v>
      </c>
      <c r="E4316" s="109"/>
      <c r="F4316" s="391" t="s">
        <v>24985</v>
      </c>
    </row>
    <row r="4317" spans="1:6" ht="16.5">
      <c r="A4317" s="20" t="s">
        <v>24930</v>
      </c>
      <c r="B4317" s="155"/>
      <c r="C4317" s="21" t="s">
        <v>24856</v>
      </c>
      <c r="D4317" s="109" t="s">
        <v>3137</v>
      </c>
      <c r="E4317" s="109" t="s">
        <v>20884</v>
      </c>
      <c r="F4317" s="391" t="s">
        <v>25005</v>
      </c>
    </row>
    <row r="4318" spans="1:6" ht="16.5">
      <c r="A4318" s="20" t="s">
        <v>24931</v>
      </c>
      <c r="B4318" s="155"/>
      <c r="C4318" s="21" t="s">
        <v>24978</v>
      </c>
      <c r="D4318" s="109" t="s">
        <v>3137</v>
      </c>
      <c r="E4318" s="109" t="s">
        <v>24979</v>
      </c>
      <c r="F4318" s="391" t="s">
        <v>25006</v>
      </c>
    </row>
    <row r="4319" spans="1:6" ht="16.5">
      <c r="A4319" s="20" t="s">
        <v>24986</v>
      </c>
      <c r="B4319" s="155"/>
      <c r="C4319" s="21" t="s">
        <v>25002</v>
      </c>
      <c r="D4319" s="109" t="s">
        <v>5979</v>
      </c>
      <c r="E4319" s="109"/>
      <c r="F4319" s="391" t="s">
        <v>25008</v>
      </c>
    </row>
    <row r="4320" spans="1:6" ht="16.5">
      <c r="A4320" s="20" t="s">
        <v>24987</v>
      </c>
      <c r="B4320" s="155"/>
      <c r="C4320" s="21" t="s">
        <v>25007</v>
      </c>
      <c r="D4320" s="109" t="s">
        <v>9855</v>
      </c>
      <c r="E4320" s="109"/>
      <c r="F4320" s="391" t="s">
        <v>25010</v>
      </c>
    </row>
    <row r="4321" spans="1:6" ht="16.5">
      <c r="A4321" s="20" t="s">
        <v>24988</v>
      </c>
      <c r="B4321" s="155"/>
      <c r="C4321" s="21" t="s">
        <v>25003</v>
      </c>
      <c r="D4321" s="109" t="s">
        <v>15558</v>
      </c>
      <c r="E4321" s="109"/>
      <c r="F4321" s="391" t="s">
        <v>25011</v>
      </c>
    </row>
    <row r="4322" spans="1:6" ht="16.5">
      <c r="A4322" s="20" t="s">
        <v>24989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6.5">
      <c r="A4323" s="20" t="s">
        <v>24990</v>
      </c>
      <c r="B4323" s="155"/>
      <c r="C4323" s="21" t="s">
        <v>24069</v>
      </c>
      <c r="D4323" s="109" t="s">
        <v>9855</v>
      </c>
      <c r="E4323" s="109" t="s">
        <v>24803</v>
      </c>
      <c r="F4323" s="391" t="s">
        <v>24072</v>
      </c>
    </row>
    <row r="4324" spans="1:6" ht="16.5">
      <c r="A4324" s="20" t="s">
        <v>24991</v>
      </c>
      <c r="B4324" s="155"/>
      <c r="C4324" s="21" t="s">
        <v>25012</v>
      </c>
      <c r="D4324" s="109" t="s">
        <v>3137</v>
      </c>
      <c r="E4324" s="109"/>
      <c r="F4324" s="391" t="s">
        <v>25013</v>
      </c>
    </row>
    <row r="4325" spans="1:6" ht="16.5">
      <c r="A4325" s="20" t="s">
        <v>24992</v>
      </c>
      <c r="B4325" s="155"/>
      <c r="C4325" s="21" t="s">
        <v>25001</v>
      </c>
      <c r="D4325" s="109" t="s">
        <v>9855</v>
      </c>
      <c r="E4325" s="109"/>
      <c r="F4325" s="391" t="s">
        <v>25016</v>
      </c>
    </row>
    <row r="4326" spans="1:6" ht="16.5">
      <c r="A4326" s="20" t="s">
        <v>24993</v>
      </c>
      <c r="B4326" s="155"/>
      <c r="C4326" s="21" t="s">
        <v>25017</v>
      </c>
      <c r="D4326" s="109" t="s">
        <v>25019</v>
      </c>
      <c r="E4326" s="109" t="s">
        <v>25018</v>
      </c>
      <c r="F4326" s="391" t="s">
        <v>25020</v>
      </c>
    </row>
    <row r="4327" spans="1:6" ht="16.5">
      <c r="A4327" s="20" t="s">
        <v>24994</v>
      </c>
      <c r="B4327" s="155"/>
      <c r="C4327" s="21" t="s">
        <v>25027</v>
      </c>
      <c r="D4327" s="109" t="s">
        <v>3137</v>
      </c>
      <c r="E4327" s="109"/>
      <c r="F4327" s="391" t="s">
        <v>25035</v>
      </c>
    </row>
    <row r="4328" spans="1:6" ht="16.5">
      <c r="A4328" s="20" t="s">
        <v>24995</v>
      </c>
      <c r="B4328" s="155"/>
      <c r="C4328" s="21" t="s">
        <v>25033</v>
      </c>
      <c r="D4328" s="109" t="s">
        <v>3137</v>
      </c>
      <c r="E4328" s="109"/>
      <c r="F4328" s="391" t="s">
        <v>25036</v>
      </c>
    </row>
    <row r="4329" spans="1:6" ht="16.5">
      <c r="A4329" s="20" t="s">
        <v>24996</v>
      </c>
      <c r="B4329" s="155"/>
      <c r="C4329" s="21" t="s">
        <v>25039</v>
      </c>
      <c r="D4329" s="109" t="s">
        <v>9855</v>
      </c>
      <c r="E4329" s="109" t="s">
        <v>22282</v>
      </c>
      <c r="F4329" s="391" t="s">
        <v>25048</v>
      </c>
    </row>
    <row r="4330" spans="1:6" ht="16.5">
      <c r="A4330" s="20" t="s">
        <v>24997</v>
      </c>
      <c r="B4330" s="155"/>
      <c r="C4330" s="21" t="s">
        <v>25070</v>
      </c>
      <c r="D4330" s="109" t="s">
        <v>9855</v>
      </c>
      <c r="E4330" s="109"/>
      <c r="F4330" s="391" t="s">
        <v>25072</v>
      </c>
    </row>
    <row r="4331" spans="1:6" ht="16.5">
      <c r="A4331" s="20" t="s">
        <v>25049</v>
      </c>
      <c r="B4331" s="155"/>
      <c r="C4331" s="21" t="s">
        <v>25071</v>
      </c>
      <c r="D4331" s="109" t="s">
        <v>3137</v>
      </c>
      <c r="E4331" s="109"/>
      <c r="F4331" s="391" t="s">
        <v>25080</v>
      </c>
    </row>
    <row r="4332" spans="1:6" ht="16.5">
      <c r="A4332" s="20" t="s">
        <v>25050</v>
      </c>
      <c r="B4332" s="155"/>
      <c r="C4332" s="21" t="s">
        <v>24759</v>
      </c>
      <c r="D4332" s="109" t="s">
        <v>5979</v>
      </c>
      <c r="E4332" s="109"/>
      <c r="F4332" s="391" t="s">
        <v>21832</v>
      </c>
    </row>
    <row r="4333" spans="1:6" ht="16.5">
      <c r="A4333" s="20" t="s">
        <v>25051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6.5">
      <c r="A4334" s="20" t="s">
        <v>25052</v>
      </c>
      <c r="B4334" s="155"/>
      <c r="C4334" s="21" t="s">
        <v>25089</v>
      </c>
      <c r="D4334" s="109" t="s">
        <v>3137</v>
      </c>
      <c r="E4334" s="109" t="s">
        <v>7146</v>
      </c>
      <c r="F4334" s="391" t="s">
        <v>25091</v>
      </c>
    </row>
    <row r="4335" spans="1:6" ht="16.5">
      <c r="A4335" s="20" t="s">
        <v>25053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6.5">
      <c r="A4336" s="20" t="s">
        <v>25054</v>
      </c>
      <c r="B4336" s="155"/>
      <c r="C4336" s="21" t="s">
        <v>25084</v>
      </c>
      <c r="D4336" s="109" t="s">
        <v>9855</v>
      </c>
      <c r="E4336" s="109"/>
      <c r="F4336" s="391" t="s">
        <v>25095</v>
      </c>
    </row>
    <row r="4337" spans="1:6" ht="16.5">
      <c r="A4337" s="20" t="s">
        <v>25055</v>
      </c>
      <c r="B4337" s="155"/>
      <c r="C4337" s="21" t="s">
        <v>25105</v>
      </c>
      <c r="D4337" s="109" t="s">
        <v>3137</v>
      </c>
      <c r="E4337" s="109" t="s">
        <v>23083</v>
      </c>
      <c r="F4337" s="391" t="s">
        <v>25106</v>
      </c>
    </row>
    <row r="4338" spans="1:6" ht="16.5">
      <c r="A4338" s="20" t="s">
        <v>25056</v>
      </c>
      <c r="B4338" s="155"/>
      <c r="C4338" s="21" t="s">
        <v>25066</v>
      </c>
      <c r="D4338" s="109" t="s">
        <v>3137</v>
      </c>
      <c r="E4338" s="109"/>
      <c r="F4338" s="391" t="s">
        <v>25067</v>
      </c>
    </row>
    <row r="4339" spans="1:6" ht="16.5">
      <c r="A4339" s="20" t="s">
        <v>25057</v>
      </c>
      <c r="B4339" s="155"/>
      <c r="C4339" s="21" t="s">
        <v>25108</v>
      </c>
      <c r="D4339" s="109" t="s">
        <v>9855</v>
      </c>
      <c r="E4339" s="109"/>
      <c r="F4339" s="391" t="s">
        <v>25115</v>
      </c>
    </row>
    <row r="4340" spans="1:6" ht="16.5">
      <c r="A4340" s="20" t="s">
        <v>25058</v>
      </c>
      <c r="B4340" s="155"/>
      <c r="C4340" s="21" t="s">
        <v>25124</v>
      </c>
      <c r="D4340" s="109" t="s">
        <v>3137</v>
      </c>
      <c r="E4340" s="109"/>
      <c r="F4340" s="391" t="s">
        <v>25129</v>
      </c>
    </row>
    <row r="4341" spans="1:6" ht="16.5">
      <c r="A4341" s="20" t="s">
        <v>25059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6.5">
      <c r="A4342" s="20" t="s">
        <v>25060</v>
      </c>
      <c r="B4342" s="155"/>
      <c r="C4342" s="21" t="s">
        <v>25134</v>
      </c>
      <c r="D4342" s="109" t="s">
        <v>9855</v>
      </c>
      <c r="E4342" s="109" t="s">
        <v>3930</v>
      </c>
      <c r="F4342" s="391" t="s">
        <v>25140</v>
      </c>
    </row>
    <row r="4343" spans="1:6" ht="16.5">
      <c r="A4343" s="20" t="s">
        <v>25061</v>
      </c>
      <c r="B4343" s="155"/>
      <c r="C4343" s="21" t="s">
        <v>25135</v>
      </c>
      <c r="D4343" s="109" t="s">
        <v>9855</v>
      </c>
      <c r="E4343" s="109" t="s">
        <v>3929</v>
      </c>
      <c r="F4343" s="391" t="s">
        <v>25144</v>
      </c>
    </row>
    <row r="4344" spans="1:6" ht="16.5">
      <c r="A4344" s="20" t="s">
        <v>25062</v>
      </c>
      <c r="B4344" s="155"/>
      <c r="C4344" s="21" t="s">
        <v>25141</v>
      </c>
      <c r="D4344" s="109" t="s">
        <v>3958</v>
      </c>
      <c r="E4344" s="109"/>
      <c r="F4344" s="391" t="s">
        <v>25150</v>
      </c>
    </row>
    <row r="4345" spans="1:6" ht="16.5">
      <c r="A4345" s="20" t="s">
        <v>25063</v>
      </c>
      <c r="B4345" s="155"/>
      <c r="C4345" s="21" t="s">
        <v>25147</v>
      </c>
      <c r="D4345" s="109" t="s">
        <v>3137</v>
      </c>
      <c r="E4345" s="109"/>
      <c r="F4345" s="391" t="s">
        <v>25152</v>
      </c>
    </row>
    <row r="4346" spans="1:6" ht="16.5">
      <c r="A4346" s="20" t="s">
        <v>25064</v>
      </c>
      <c r="B4346" s="155"/>
      <c r="C4346" s="21" t="s">
        <v>25177</v>
      </c>
      <c r="D4346" s="109" t="s">
        <v>3137</v>
      </c>
      <c r="E4346" s="109" t="s">
        <v>25179</v>
      </c>
      <c r="F4346" s="391" t="s">
        <v>25180</v>
      </c>
    </row>
    <row r="4347" spans="1:6" ht="16.5">
      <c r="A4347" s="20" t="s">
        <v>25065</v>
      </c>
      <c r="B4347" s="155"/>
      <c r="C4347" s="21" t="s">
        <v>25182</v>
      </c>
      <c r="D4347" s="109" t="s">
        <v>4070</v>
      </c>
      <c r="E4347" s="109" t="s">
        <v>25178</v>
      </c>
      <c r="F4347" s="391" t="s">
        <v>25183</v>
      </c>
    </row>
    <row r="4348" spans="1:6" ht="16.5">
      <c r="A4348" s="20" t="s">
        <v>25153</v>
      </c>
      <c r="B4348" s="155"/>
      <c r="C4348" s="21" t="s">
        <v>25184</v>
      </c>
      <c r="D4348" s="109" t="s">
        <v>5979</v>
      </c>
      <c r="E4348" s="109"/>
      <c r="F4348" s="391" t="s">
        <v>25190</v>
      </c>
    </row>
    <row r="4349" spans="1:6" ht="16.5">
      <c r="A4349" s="20" t="s">
        <v>25154</v>
      </c>
      <c r="B4349" s="155"/>
      <c r="C4349" s="21" t="s">
        <v>25191</v>
      </c>
      <c r="D4349" s="109" t="s">
        <v>3137</v>
      </c>
      <c r="E4349" s="109"/>
      <c r="F4349" s="391" t="s">
        <v>25192</v>
      </c>
    </row>
    <row r="4350" spans="1:6" ht="16.5">
      <c r="A4350" s="20" t="s">
        <v>25155</v>
      </c>
      <c r="B4350" s="155"/>
      <c r="C4350" s="21" t="s">
        <v>25199</v>
      </c>
      <c r="D4350" s="109" t="s">
        <v>5979</v>
      </c>
      <c r="E4350" s="109" t="s">
        <v>25201</v>
      </c>
      <c r="F4350" s="391" t="s">
        <v>25202</v>
      </c>
    </row>
    <row r="4351" spans="1:6" ht="16.5">
      <c r="A4351" s="20" t="s">
        <v>25156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6.5">
      <c r="A4352" s="20" t="s">
        <v>25157</v>
      </c>
      <c r="B4352" s="155"/>
      <c r="C4352" s="21" t="s">
        <v>25209</v>
      </c>
      <c r="D4352" s="109" t="s">
        <v>9855</v>
      </c>
      <c r="E4352" s="109"/>
      <c r="F4352" s="391" t="s">
        <v>25212</v>
      </c>
    </row>
    <row r="4353" spans="1:6" ht="16.5">
      <c r="A4353" s="20" t="s">
        <v>25158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6.5">
      <c r="A4354" s="20" t="s">
        <v>25159</v>
      </c>
      <c r="B4354" s="155"/>
      <c r="C4354" s="213" t="s">
        <v>25218</v>
      </c>
      <c r="D4354" s="109" t="s">
        <v>5979</v>
      </c>
      <c r="E4354" s="109"/>
      <c r="F4354" s="391" t="s">
        <v>17174</v>
      </c>
    </row>
    <row r="4355" spans="1:6" ht="16.5">
      <c r="A4355" s="20" t="s">
        <v>25160</v>
      </c>
      <c r="B4355" s="155"/>
      <c r="C4355" s="21" t="s">
        <v>25281</v>
      </c>
      <c r="D4355" s="109" t="s">
        <v>3096</v>
      </c>
      <c r="E4355" s="109"/>
      <c r="F4355" s="391" t="s">
        <v>25289</v>
      </c>
    </row>
    <row r="4356" spans="1:6" ht="16.5">
      <c r="A4356" s="20" t="s">
        <v>25161</v>
      </c>
      <c r="B4356" s="155"/>
      <c r="C4356" s="21" t="s">
        <v>25282</v>
      </c>
      <c r="D4356" s="109" t="s">
        <v>3137</v>
      </c>
      <c r="E4356" s="109"/>
      <c r="F4356" s="391" t="s">
        <v>25290</v>
      </c>
    </row>
    <row r="4357" spans="1:6" ht="16.5">
      <c r="A4357" s="20" t="s">
        <v>25162</v>
      </c>
      <c r="B4357" s="155"/>
      <c r="C4357" s="21" t="s">
        <v>25119</v>
      </c>
      <c r="D4357" s="109" t="s">
        <v>3137</v>
      </c>
      <c r="E4357" s="109"/>
      <c r="F4357" s="391" t="s">
        <v>25120</v>
      </c>
    </row>
    <row r="4358" spans="1:6" ht="16.5">
      <c r="A4358" s="20" t="s">
        <v>25163</v>
      </c>
      <c r="B4358" s="155"/>
      <c r="C4358" s="21" t="s">
        <v>24978</v>
      </c>
      <c r="D4358" s="109" t="s">
        <v>3137</v>
      </c>
      <c r="E4358" s="109" t="s">
        <v>6737</v>
      </c>
      <c r="F4358" s="391" t="s">
        <v>25006</v>
      </c>
    </row>
    <row r="4359" spans="1:6" ht="16.5">
      <c r="A4359" s="20" t="s">
        <v>25164</v>
      </c>
      <c r="B4359" s="155"/>
      <c r="C4359" s="21" t="s">
        <v>25021</v>
      </c>
      <c r="D4359" s="109" t="s">
        <v>4070</v>
      </c>
      <c r="E4359" s="109" t="s">
        <v>3128</v>
      </c>
      <c r="F4359" s="391" t="s">
        <v>25022</v>
      </c>
    </row>
    <row r="4360" spans="1:6" ht="16.5">
      <c r="A4360" s="20" t="s">
        <v>25165</v>
      </c>
      <c r="B4360" s="155"/>
      <c r="C4360" s="21" t="s">
        <v>25111</v>
      </c>
      <c r="D4360" s="109" t="s">
        <v>5979</v>
      </c>
      <c r="E4360" s="109"/>
      <c r="F4360" s="391" t="s">
        <v>24175</v>
      </c>
    </row>
    <row r="4361" spans="1:6" ht="16.5">
      <c r="A4361" s="20" t="s">
        <v>25166</v>
      </c>
      <c r="B4361" s="155"/>
      <c r="C4361" s="21" t="s">
        <v>25274</v>
      </c>
      <c r="D4361" s="109" t="s">
        <v>5979</v>
      </c>
      <c r="E4361" s="109"/>
      <c r="F4361" s="391" t="s">
        <v>25296</v>
      </c>
    </row>
    <row r="4362" spans="1:6" ht="16.5">
      <c r="A4362" s="20" t="s">
        <v>25167</v>
      </c>
      <c r="B4362" s="155"/>
      <c r="C4362" s="21" t="s">
        <v>25295</v>
      </c>
      <c r="D4362" s="109" t="s">
        <v>3137</v>
      </c>
      <c r="E4362" s="109"/>
      <c r="F4362" s="391" t="s">
        <v>25307</v>
      </c>
    </row>
    <row r="4363" spans="1:6" ht="16.5">
      <c r="A4363" s="20" t="s">
        <v>25168</v>
      </c>
      <c r="B4363" s="155"/>
      <c r="C4363" s="21" t="s">
        <v>25294</v>
      </c>
      <c r="D4363" s="109" t="s">
        <v>3137</v>
      </c>
      <c r="E4363" s="109"/>
      <c r="F4363" s="391" t="s">
        <v>25310</v>
      </c>
    </row>
    <row r="4364" spans="1:6" ht="16.5">
      <c r="A4364" s="20" t="s">
        <v>25169</v>
      </c>
      <c r="B4364" s="155"/>
      <c r="C4364" s="21" t="s">
        <v>25316</v>
      </c>
      <c r="D4364" s="109" t="s">
        <v>3137</v>
      </c>
      <c r="E4364" s="109"/>
      <c r="F4364" s="391" t="s">
        <v>25319</v>
      </c>
    </row>
    <row r="4365" spans="1:6" ht="16.5">
      <c r="A4365" s="20" t="s">
        <v>25170</v>
      </c>
      <c r="B4365" s="155"/>
      <c r="C4365" s="21" t="s">
        <v>25331</v>
      </c>
      <c r="D4365" s="109" t="s">
        <v>9855</v>
      </c>
      <c r="E4365" s="109" t="s">
        <v>23083</v>
      </c>
      <c r="F4365" s="391" t="s">
        <v>25344</v>
      </c>
    </row>
    <row r="4366" spans="1:6" ht="16.5">
      <c r="A4366" s="20" t="s">
        <v>25171</v>
      </c>
      <c r="B4366" s="155"/>
      <c r="C4366" s="21" t="s">
        <v>25235</v>
      </c>
      <c r="D4366" s="109" t="s">
        <v>9855</v>
      </c>
      <c r="E4366" s="109"/>
      <c r="F4366" s="446" t="s">
        <v>25248</v>
      </c>
    </row>
    <row r="4367" spans="1:6" ht="16.5">
      <c r="A4367" s="20" t="s">
        <v>25172</v>
      </c>
      <c r="B4367" s="155"/>
      <c r="C4367" s="21" t="s">
        <v>25241</v>
      </c>
      <c r="D4367" s="109" t="s">
        <v>9855</v>
      </c>
      <c r="E4367" s="109"/>
      <c r="F4367" s="391" t="s">
        <v>25249</v>
      </c>
    </row>
    <row r="4368" spans="1:6" ht="16.5">
      <c r="A4368" s="20" t="s">
        <v>25173</v>
      </c>
      <c r="B4368" s="155"/>
      <c r="C4368" s="21" t="s">
        <v>25314</v>
      </c>
      <c r="D4368" s="109" t="s">
        <v>9855</v>
      </c>
      <c r="E4368" s="109"/>
      <c r="F4368" s="391" t="s">
        <v>25353</v>
      </c>
    </row>
    <row r="4369" spans="1:6" ht="16.5">
      <c r="A4369" s="20" t="s">
        <v>25174</v>
      </c>
      <c r="B4369" s="155"/>
      <c r="C4369" s="21" t="s">
        <v>25335</v>
      </c>
      <c r="D4369" s="109" t="s">
        <v>5979</v>
      </c>
      <c r="E4369" s="109" t="s">
        <v>25201</v>
      </c>
      <c r="F4369" s="391" t="s">
        <v>25354</v>
      </c>
    </row>
    <row r="4370" spans="1:6" ht="16.5">
      <c r="A4370" s="20" t="s">
        <v>25345</v>
      </c>
      <c r="B4370" s="155"/>
      <c r="C4370" s="21" t="s">
        <v>25343</v>
      </c>
      <c r="D4370" s="109" t="s">
        <v>3137</v>
      </c>
      <c r="E4370" s="109"/>
      <c r="F4370" s="391" t="s">
        <v>25369</v>
      </c>
    </row>
    <row r="4371" spans="1:6" ht="16.5">
      <c r="A4371" s="20" t="s">
        <v>25346</v>
      </c>
      <c r="B4371" s="155"/>
      <c r="C4371" s="21" t="s">
        <v>25374</v>
      </c>
      <c r="D4371" s="109" t="s">
        <v>3137</v>
      </c>
      <c r="E4371" s="109"/>
      <c r="F4371" s="391" t="s">
        <v>25380</v>
      </c>
    </row>
    <row r="4372" spans="1:6" ht="16.5">
      <c r="A4372" s="20" t="s">
        <v>25347</v>
      </c>
      <c r="B4372" s="155"/>
      <c r="C4372" s="21" t="s">
        <v>25375</v>
      </c>
      <c r="D4372" s="109" t="s">
        <v>3137</v>
      </c>
      <c r="E4372" s="109"/>
      <c r="F4372" s="391" t="s">
        <v>25381</v>
      </c>
    </row>
    <row r="4373" spans="1:6" ht="16.5">
      <c r="A4373" s="20" t="s">
        <v>25348</v>
      </c>
      <c r="B4373" s="155"/>
      <c r="C4373" s="21" t="s">
        <v>25376</v>
      </c>
      <c r="D4373" s="109" t="s">
        <v>9855</v>
      </c>
      <c r="E4373" s="109" t="s">
        <v>25382</v>
      </c>
      <c r="F4373" s="391" t="s">
        <v>25383</v>
      </c>
    </row>
    <row r="4374" spans="1:6" ht="16.5">
      <c r="A4374" s="20" t="s">
        <v>25349</v>
      </c>
      <c r="B4374" s="155"/>
      <c r="C4374" s="21" t="s">
        <v>25426</v>
      </c>
      <c r="D4374" s="109" t="s">
        <v>5979</v>
      </c>
      <c r="E4374" s="109"/>
      <c r="F4374" s="391" t="s">
        <v>25428</v>
      </c>
    </row>
    <row r="4375" spans="1:6" ht="16.5">
      <c r="A4375" s="20" t="s">
        <v>25350</v>
      </c>
      <c r="B4375" s="155"/>
      <c r="C4375" s="21" t="s">
        <v>25282</v>
      </c>
      <c r="D4375" s="109" t="s">
        <v>8376</v>
      </c>
      <c r="E4375" s="109"/>
      <c r="F4375" s="391" t="s">
        <v>25290</v>
      </c>
    </row>
    <row r="4376" spans="1:6" ht="16.5">
      <c r="A4376" s="20" t="s">
        <v>25351</v>
      </c>
      <c r="B4376" s="155"/>
      <c r="C4376" s="21" t="s">
        <v>25427</v>
      </c>
      <c r="D4376" s="109" t="s">
        <v>3137</v>
      </c>
      <c r="E4376" s="109"/>
      <c r="F4376" s="391" t="s">
        <v>25440</v>
      </c>
    </row>
    <row r="4377" spans="1:6" ht="16.5">
      <c r="A4377" s="20" t="s">
        <v>25352</v>
      </c>
      <c r="B4377" s="155"/>
      <c r="C4377" s="21" t="s">
        <v>25445</v>
      </c>
      <c r="D4377" s="109" t="s">
        <v>9855</v>
      </c>
      <c r="E4377" s="109"/>
      <c r="F4377" s="391" t="s">
        <v>25448</v>
      </c>
    </row>
    <row r="4378" spans="1:6" ht="16.5">
      <c r="A4378" s="20" t="s">
        <v>25430</v>
      </c>
      <c r="B4378" s="155"/>
      <c r="C4378" s="21" t="s">
        <v>25458</v>
      </c>
      <c r="D4378" s="109" t="s">
        <v>3137</v>
      </c>
      <c r="E4378" s="109"/>
      <c r="F4378" s="391" t="s">
        <v>25462</v>
      </c>
    </row>
    <row r="4379" spans="1:6" ht="16.5">
      <c r="A4379" s="20" t="s">
        <v>25431</v>
      </c>
      <c r="B4379" s="155"/>
      <c r="C4379" s="21" t="s">
        <v>25301</v>
      </c>
      <c r="D4379" s="109" t="s">
        <v>24785</v>
      </c>
      <c r="E4379" s="109"/>
      <c r="F4379" s="391" t="s">
        <v>25302</v>
      </c>
    </row>
    <row r="4380" spans="1:6" ht="16.5">
      <c r="A4380" s="20" t="s">
        <v>25432</v>
      </c>
      <c r="B4380" s="155"/>
      <c r="C4380" s="21" t="s">
        <v>25404</v>
      </c>
      <c r="D4380" s="109" t="s">
        <v>18869</v>
      </c>
      <c r="E4380" s="109" t="s">
        <v>23853</v>
      </c>
      <c r="F4380" s="391" t="s">
        <v>25407</v>
      </c>
    </row>
    <row r="4381" spans="1:6" ht="16.5">
      <c r="A4381" s="20" t="s">
        <v>25433</v>
      </c>
      <c r="B4381" s="155"/>
      <c r="C4381" s="21" t="s">
        <v>25271</v>
      </c>
      <c r="D4381" s="109" t="s">
        <v>9855</v>
      </c>
      <c r="E4381" s="109" t="s">
        <v>23853</v>
      </c>
      <c r="F4381" s="391" t="s">
        <v>25272</v>
      </c>
    </row>
    <row r="4382" spans="1:6" ht="16.5">
      <c r="A4382" s="20" t="s">
        <v>25434</v>
      </c>
      <c r="B4382" s="155"/>
      <c r="C4382" s="21" t="s">
        <v>24701</v>
      </c>
      <c r="D4382" s="109" t="s">
        <v>4070</v>
      </c>
      <c r="E4382" s="109" t="s">
        <v>24703</v>
      </c>
      <c r="F4382" s="213" t="s">
        <v>24702</v>
      </c>
    </row>
    <row r="4383" spans="1:6" ht="16.5">
      <c r="A4383" s="20" t="s">
        <v>25435</v>
      </c>
      <c r="B4383" s="155"/>
      <c r="C4383" s="21" t="s">
        <v>24701</v>
      </c>
      <c r="D4383" s="109" t="s">
        <v>4070</v>
      </c>
      <c r="E4383" s="109" t="s">
        <v>24748</v>
      </c>
      <c r="F4383" s="213" t="s">
        <v>24702</v>
      </c>
    </row>
    <row r="4384" spans="1:6" ht="16.5">
      <c r="A4384" s="20" t="s">
        <v>25436</v>
      </c>
      <c r="B4384" s="155"/>
      <c r="C4384" s="21" t="s">
        <v>25466</v>
      </c>
      <c r="D4384" s="109" t="s">
        <v>5649</v>
      </c>
      <c r="E4384" s="109"/>
      <c r="F4384" s="391" t="s">
        <v>9396</v>
      </c>
    </row>
    <row r="4385" spans="1:6" ht="16.5">
      <c r="A4385" s="20" t="s">
        <v>25437</v>
      </c>
      <c r="B4385" s="155"/>
      <c r="C4385" s="21" t="s">
        <v>25469</v>
      </c>
      <c r="D4385" s="109" t="s">
        <v>3137</v>
      </c>
      <c r="E4385" s="109"/>
      <c r="F4385" s="391" t="s">
        <v>25482</v>
      </c>
    </row>
    <row r="4386" spans="1:6" ht="16.5">
      <c r="A4386" s="20" t="s">
        <v>25438</v>
      </c>
      <c r="B4386" s="155"/>
      <c r="C4386" s="21" t="s">
        <v>25471</v>
      </c>
      <c r="D4386" s="109" t="s">
        <v>3137</v>
      </c>
      <c r="E4386" s="109"/>
      <c r="F4386" s="391" t="s">
        <v>25489</v>
      </c>
    </row>
    <row r="4387" spans="1:6" ht="16.5">
      <c r="A4387" s="20" t="s">
        <v>25473</v>
      </c>
      <c r="B4387" s="155"/>
      <c r="C4387" s="21" t="s">
        <v>25486</v>
      </c>
      <c r="D4387" s="109" t="s">
        <v>5979</v>
      </c>
      <c r="E4387" s="109"/>
      <c r="F4387" s="391" t="s">
        <v>25495</v>
      </c>
    </row>
    <row r="4388" spans="1:6" ht="16.5">
      <c r="A4388" s="20" t="s">
        <v>25474</v>
      </c>
      <c r="B4388" s="155"/>
      <c r="C4388" s="21" t="s">
        <v>25497</v>
      </c>
      <c r="D4388" s="109" t="s">
        <v>9855</v>
      </c>
      <c r="E4388" s="109"/>
      <c r="F4388" s="391" t="s">
        <v>25502</v>
      </c>
    </row>
    <row r="4389" spans="1:6" ht="16.5">
      <c r="A4389" s="20" t="s">
        <v>25475</v>
      </c>
      <c r="B4389" s="155"/>
      <c r="C4389" s="21" t="s">
        <v>25399</v>
      </c>
      <c r="D4389" s="109" t="s">
        <v>4070</v>
      </c>
      <c r="E4389" s="109"/>
      <c r="F4389" s="391" t="s">
        <v>25400</v>
      </c>
    </row>
    <row r="4390" spans="1:6" ht="16.5">
      <c r="A4390" s="20" t="s">
        <v>25476</v>
      </c>
      <c r="B4390" s="155"/>
      <c r="C4390" s="21" t="s">
        <v>19840</v>
      </c>
      <c r="D4390" s="109" t="s">
        <v>4070</v>
      </c>
      <c r="E4390" s="109" t="s">
        <v>25223</v>
      </c>
      <c r="F4390" s="391" t="s">
        <v>25219</v>
      </c>
    </row>
    <row r="4391" spans="1:6" ht="16.5">
      <c r="A4391" s="20" t="s">
        <v>25477</v>
      </c>
      <c r="B4391" s="155"/>
      <c r="C4391" s="21" t="s">
        <v>25087</v>
      </c>
      <c r="D4391" s="109" t="s">
        <v>4070</v>
      </c>
      <c r="E4391" s="109"/>
      <c r="F4391" s="391" t="s">
        <v>25088</v>
      </c>
    </row>
    <row r="4392" spans="1:6" ht="16.5">
      <c r="A4392" s="20" t="s">
        <v>25478</v>
      </c>
      <c r="B4392" s="155"/>
      <c r="C4392" s="21" t="s">
        <v>25320</v>
      </c>
      <c r="D4392" s="109" t="s">
        <v>4070</v>
      </c>
      <c r="E4392" s="109" t="s">
        <v>25321</v>
      </c>
      <c r="F4392" s="391" t="s">
        <v>25322</v>
      </c>
    </row>
    <row r="4393" spans="1:6" ht="16.5">
      <c r="A4393" s="20" t="s">
        <v>25479</v>
      </c>
      <c r="B4393" s="155"/>
      <c r="C4393" s="21" t="s">
        <v>25507</v>
      </c>
      <c r="D4393" s="109" t="s">
        <v>5979</v>
      </c>
      <c r="E4393" s="109"/>
      <c r="F4393" s="391" t="s">
        <v>25509</v>
      </c>
    </row>
    <row r="4394" spans="1:6" ht="16.5">
      <c r="A4394" s="20" t="s">
        <v>25480</v>
      </c>
      <c r="B4394" s="155"/>
      <c r="C4394" s="21" t="s">
        <v>25511</v>
      </c>
      <c r="D4394" s="109" t="s">
        <v>3137</v>
      </c>
      <c r="E4394" s="109"/>
      <c r="F4394" s="391" t="s">
        <v>25516</v>
      </c>
    </row>
    <row r="4395" spans="1:6" ht="16.5">
      <c r="A4395" s="20" t="s">
        <v>25481</v>
      </c>
      <c r="B4395" s="155"/>
      <c r="C4395" s="21" t="s">
        <v>25512</v>
      </c>
      <c r="D4395" s="109" t="s">
        <v>9855</v>
      </c>
      <c r="E4395" s="109"/>
      <c r="F4395" s="391" t="s">
        <v>25525</v>
      </c>
    </row>
    <row r="4396" spans="1:6" ht="16.5">
      <c r="A4396" s="20" t="s">
        <v>25517</v>
      </c>
      <c r="B4396" s="155"/>
      <c r="C4396" s="26" t="s">
        <v>25510</v>
      </c>
      <c r="D4396" s="109" t="s">
        <v>9855</v>
      </c>
      <c r="E4396" s="110"/>
      <c r="F4396" s="451" t="s">
        <v>25526</v>
      </c>
    </row>
    <row r="4397" spans="1:6" ht="16.5">
      <c r="A4397" s="20" t="s">
        <v>25518</v>
      </c>
      <c r="B4397" s="155"/>
      <c r="C4397" s="21" t="s">
        <v>24962</v>
      </c>
      <c r="D4397" s="109" t="s">
        <v>24628</v>
      </c>
      <c r="E4397" s="109" t="s">
        <v>24963</v>
      </c>
      <c r="F4397" s="391" t="s">
        <v>25026</v>
      </c>
    </row>
    <row r="4398" spans="1:6" ht="16.5">
      <c r="A4398" s="20" t="s">
        <v>25519</v>
      </c>
      <c r="B4398" s="155"/>
      <c r="C4398" s="21" t="s">
        <v>25540</v>
      </c>
      <c r="D4398" s="109" t="s">
        <v>5979</v>
      </c>
      <c r="E4398" s="109" t="s">
        <v>22282</v>
      </c>
      <c r="F4398" s="391" t="s">
        <v>25546</v>
      </c>
    </row>
    <row r="4399" spans="1:6" ht="16.5">
      <c r="A4399" s="20" t="s">
        <v>25520</v>
      </c>
      <c r="B4399" s="155"/>
      <c r="C4399" s="21" t="s">
        <v>25551</v>
      </c>
      <c r="D4399" s="109" t="s">
        <v>3958</v>
      </c>
      <c r="E4399" s="109"/>
      <c r="F4399" s="391" t="s">
        <v>25562</v>
      </c>
    </row>
    <row r="4400" spans="1:6" ht="16.5">
      <c r="A4400" s="20" t="s">
        <v>25521</v>
      </c>
      <c r="B4400" s="155"/>
      <c r="C4400" s="21" t="s">
        <v>25552</v>
      </c>
      <c r="D4400" s="109" t="s">
        <v>3958</v>
      </c>
      <c r="E4400" s="109"/>
      <c r="F4400" s="391" t="s">
        <v>25563</v>
      </c>
    </row>
    <row r="4401" spans="1:6" ht="16.5">
      <c r="A4401" s="20" t="s">
        <v>25522</v>
      </c>
      <c r="B4401" s="155"/>
      <c r="C4401" s="21" t="s">
        <v>25568</v>
      </c>
      <c r="D4401" s="109" t="s">
        <v>24785</v>
      </c>
      <c r="E4401" s="109" t="s">
        <v>25567</v>
      </c>
      <c r="F4401" s="391" t="s">
        <v>25565</v>
      </c>
    </row>
    <row r="4402" spans="1:6" ht="16.5">
      <c r="A4402" s="20" t="s">
        <v>25523</v>
      </c>
      <c r="B4402" s="155"/>
      <c r="C4402" s="21" t="s">
        <v>25577</v>
      </c>
      <c r="D4402" s="109" t="s">
        <v>3137</v>
      </c>
      <c r="E4402" s="109"/>
      <c r="F4402" s="391" t="s">
        <v>25578</v>
      </c>
    </row>
    <row r="4403" spans="1:6" ht="16.5">
      <c r="A4403" s="20" t="s">
        <v>25524</v>
      </c>
      <c r="B4403" s="155"/>
      <c r="C4403" s="21" t="s">
        <v>25594</v>
      </c>
      <c r="D4403" s="109" t="s">
        <v>9855</v>
      </c>
      <c r="E4403" s="109" t="s">
        <v>25602</v>
      </c>
      <c r="F4403" s="391" t="s">
        <v>25603</v>
      </c>
    </row>
    <row r="4404" spans="1:6" ht="16.5">
      <c r="A4404" s="20" t="s">
        <v>25604</v>
      </c>
      <c r="B4404" s="155"/>
      <c r="C4404" s="21" t="s">
        <v>25595</v>
      </c>
      <c r="D4404" s="109" t="s">
        <v>9855</v>
      </c>
      <c r="E4404" s="109"/>
      <c r="F4404" s="391" t="s">
        <v>25630</v>
      </c>
    </row>
    <row r="4405" spans="1:6" ht="16.5">
      <c r="A4405" s="20" t="s">
        <v>25605</v>
      </c>
      <c r="B4405" s="155"/>
      <c r="C4405" s="21" t="s">
        <v>25598</v>
      </c>
      <c r="D4405" s="109" t="s">
        <v>7960</v>
      </c>
      <c r="E4405" s="109"/>
      <c r="F4405" s="391" t="s">
        <v>25636</v>
      </c>
    </row>
    <row r="4406" spans="1:6" ht="16.5">
      <c r="A4406" s="20" t="s">
        <v>25606</v>
      </c>
      <c r="B4406" s="155"/>
      <c r="C4406" s="21" t="s">
        <v>25600</v>
      </c>
      <c r="D4406" s="109" t="s">
        <v>5979</v>
      </c>
      <c r="E4406" s="109"/>
      <c r="F4406" s="391" t="s">
        <v>25637</v>
      </c>
    </row>
    <row r="4407" spans="1:6" ht="16.5">
      <c r="A4407" s="20" t="s">
        <v>25607</v>
      </c>
      <c r="B4407" s="155"/>
      <c r="C4407" s="21" t="s">
        <v>25592</v>
      </c>
      <c r="D4407" s="109" t="s">
        <v>7761</v>
      </c>
      <c r="E4407" s="109"/>
      <c r="F4407" s="391" t="s">
        <v>25593</v>
      </c>
    </row>
    <row r="4408" spans="1:6" ht="16.5">
      <c r="A4408" s="20" t="s">
        <v>25608</v>
      </c>
      <c r="B4408" s="155"/>
      <c r="C4408" s="21" t="s">
        <v>25640</v>
      </c>
      <c r="D4408" s="109" t="s">
        <v>3137</v>
      </c>
      <c r="E4408" s="109"/>
      <c r="F4408" s="391" t="s">
        <v>25651</v>
      </c>
    </row>
    <row r="4409" spans="1:6" ht="16.5">
      <c r="A4409" s="20" t="s">
        <v>25609</v>
      </c>
      <c r="B4409" s="155"/>
      <c r="C4409" s="21" t="s">
        <v>25660</v>
      </c>
      <c r="D4409" s="109" t="s">
        <v>9855</v>
      </c>
      <c r="E4409" s="109"/>
      <c r="F4409" s="391" t="s">
        <v>25662</v>
      </c>
    </row>
    <row r="4410" spans="1:6" ht="16.5">
      <c r="A4410" s="20" t="s">
        <v>25610</v>
      </c>
      <c r="B4410" s="155"/>
      <c r="C4410" s="21" t="s">
        <v>25669</v>
      </c>
      <c r="D4410" s="109" t="s">
        <v>3137</v>
      </c>
      <c r="E4410" s="109"/>
      <c r="F4410" s="391" t="s">
        <v>25676</v>
      </c>
    </row>
    <row r="4411" spans="1:6" ht="16.5">
      <c r="A4411" s="20" t="s">
        <v>25611</v>
      </c>
      <c r="B4411" s="155"/>
      <c r="C4411" s="21" t="s">
        <v>25672</v>
      </c>
      <c r="D4411" s="109" t="s">
        <v>4059</v>
      </c>
      <c r="E4411" s="109" t="s">
        <v>25675</v>
      </c>
      <c r="F4411" s="391" t="s">
        <v>25673</v>
      </c>
    </row>
    <row r="4412" spans="1:6" ht="16.5">
      <c r="A4412" s="20" t="s">
        <v>25612</v>
      </c>
      <c r="B4412" s="155"/>
      <c r="C4412" s="21" t="s">
        <v>25646</v>
      </c>
      <c r="D4412" s="109" t="s">
        <v>3137</v>
      </c>
      <c r="E4412" s="109" t="s">
        <v>23853</v>
      </c>
      <c r="F4412" s="391" t="s">
        <v>25649</v>
      </c>
    </row>
    <row r="4413" spans="1:6" ht="16.5">
      <c r="A4413" s="20" t="s">
        <v>25613</v>
      </c>
      <c r="B4413" s="155"/>
      <c r="C4413" s="21" t="s">
        <v>25671</v>
      </c>
      <c r="D4413" s="109" t="s">
        <v>3137</v>
      </c>
      <c r="E4413" s="109"/>
      <c r="F4413" s="391" t="s">
        <v>25677</v>
      </c>
    </row>
    <row r="4414" spans="1:6" ht="16.5">
      <c r="A4414" s="20" t="s">
        <v>25614</v>
      </c>
      <c r="B4414" s="155"/>
      <c r="C4414" s="21" t="s">
        <v>25281</v>
      </c>
      <c r="D4414" s="109" t="s">
        <v>3102</v>
      </c>
      <c r="E4414" s="109"/>
      <c r="F4414" s="391" t="s">
        <v>25707</v>
      </c>
    </row>
    <row r="4415" spans="1:6" ht="16.5">
      <c r="A4415" s="20" t="s">
        <v>25615</v>
      </c>
      <c r="B4415" s="155"/>
      <c r="C4415" s="21" t="s">
        <v>25700</v>
      </c>
      <c r="D4415" s="109" t="s">
        <v>3137</v>
      </c>
      <c r="E4415" s="109" t="s">
        <v>25708</v>
      </c>
      <c r="F4415" s="391" t="s">
        <v>25710</v>
      </c>
    </row>
    <row r="4416" spans="1:6" ht="16.5">
      <c r="A4416" s="20" t="s">
        <v>25616</v>
      </c>
      <c r="B4416" s="155"/>
      <c r="C4416" s="21" t="s">
        <v>25701</v>
      </c>
      <c r="D4416" s="109" t="s">
        <v>3137</v>
      </c>
      <c r="E4416" s="109" t="s">
        <v>25708</v>
      </c>
      <c r="F4416" s="391" t="s">
        <v>25709</v>
      </c>
    </row>
    <row r="4417" spans="1:6" ht="16.5">
      <c r="A4417" s="20" t="s">
        <v>25617</v>
      </c>
      <c r="B4417" s="155"/>
      <c r="C4417" s="21" t="s">
        <v>25778</v>
      </c>
      <c r="D4417" s="109" t="s">
        <v>9855</v>
      </c>
      <c r="E4417" s="109" t="s">
        <v>23083</v>
      </c>
      <c r="F4417" s="391" t="s">
        <v>25786</v>
      </c>
    </row>
    <row r="4418" spans="1:6" ht="16.5">
      <c r="A4418" s="20" t="s">
        <v>25618</v>
      </c>
      <c r="B4418" s="155"/>
      <c r="C4418" s="21" t="s">
        <v>25756</v>
      </c>
      <c r="D4418" s="109" t="s">
        <v>3137</v>
      </c>
      <c r="E4418" s="109"/>
      <c r="F4418" s="391" t="s">
        <v>25789</v>
      </c>
    </row>
    <row r="4419" spans="1:6" ht="16.5">
      <c r="A4419" s="20" t="s">
        <v>25619</v>
      </c>
      <c r="B4419" s="155"/>
      <c r="C4419" s="21" t="s">
        <v>25782</v>
      </c>
      <c r="D4419" s="109" t="s">
        <v>3137</v>
      </c>
      <c r="E4419" s="109"/>
      <c r="F4419" s="391" t="s">
        <v>25790</v>
      </c>
    </row>
    <row r="4420" spans="1:6" ht="16.5">
      <c r="A4420" s="20" t="s">
        <v>25620</v>
      </c>
      <c r="B4420" s="155"/>
      <c r="C4420" s="21" t="s">
        <v>25758</v>
      </c>
      <c r="D4420" s="109" t="s">
        <v>9855</v>
      </c>
      <c r="E4420" s="109" t="s">
        <v>25768</v>
      </c>
      <c r="F4420" s="391" t="s">
        <v>25766</v>
      </c>
    </row>
    <row r="4421" spans="1:6" ht="16.5">
      <c r="A4421" s="20" t="s">
        <v>25621</v>
      </c>
      <c r="B4421" s="155"/>
      <c r="C4421" s="21" t="s">
        <v>25719</v>
      </c>
      <c r="D4421" s="109" t="s">
        <v>9855</v>
      </c>
      <c r="E4421" s="109" t="s">
        <v>25767</v>
      </c>
      <c r="F4421" s="391" t="s">
        <v>25765</v>
      </c>
    </row>
    <row r="4422" spans="1:6" ht="16.5">
      <c r="A4422" s="20" t="s">
        <v>25622</v>
      </c>
      <c r="B4422" s="155"/>
      <c r="C4422" s="21" t="s">
        <v>25550</v>
      </c>
      <c r="D4422" s="109" t="s">
        <v>6766</v>
      </c>
      <c r="E4422" s="109"/>
      <c r="F4422" s="391" t="s">
        <v>25794</v>
      </c>
    </row>
    <row r="4423" spans="1:6" ht="16.5">
      <c r="A4423" s="20" t="s">
        <v>25623</v>
      </c>
      <c r="B4423" s="155"/>
      <c r="C4423" s="21" t="s">
        <v>25007</v>
      </c>
      <c r="D4423" s="109" t="s">
        <v>9855</v>
      </c>
      <c r="E4423" s="109" t="s">
        <v>25206</v>
      </c>
      <c r="F4423" s="391" t="s">
        <v>24813</v>
      </c>
    </row>
    <row r="4424" spans="1:6" ht="16.5">
      <c r="A4424" s="20" t="s">
        <v>25624</v>
      </c>
      <c r="B4424" s="155"/>
      <c r="C4424" s="21" t="s">
        <v>25731</v>
      </c>
      <c r="D4424" s="109" t="s">
        <v>5979</v>
      </c>
      <c r="E4424" s="109" t="s">
        <v>25753</v>
      </c>
      <c r="F4424" s="391" t="s">
        <v>25752</v>
      </c>
    </row>
    <row r="4425" spans="1:6" ht="16.5">
      <c r="A4425" s="20" t="s">
        <v>25625</v>
      </c>
      <c r="B4425" s="155"/>
      <c r="C4425" s="21" t="s">
        <v>25795</v>
      </c>
      <c r="D4425" s="109" t="s">
        <v>3137</v>
      </c>
      <c r="E4425" s="109" t="s">
        <v>22282</v>
      </c>
      <c r="F4425" s="391" t="s">
        <v>25799</v>
      </c>
    </row>
    <row r="4426" spans="1:6" ht="16.5">
      <c r="A4426" s="20" t="s">
        <v>25626</v>
      </c>
      <c r="B4426" s="155"/>
      <c r="C4426" s="21" t="s">
        <v>25805</v>
      </c>
      <c r="D4426" s="109" t="s">
        <v>9855</v>
      </c>
      <c r="E4426" s="109"/>
      <c r="F4426" s="391" t="s">
        <v>25809</v>
      </c>
    </row>
    <row r="4427" spans="1:6" ht="16.5">
      <c r="A4427" s="20" t="s">
        <v>25627</v>
      </c>
      <c r="B4427" s="155"/>
      <c r="C4427" s="21" t="s">
        <v>25331</v>
      </c>
      <c r="D4427" s="109" t="s">
        <v>9855</v>
      </c>
      <c r="E4427" s="109" t="s">
        <v>25724</v>
      </c>
      <c r="F4427" s="391" t="s">
        <v>25344</v>
      </c>
    </row>
    <row r="4428" spans="1:6" ht="16.5">
      <c r="A4428" s="20" t="s">
        <v>25628</v>
      </c>
      <c r="B4428" s="155"/>
      <c r="C4428" s="21" t="s">
        <v>25840</v>
      </c>
      <c r="D4428" s="109" t="s">
        <v>9855</v>
      </c>
      <c r="E4428" s="109" t="s">
        <v>25842</v>
      </c>
      <c r="F4428" s="391" t="s">
        <v>25843</v>
      </c>
    </row>
    <row r="4429" spans="1:6" ht="16.5">
      <c r="A4429" s="20" t="s">
        <v>25629</v>
      </c>
      <c r="B4429" s="155"/>
      <c r="C4429" s="21" t="s">
        <v>23400</v>
      </c>
      <c r="D4429" s="109" t="s">
        <v>3137</v>
      </c>
      <c r="E4429" s="109" t="s">
        <v>25591</v>
      </c>
      <c r="F4429" s="435" t="s">
        <v>23489</v>
      </c>
    </row>
    <row r="4430" spans="1:6" ht="16.5">
      <c r="A4430" s="20" t="s">
        <v>25810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25847</v>
      </c>
    </row>
    <row r="4431" spans="1:6" ht="16.5">
      <c r="A4431" s="20" t="s">
        <v>25811</v>
      </c>
      <c r="B4431" s="155"/>
      <c r="C4431" s="21" t="s">
        <v>25693</v>
      </c>
      <c r="D4431" s="109" t="s">
        <v>3137</v>
      </c>
      <c r="E4431" s="109" t="s">
        <v>22282</v>
      </c>
      <c r="F4431" s="391" t="s">
        <v>25699</v>
      </c>
    </row>
    <row r="4432" spans="1:6" ht="16.5">
      <c r="A4432" s="20" t="s">
        <v>25812</v>
      </c>
      <c r="B4432" s="155"/>
      <c r="C4432" s="21" t="s">
        <v>25757</v>
      </c>
      <c r="D4432" s="109" t="s">
        <v>3137</v>
      </c>
      <c r="E4432" s="109" t="s">
        <v>23853</v>
      </c>
      <c r="F4432" s="391" t="s">
        <v>25850</v>
      </c>
    </row>
    <row r="4433" spans="1:6" ht="16.5">
      <c r="A4433" s="20" t="s">
        <v>25813</v>
      </c>
      <c r="B4433" s="155"/>
      <c r="C4433" s="21" t="s">
        <v>25851</v>
      </c>
      <c r="D4433" s="109" t="s">
        <v>3958</v>
      </c>
      <c r="E4433" s="109"/>
      <c r="F4433" s="391" t="s">
        <v>25867</v>
      </c>
    </row>
    <row r="4434" spans="1:6" ht="16.5">
      <c r="A4434" s="20" t="s">
        <v>25814</v>
      </c>
      <c r="B4434" s="155"/>
      <c r="C4434" s="21" t="s">
        <v>25852</v>
      </c>
      <c r="D4434" s="109" t="s">
        <v>7761</v>
      </c>
      <c r="E4434" s="109" t="s">
        <v>25853</v>
      </c>
      <c r="F4434" s="391" t="s">
        <v>25875</v>
      </c>
    </row>
    <row r="4435" spans="1:6" ht="16.5">
      <c r="A4435" s="20" t="s">
        <v>25815</v>
      </c>
      <c r="B4435" s="155"/>
      <c r="C4435" s="21" t="s">
        <v>25868</v>
      </c>
      <c r="D4435" s="109" t="s">
        <v>9855</v>
      </c>
      <c r="E4435" s="109" t="s">
        <v>25898</v>
      </c>
      <c r="F4435" s="391" t="s">
        <v>25899</v>
      </c>
    </row>
    <row r="4436" spans="1:6" ht="16.5">
      <c r="A4436" s="20" t="s">
        <v>25816</v>
      </c>
      <c r="B4436" s="155"/>
      <c r="C4436" s="21" t="s">
        <v>25878</v>
      </c>
      <c r="D4436" s="109" t="s">
        <v>3137</v>
      </c>
      <c r="E4436" s="109" t="s">
        <v>22282</v>
      </c>
      <c r="F4436" s="391" t="s">
        <v>25900</v>
      </c>
    </row>
    <row r="4437" spans="1:6" ht="16.5">
      <c r="A4437" s="20" t="s">
        <v>25817</v>
      </c>
      <c r="B4437" s="155"/>
      <c r="C4437" s="21" t="s">
        <v>25877</v>
      </c>
      <c r="D4437" s="109" t="s">
        <v>5979</v>
      </c>
      <c r="E4437" s="109" t="s">
        <v>25879</v>
      </c>
      <c r="F4437" s="391" t="s">
        <v>25921</v>
      </c>
    </row>
    <row r="4438" spans="1:6" ht="16.5">
      <c r="A4438" s="20" t="s">
        <v>25818</v>
      </c>
      <c r="B4438" s="155"/>
      <c r="C4438" s="21" t="s">
        <v>25917</v>
      </c>
      <c r="D4438" s="109" t="s">
        <v>13599</v>
      </c>
      <c r="E4438" s="109"/>
      <c r="F4438" s="391" t="s">
        <v>25919</v>
      </c>
    </row>
    <row r="4439" spans="1:6" ht="16.5">
      <c r="A4439" s="20" t="s">
        <v>25819</v>
      </c>
      <c r="B4439" s="155"/>
      <c r="C4439" s="21" t="s">
        <v>25920</v>
      </c>
      <c r="D4439" s="109" t="s">
        <v>13599</v>
      </c>
      <c r="E4439" s="109" t="s">
        <v>3131</v>
      </c>
      <c r="F4439" s="391" t="s">
        <v>25919</v>
      </c>
    </row>
    <row r="4440" spans="1:6" ht="16.5">
      <c r="A4440" s="20" t="s">
        <v>25820</v>
      </c>
      <c r="B4440" s="155"/>
      <c r="C4440" s="21" t="s">
        <v>25910</v>
      </c>
      <c r="D4440" s="109" t="s">
        <v>9855</v>
      </c>
      <c r="E4440" s="109" t="s">
        <v>25911</v>
      </c>
      <c r="F4440" s="391" t="s">
        <v>25951</v>
      </c>
    </row>
    <row r="4441" spans="1:6" ht="16.5">
      <c r="A4441" s="20" t="s">
        <v>25821</v>
      </c>
      <c r="B4441" s="155"/>
      <c r="C4441" s="21" t="s">
        <v>25912</v>
      </c>
      <c r="D4441" s="109" t="s">
        <v>9855</v>
      </c>
      <c r="E4441" s="109" t="s">
        <v>25911</v>
      </c>
      <c r="F4441" s="391" t="s">
        <v>25951</v>
      </c>
    </row>
    <row r="4442" spans="1:6" ht="16.5">
      <c r="A4442" s="20" t="s">
        <v>25935</v>
      </c>
      <c r="B4442" s="155"/>
      <c r="C4442" s="21" t="s">
        <v>25931</v>
      </c>
      <c r="D4442" s="109" t="s">
        <v>5979</v>
      </c>
      <c r="E4442" s="109" t="s">
        <v>24345</v>
      </c>
      <c r="F4442" s="391" t="s">
        <v>25958</v>
      </c>
    </row>
    <row r="4443" spans="1:6" ht="16.5">
      <c r="A4443" s="20" t="s">
        <v>25936</v>
      </c>
      <c r="B4443" s="155"/>
      <c r="C4443" s="21" t="s">
        <v>25978</v>
      </c>
      <c r="D4443" s="109" t="s">
        <v>5979</v>
      </c>
      <c r="E4443" s="109" t="s">
        <v>22282</v>
      </c>
      <c r="F4443" s="391" t="s">
        <v>25991</v>
      </c>
    </row>
    <row r="4444" spans="1:6" ht="16.5">
      <c r="A4444" s="20" t="s">
        <v>25937</v>
      </c>
      <c r="B4444" s="155"/>
      <c r="C4444" s="21" t="s">
        <v>25992</v>
      </c>
      <c r="D4444" s="109" t="s">
        <v>3137</v>
      </c>
      <c r="E4444" s="109" t="s">
        <v>25995</v>
      </c>
      <c r="F4444" s="391" t="s">
        <v>25996</v>
      </c>
    </row>
    <row r="4445" spans="1:6" ht="16.5">
      <c r="A4445" s="20" t="s">
        <v>25938</v>
      </c>
      <c r="B4445" s="155"/>
      <c r="C4445" s="21" t="s">
        <v>25458</v>
      </c>
      <c r="D4445" s="109" t="s">
        <v>3137</v>
      </c>
      <c r="E4445" s="109" t="s">
        <v>17740</v>
      </c>
      <c r="F4445" s="391" t="s">
        <v>25997</v>
      </c>
    </row>
    <row r="4446" spans="1:6" ht="16.5">
      <c r="A4446" s="20" t="s">
        <v>25939</v>
      </c>
      <c r="B4446" s="155"/>
      <c r="C4446" s="21" t="s">
        <v>25660</v>
      </c>
      <c r="D4446" s="109" t="s">
        <v>9855</v>
      </c>
      <c r="E4446" s="109" t="s">
        <v>17740</v>
      </c>
      <c r="F4446" s="391" t="s">
        <v>25662</v>
      </c>
    </row>
    <row r="4447" spans="1:6" ht="16.5">
      <c r="A4447" s="20" t="s">
        <v>25940</v>
      </c>
      <c r="B4447" s="155"/>
      <c r="C4447" s="21" t="s">
        <v>25199</v>
      </c>
      <c r="D4447" s="109" t="s">
        <v>5979</v>
      </c>
      <c r="E4447" s="109" t="s">
        <v>17740</v>
      </c>
      <c r="F4447" s="391" t="s">
        <v>25202</v>
      </c>
    </row>
    <row r="4448" spans="1:6" ht="16.5">
      <c r="A4448" s="20" t="s">
        <v>25941</v>
      </c>
      <c r="B4448" s="155"/>
      <c r="C4448" s="21" t="s">
        <v>25714</v>
      </c>
      <c r="D4448" s="109" t="s">
        <v>4070</v>
      </c>
      <c r="E4448" s="109" t="s">
        <v>22318</v>
      </c>
      <c r="F4448" s="391" t="s">
        <v>25726</v>
      </c>
    </row>
    <row r="4449" spans="1:6" ht="16.5">
      <c r="A4449" s="20" t="s">
        <v>25942</v>
      </c>
      <c r="B4449" s="155"/>
      <c r="C4449" s="21" t="s">
        <v>25314</v>
      </c>
      <c r="D4449" s="109" t="s">
        <v>9855</v>
      </c>
      <c r="E4449" s="109" t="s">
        <v>17740</v>
      </c>
      <c r="F4449" s="391" t="s">
        <v>25353</v>
      </c>
    </row>
    <row r="4450" spans="1:6" ht="16.5">
      <c r="A4450" s="20" t="s">
        <v>25943</v>
      </c>
      <c r="B4450" s="155"/>
      <c r="C4450" s="21" t="s">
        <v>25993</v>
      </c>
      <c r="D4450" s="109" t="s">
        <v>3137</v>
      </c>
      <c r="E4450" s="109" t="s">
        <v>25879</v>
      </c>
      <c r="F4450" s="391" t="s">
        <v>26006</v>
      </c>
    </row>
    <row r="4451" spans="1:6" ht="16.5">
      <c r="A4451" s="20" t="s">
        <v>25944</v>
      </c>
      <c r="B4451" s="155"/>
      <c r="C4451" s="21" t="s">
        <v>25994</v>
      </c>
      <c r="D4451" s="109" t="s">
        <v>3137</v>
      </c>
      <c r="E4451" s="109" t="s">
        <v>25879</v>
      </c>
      <c r="F4451" s="391" t="s">
        <v>26007</v>
      </c>
    </row>
    <row r="4452" spans="1:6" ht="16.5">
      <c r="A4452" s="20" t="s">
        <v>25945</v>
      </c>
      <c r="B4452" s="155"/>
      <c r="C4452" s="21" t="s">
        <v>25964</v>
      </c>
      <c r="D4452" s="109" t="s">
        <v>4070</v>
      </c>
      <c r="E4452" s="109" t="s">
        <v>25965</v>
      </c>
      <c r="F4452" s="391" t="s">
        <v>25966</v>
      </c>
    </row>
    <row r="4453" spans="1:6" ht="16.5">
      <c r="A4453" s="20" t="s">
        <v>25946</v>
      </c>
      <c r="B4453" s="155"/>
      <c r="C4453" s="21" t="s">
        <v>26000</v>
      </c>
      <c r="D4453" s="109" t="s">
        <v>3137</v>
      </c>
      <c r="E4453" s="109"/>
      <c r="F4453" s="391" t="s">
        <v>26020</v>
      </c>
    </row>
    <row r="4454" spans="1:6" ht="16.5">
      <c r="A4454" s="20" t="s">
        <v>25947</v>
      </c>
      <c r="B4454" s="155"/>
      <c r="C4454" s="21" t="s">
        <v>26026</v>
      </c>
      <c r="D4454" s="109" t="s">
        <v>3137</v>
      </c>
      <c r="E4454" s="109"/>
      <c r="F4454" s="391" t="s">
        <v>26030</v>
      </c>
    </row>
    <row r="4455" spans="1:6" ht="16.5">
      <c r="A4455" s="20" t="s">
        <v>25948</v>
      </c>
      <c r="B4455" s="155"/>
      <c r="C4455" s="21" t="s">
        <v>26027</v>
      </c>
      <c r="D4455" s="109" t="s">
        <v>3137</v>
      </c>
      <c r="E4455" s="109" t="s">
        <v>25725</v>
      </c>
      <c r="F4455" s="391" t="s">
        <v>26037</v>
      </c>
    </row>
    <row r="4456" spans="1:6" ht="16.5">
      <c r="A4456" s="20" t="s">
        <v>25949</v>
      </c>
      <c r="B4456" s="155"/>
      <c r="C4456" s="21" t="s">
        <v>26053</v>
      </c>
      <c r="D4456" s="109" t="s">
        <v>4070</v>
      </c>
      <c r="E4456" s="109" t="s">
        <v>26055</v>
      </c>
      <c r="F4456" s="391" t="s">
        <v>26056</v>
      </c>
    </row>
    <row r="4457" spans="1:6" ht="16.5">
      <c r="A4457" s="20" t="s">
        <v>26008</v>
      </c>
      <c r="B4457" s="155"/>
      <c r="C4457" s="21" t="s">
        <v>26054</v>
      </c>
      <c r="D4457" s="109" t="s">
        <v>4070</v>
      </c>
      <c r="E4457" s="109" t="s">
        <v>26055</v>
      </c>
      <c r="F4457" s="391" t="s">
        <v>26057</v>
      </c>
    </row>
    <row r="4458" spans="1:6" ht="16.5">
      <c r="A4458" s="20" t="s">
        <v>26009</v>
      </c>
      <c r="B4458" s="155"/>
      <c r="C4458" s="21" t="s">
        <v>26048</v>
      </c>
      <c r="D4458" s="109" t="s">
        <v>3137</v>
      </c>
      <c r="E4458" s="109" t="s">
        <v>22282</v>
      </c>
      <c r="F4458" s="391" t="s">
        <v>26058</v>
      </c>
    </row>
    <row r="4459" spans="1:6" ht="16.5">
      <c r="A4459" s="20" t="s">
        <v>26010</v>
      </c>
      <c r="B4459" s="155"/>
      <c r="C4459" s="21" t="s">
        <v>26087</v>
      </c>
      <c r="D4459" s="109" t="s">
        <v>3137</v>
      </c>
      <c r="E4459" s="109"/>
      <c r="F4459" s="391" t="s">
        <v>26093</v>
      </c>
    </row>
    <row r="4460" spans="1:6" ht="16.5">
      <c r="A4460" s="20" t="s">
        <v>26011</v>
      </c>
      <c r="B4460" s="155"/>
      <c r="C4460" s="21" t="s">
        <v>26085</v>
      </c>
      <c r="D4460" s="109" t="s">
        <v>3137</v>
      </c>
      <c r="E4460" s="109" t="s">
        <v>22318</v>
      </c>
      <c r="F4460" s="391" t="s">
        <v>26094</v>
      </c>
    </row>
    <row r="4461" spans="1:6" ht="16.5">
      <c r="A4461" s="20" t="s">
        <v>26012</v>
      </c>
      <c r="B4461" s="155"/>
      <c r="C4461" s="21" t="s">
        <v>19840</v>
      </c>
      <c r="D4461" s="109" t="s">
        <v>4070</v>
      </c>
      <c r="E4461" s="109" t="s">
        <v>25927</v>
      </c>
      <c r="F4461" s="391" t="s">
        <v>25219</v>
      </c>
    </row>
    <row r="4462" spans="1:6" ht="16.5">
      <c r="A4462" s="20" t="s">
        <v>26013</v>
      </c>
      <c r="B4462" s="155"/>
      <c r="C4462" s="21" t="s">
        <v>25467</v>
      </c>
      <c r="D4462" s="109" t="s">
        <v>4070</v>
      </c>
      <c r="E4462" s="109" t="s">
        <v>26097</v>
      </c>
      <c r="F4462" s="391" t="s">
        <v>25468</v>
      </c>
    </row>
    <row r="4463" spans="1:6" ht="16.5">
      <c r="A4463" s="20" t="s">
        <v>26014</v>
      </c>
      <c r="B4463" s="155"/>
      <c r="C4463" s="21" t="s">
        <v>23796</v>
      </c>
      <c r="D4463" s="109" t="s">
        <v>4063</v>
      </c>
      <c r="E4463" s="109" t="s">
        <v>25657</v>
      </c>
      <c r="F4463" s="391" t="s">
        <v>25656</v>
      </c>
    </row>
    <row r="4464" spans="1:6" ht="16.5">
      <c r="A4464" s="20" t="s">
        <v>26015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25372</v>
      </c>
    </row>
    <row r="4465" spans="1:6" ht="16.5">
      <c r="A4465" s="20" t="s">
        <v>26016</v>
      </c>
      <c r="B4465" s="155"/>
      <c r="C4465" s="21" t="s">
        <v>25891</v>
      </c>
      <c r="D4465" s="109" t="s">
        <v>4070</v>
      </c>
      <c r="E4465" s="109" t="s">
        <v>24177</v>
      </c>
      <c r="F4465" s="391" t="s">
        <v>25892</v>
      </c>
    </row>
    <row r="4466" spans="1:6" ht="16.5">
      <c r="A4466" s="20" t="s">
        <v>26017</v>
      </c>
      <c r="B4466" s="155"/>
      <c r="C4466" s="21" t="s">
        <v>25987</v>
      </c>
      <c r="D4466" s="109" t="s">
        <v>4070</v>
      </c>
      <c r="E4466" s="109" t="s">
        <v>25990</v>
      </c>
      <c r="F4466" s="391" t="s">
        <v>25988</v>
      </c>
    </row>
    <row r="4467" spans="1:6" ht="16.5">
      <c r="A4467" s="20" t="s">
        <v>26018</v>
      </c>
      <c r="B4467" s="155"/>
      <c r="C4467" s="21" t="s">
        <v>26102</v>
      </c>
      <c r="D4467" s="109" t="s">
        <v>3137</v>
      </c>
      <c r="E4467" s="109"/>
      <c r="F4467" s="391" t="s">
        <v>26093</v>
      </c>
    </row>
    <row r="4468" spans="1:6" ht="16.5">
      <c r="A4468" s="20" t="s">
        <v>26019</v>
      </c>
      <c r="B4468" s="155"/>
      <c r="C4468" s="21" t="s">
        <v>25324</v>
      </c>
      <c r="D4468" s="109" t="s">
        <v>5979</v>
      </c>
      <c r="E4468" s="109"/>
      <c r="F4468" s="391" t="s">
        <v>21832</v>
      </c>
    </row>
    <row r="4469" spans="1:6" ht="16.5">
      <c r="A4469" s="20" t="s">
        <v>26104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25631</v>
      </c>
    </row>
    <row r="4470" spans="1:6" ht="16.5">
      <c r="A4470" s="20" t="s">
        <v>26105</v>
      </c>
      <c r="B4470" s="155"/>
      <c r="C4470" s="21" t="s">
        <v>26140</v>
      </c>
      <c r="D4470" s="109" t="s">
        <v>9855</v>
      </c>
      <c r="E4470" s="109"/>
      <c r="F4470" s="391" t="s">
        <v>26148</v>
      </c>
    </row>
    <row r="4471" spans="1:6" ht="16.5">
      <c r="A4471" s="20" t="s">
        <v>26106</v>
      </c>
      <c r="B4471" s="155"/>
      <c r="C4471" s="21" t="s">
        <v>26082</v>
      </c>
      <c r="D4471" s="109" t="s">
        <v>24785</v>
      </c>
      <c r="E4471" s="109" t="s">
        <v>24217</v>
      </c>
      <c r="F4471" s="391" t="s">
        <v>26083</v>
      </c>
    </row>
    <row r="4472" spans="1:6" ht="16.5">
      <c r="A4472" s="20" t="s">
        <v>26107</v>
      </c>
      <c r="B4472" s="155"/>
      <c r="C4472" s="21" t="s">
        <v>26146</v>
      </c>
      <c r="D4472" s="109" t="s">
        <v>3137</v>
      </c>
      <c r="E4472" s="109" t="s">
        <v>23083</v>
      </c>
      <c r="F4472" s="391" t="s">
        <v>26154</v>
      </c>
    </row>
    <row r="4473" spans="1:6" ht="16.5">
      <c r="A4473" s="20" t="s">
        <v>26108</v>
      </c>
      <c r="B4473" s="155"/>
      <c r="C4473" s="21" t="s">
        <v>26161</v>
      </c>
      <c r="D4473" s="109" t="s">
        <v>7182</v>
      </c>
      <c r="E4473" s="109" t="s">
        <v>6737</v>
      </c>
      <c r="F4473" s="391" t="s">
        <v>11412</v>
      </c>
    </row>
    <row r="4474" spans="1:6" ht="16.5">
      <c r="A4474" s="20" t="s">
        <v>26109</v>
      </c>
      <c r="B4474" s="155"/>
      <c r="C4474" s="21" t="s">
        <v>26171</v>
      </c>
      <c r="D4474" s="109" t="s">
        <v>3137</v>
      </c>
      <c r="E4474" s="109"/>
      <c r="F4474" s="391" t="s">
        <v>26178</v>
      </c>
    </row>
    <row r="4475" spans="1:6" ht="16.5">
      <c r="A4475" s="20" t="s">
        <v>26110</v>
      </c>
      <c r="B4475" s="155"/>
      <c r="C4475" s="21" t="s">
        <v>26031</v>
      </c>
      <c r="D4475" s="109" t="s">
        <v>13599</v>
      </c>
      <c r="E4475" s="109"/>
      <c r="F4475" s="391" t="s">
        <v>26035</v>
      </c>
    </row>
    <row r="4476" spans="1:6" ht="16.5">
      <c r="A4476" s="20" t="s">
        <v>26111</v>
      </c>
      <c r="B4476" s="155"/>
      <c r="C4476" s="21" t="s">
        <v>26032</v>
      </c>
      <c r="D4476" s="109" t="s">
        <v>13599</v>
      </c>
      <c r="E4476" s="109" t="s">
        <v>3131</v>
      </c>
      <c r="F4476" s="391" t="s">
        <v>26035</v>
      </c>
    </row>
    <row r="4477" spans="1:6" ht="16.5">
      <c r="A4477" s="20" t="s">
        <v>26112</v>
      </c>
      <c r="B4477" s="155"/>
      <c r="C4477" s="21" t="s">
        <v>25908</v>
      </c>
      <c r="D4477" s="109" t="s">
        <v>5979</v>
      </c>
      <c r="E4477" s="109"/>
      <c r="F4477" s="391" t="s">
        <v>24555</v>
      </c>
    </row>
    <row r="4478" spans="1:6" ht="16.5">
      <c r="A4478" s="20" t="s">
        <v>26113</v>
      </c>
      <c r="B4478" s="155"/>
      <c r="C4478" s="21" t="s">
        <v>25909</v>
      </c>
      <c r="D4478" s="109" t="s">
        <v>5979</v>
      </c>
      <c r="E4478" s="109"/>
      <c r="F4478" s="391" t="s">
        <v>24555</v>
      </c>
    </row>
    <row r="4479" spans="1:6" ht="16.5">
      <c r="A4479" s="20" t="s">
        <v>26114</v>
      </c>
      <c r="B4479" s="155"/>
      <c r="C4479" s="21" t="s">
        <v>26208</v>
      </c>
      <c r="D4479" s="109" t="s">
        <v>3958</v>
      </c>
      <c r="E4479" s="109"/>
      <c r="F4479" s="391" t="s">
        <v>26212</v>
      </c>
    </row>
    <row r="4480" spans="1:6" ht="16.5">
      <c r="A4480" s="20" t="s">
        <v>26115</v>
      </c>
      <c r="B4480" s="155"/>
      <c r="C4480" s="21" t="s">
        <v>26214</v>
      </c>
      <c r="D4480" s="109" t="s">
        <v>3137</v>
      </c>
      <c r="E4480" s="109"/>
      <c r="F4480" s="391" t="s">
        <v>26218</v>
      </c>
    </row>
    <row r="4481" spans="1:6" ht="16.5">
      <c r="A4481" s="20" t="s">
        <v>26116</v>
      </c>
      <c r="B4481" s="155"/>
      <c r="C4481" s="21" t="s">
        <v>26224</v>
      </c>
      <c r="D4481" s="109" t="s">
        <v>5979</v>
      </c>
      <c r="E4481" s="109"/>
      <c r="F4481" s="391" t="s">
        <v>26228</v>
      </c>
    </row>
    <row r="4482" spans="1:6" ht="16.5">
      <c r="A4482" s="20" t="s">
        <v>26117</v>
      </c>
      <c r="B4482" s="155"/>
      <c r="C4482" s="21" t="s">
        <v>26225</v>
      </c>
      <c r="D4482" s="109" t="s">
        <v>3137</v>
      </c>
      <c r="E4482" s="109"/>
      <c r="F4482" s="391" t="s">
        <v>26229</v>
      </c>
    </row>
    <row r="4483" spans="1:6" ht="16.5">
      <c r="A4483" s="20" t="s">
        <v>26118</v>
      </c>
      <c r="B4483" s="155"/>
      <c r="C4483" s="21" t="s">
        <v>25978</v>
      </c>
      <c r="D4483" s="109" t="s">
        <v>5979</v>
      </c>
      <c r="E4483" s="109" t="s">
        <v>26189</v>
      </c>
      <c r="F4483" s="391" t="s">
        <v>25991</v>
      </c>
    </row>
    <row r="4484" spans="1:6" ht="16.5">
      <c r="A4484" s="20" t="s">
        <v>26119</v>
      </c>
      <c r="B4484" s="155"/>
      <c r="C4484" s="21" t="s">
        <v>26221</v>
      </c>
      <c r="D4484" s="109" t="s">
        <v>3137</v>
      </c>
      <c r="E4484" s="109"/>
      <c r="F4484" s="391" t="s">
        <v>26222</v>
      </c>
    </row>
    <row r="4485" spans="1:6" ht="16.5">
      <c r="A4485" s="20" t="s">
        <v>26120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6.5">
      <c r="A4486" s="20" t="s">
        <v>26121</v>
      </c>
      <c r="B4486" s="155"/>
      <c r="C4486" s="21" t="s">
        <v>26235</v>
      </c>
      <c r="D4486" s="109" t="s">
        <v>3137</v>
      </c>
      <c r="E4486" s="109"/>
      <c r="F4486" s="391" t="s">
        <v>26241</v>
      </c>
    </row>
    <row r="4487" spans="1:6" ht="16.5">
      <c r="A4487" s="20" t="s">
        <v>26122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26067</v>
      </c>
    </row>
    <row r="4488" spans="1:6" ht="16.5">
      <c r="A4488" s="20" t="s">
        <v>26123</v>
      </c>
      <c r="B4488" s="155"/>
      <c r="C4488" s="21" t="s">
        <v>537</v>
      </c>
      <c r="D4488" s="109" t="s">
        <v>4063</v>
      </c>
      <c r="E4488" s="109" t="s">
        <v>26152</v>
      </c>
      <c r="F4488" s="391" t="s">
        <v>26149</v>
      </c>
    </row>
    <row r="4489" spans="1:6" ht="16.5">
      <c r="A4489" s="20" t="s">
        <v>26124</v>
      </c>
      <c r="B4489" s="155"/>
      <c r="C4489" s="21" t="s">
        <v>21201</v>
      </c>
      <c r="D4489" s="109" t="s">
        <v>24785</v>
      </c>
      <c r="E4489" s="109" t="s">
        <v>26249</v>
      </c>
      <c r="F4489" s="391" t="s">
        <v>24806</v>
      </c>
    </row>
    <row r="4490" spans="1:6" ht="16.5">
      <c r="A4490" s="20" t="s">
        <v>26125</v>
      </c>
      <c r="B4490" s="155"/>
      <c r="C4490" s="21" t="s">
        <v>26237</v>
      </c>
      <c r="D4490" s="109" t="s">
        <v>3096</v>
      </c>
      <c r="E4490" s="109"/>
      <c r="F4490" s="391" t="s">
        <v>26250</v>
      </c>
    </row>
    <row r="4491" spans="1:6" ht="16.5">
      <c r="A4491" s="20" t="s">
        <v>26126</v>
      </c>
      <c r="B4491" s="155"/>
      <c r="C4491" s="21" t="s">
        <v>25998</v>
      </c>
      <c r="D4491" s="109" t="s">
        <v>4071</v>
      </c>
      <c r="E4491" s="109" t="s">
        <v>19813</v>
      </c>
      <c r="F4491" s="391" t="s">
        <v>25999</v>
      </c>
    </row>
    <row r="4492" spans="1:6" ht="16.5">
      <c r="A4492" s="20" t="s">
        <v>26127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6.5">
      <c r="A4493" s="20" t="s">
        <v>26255</v>
      </c>
      <c r="B4493" s="155"/>
      <c r="C4493" s="21" t="s">
        <v>26283</v>
      </c>
      <c r="D4493" s="109" t="s">
        <v>4063</v>
      </c>
      <c r="E4493" s="109" t="s">
        <v>26285</v>
      </c>
      <c r="F4493" s="391" t="s">
        <v>26284</v>
      </c>
    </row>
    <row r="4494" spans="1:6" ht="16.5">
      <c r="A4494" s="20" t="s">
        <v>26256</v>
      </c>
      <c r="B4494" s="155"/>
      <c r="C4494" s="21" t="s">
        <v>25410</v>
      </c>
      <c r="D4494" s="109" t="s">
        <v>8270</v>
      </c>
      <c r="E4494" s="109" t="s">
        <v>24177</v>
      </c>
      <c r="F4494" s="391" t="s">
        <v>25411</v>
      </c>
    </row>
    <row r="4495" spans="1:6" ht="16.5">
      <c r="A4495" s="20" t="s">
        <v>26257</v>
      </c>
      <c r="B4495" s="155"/>
      <c r="C4495" s="21" t="s">
        <v>26293</v>
      </c>
      <c r="D4495" s="109" t="s">
        <v>4070</v>
      </c>
      <c r="E4495" s="109" t="s">
        <v>26295</v>
      </c>
      <c r="F4495" s="391" t="s">
        <v>26294</v>
      </c>
    </row>
    <row r="4496" spans="1:6" ht="16.5">
      <c r="A4496" s="20" t="s">
        <v>26258</v>
      </c>
      <c r="B4496" s="155"/>
      <c r="C4496" s="21" t="s">
        <v>25992</v>
      </c>
      <c r="D4496" s="109" t="s">
        <v>4070</v>
      </c>
      <c r="E4496" s="109" t="s">
        <v>26297</v>
      </c>
      <c r="F4496" s="391" t="s">
        <v>26296</v>
      </c>
    </row>
    <row r="4497" spans="1:6" ht="16.5">
      <c r="A4497" s="20" t="s">
        <v>26259</v>
      </c>
      <c r="B4497" s="155"/>
      <c r="C4497" s="21" t="s">
        <v>25098</v>
      </c>
      <c r="D4497" s="109" t="s">
        <v>3097</v>
      </c>
      <c r="E4497" s="109"/>
      <c r="F4497" s="391" t="s">
        <v>5161</v>
      </c>
    </row>
    <row r="4498" spans="1:6" ht="16.5">
      <c r="A4498" s="20" t="s">
        <v>26260</v>
      </c>
      <c r="B4498" s="155"/>
      <c r="C4498" s="21" t="s">
        <v>26290</v>
      </c>
      <c r="D4498" s="109" t="s">
        <v>5979</v>
      </c>
      <c r="E4498" s="109" t="s">
        <v>26302</v>
      </c>
      <c r="F4498" s="391" t="s">
        <v>26301</v>
      </c>
    </row>
    <row r="4499" spans="1:6" ht="16.5">
      <c r="A4499" s="20" t="s">
        <v>26261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6.5">
      <c r="A4500" s="20" t="s">
        <v>26262</v>
      </c>
      <c r="B4500" s="155"/>
      <c r="C4500" s="21" t="s">
        <v>26202</v>
      </c>
      <c r="D4500" s="109" t="s">
        <v>9855</v>
      </c>
      <c r="E4500" s="110"/>
      <c r="F4500" s="449" t="s">
        <v>26204</v>
      </c>
    </row>
    <row r="4501" spans="1:6" ht="16.5">
      <c r="A4501" s="20" t="s">
        <v>26263</v>
      </c>
      <c r="B4501" s="155"/>
      <c r="C4501" s="21" t="s">
        <v>25830</v>
      </c>
      <c r="D4501" s="109" t="s">
        <v>20994</v>
      </c>
      <c r="E4501" s="109"/>
      <c r="F4501" s="391" t="s">
        <v>25825</v>
      </c>
    </row>
    <row r="4502" spans="1:6" ht="16.5">
      <c r="A4502" s="20" t="s">
        <v>26264</v>
      </c>
      <c r="B4502" s="155"/>
      <c r="C4502" s="21" t="s">
        <v>26311</v>
      </c>
      <c r="D4502" s="109" t="s">
        <v>20994</v>
      </c>
      <c r="E4502" s="109"/>
      <c r="F4502" s="391" t="s">
        <v>25825</v>
      </c>
    </row>
    <row r="4503" spans="1:6" ht="16.5">
      <c r="A4503" s="20" t="s">
        <v>26265</v>
      </c>
      <c r="B4503" s="155"/>
      <c r="C4503" s="21" t="s">
        <v>25404</v>
      </c>
      <c r="D4503" s="109" t="s">
        <v>18869</v>
      </c>
      <c r="E4503" s="109"/>
      <c r="F4503" s="391" t="s">
        <v>25407</v>
      </c>
    </row>
    <row r="4504" spans="1:6" ht="16.5">
      <c r="A4504" s="20" t="s">
        <v>26266</v>
      </c>
      <c r="B4504" s="155"/>
      <c r="C4504" s="21" t="s">
        <v>11042</v>
      </c>
      <c r="D4504" s="109" t="s">
        <v>7389</v>
      </c>
      <c r="E4504" s="109" t="s">
        <v>26323</v>
      </c>
      <c r="F4504" s="391" t="s">
        <v>11043</v>
      </c>
    </row>
    <row r="4505" spans="1:6" ht="16.5">
      <c r="A4505" s="20" t="s">
        <v>26267</v>
      </c>
      <c r="B4505" s="155"/>
      <c r="C4505" s="21" t="s">
        <v>11042</v>
      </c>
      <c r="D4505" s="109" t="s">
        <v>4067</v>
      </c>
      <c r="E4505" s="109" t="s">
        <v>26155</v>
      </c>
      <c r="F4505" s="391" t="s">
        <v>11043</v>
      </c>
    </row>
    <row r="4506" spans="1:6" ht="16.5">
      <c r="A4506" s="20" t="s">
        <v>26268</v>
      </c>
      <c r="B4506" s="155"/>
      <c r="C4506" s="21" t="s">
        <v>25891</v>
      </c>
      <c r="D4506" s="109" t="s">
        <v>4070</v>
      </c>
      <c r="E4506" s="109" t="s">
        <v>26299</v>
      </c>
      <c r="F4506" s="391" t="s">
        <v>25892</v>
      </c>
    </row>
    <row r="4507" spans="1:6" ht="16.5">
      <c r="A4507" s="20" t="s">
        <v>26269</v>
      </c>
      <c r="B4507" s="155"/>
      <c r="C4507" s="21" t="s">
        <v>26348</v>
      </c>
      <c r="D4507" s="109" t="s">
        <v>3137</v>
      </c>
      <c r="E4507" s="109"/>
      <c r="F4507" s="391" t="s">
        <v>26353</v>
      </c>
    </row>
    <row r="4508" spans="1:6" ht="16.5">
      <c r="A4508" s="20" t="s">
        <v>26270</v>
      </c>
      <c r="B4508" s="155"/>
      <c r="C4508" s="21" t="s">
        <v>26351</v>
      </c>
      <c r="D4508" s="109" t="s">
        <v>4070</v>
      </c>
      <c r="E4508" s="109"/>
      <c r="F4508" s="391" t="s">
        <v>26352</v>
      </c>
    </row>
    <row r="4509" spans="1:6" ht="16.5">
      <c r="A4509" s="20" t="s">
        <v>26271</v>
      </c>
      <c r="B4509" s="155"/>
      <c r="C4509" s="21" t="s">
        <v>25543</v>
      </c>
      <c r="D4509" s="109" t="s">
        <v>4070</v>
      </c>
      <c r="E4509" s="109" t="s">
        <v>26354</v>
      </c>
      <c r="F4509" s="391" t="s">
        <v>25544</v>
      </c>
    </row>
    <row r="4510" spans="1:6" ht="16.5">
      <c r="A4510" s="20" t="s">
        <v>26272</v>
      </c>
      <c r="B4510" s="155"/>
      <c r="C4510" s="21" t="s">
        <v>573</v>
      </c>
      <c r="D4510" s="109" t="s">
        <v>4070</v>
      </c>
      <c r="E4510" s="109" t="s">
        <v>26328</v>
      </c>
      <c r="F4510" s="391" t="s">
        <v>25286</v>
      </c>
    </row>
    <row r="4511" spans="1:6" ht="16.5">
      <c r="A4511" s="20" t="s">
        <v>26273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25286</v>
      </c>
    </row>
    <row r="4512" spans="1:6" ht="16.5">
      <c r="A4512" s="20" t="s">
        <v>26274</v>
      </c>
      <c r="B4512" s="155"/>
      <c r="C4512" s="21" t="s">
        <v>26293</v>
      </c>
      <c r="D4512" s="109" t="s">
        <v>4070</v>
      </c>
      <c r="E4512" s="109" t="s">
        <v>26341</v>
      </c>
      <c r="F4512" s="391" t="s">
        <v>26294</v>
      </c>
    </row>
    <row r="4513" spans="1:6" ht="16.5">
      <c r="A4513" s="20" t="s">
        <v>26275</v>
      </c>
      <c r="B4513" s="155"/>
      <c r="C4513" s="21" t="s">
        <v>26358</v>
      </c>
      <c r="D4513" s="109" t="s">
        <v>4070</v>
      </c>
      <c r="E4513" s="109"/>
      <c r="F4513" s="391" t="s">
        <v>26361</v>
      </c>
    </row>
    <row r="4514" spans="1:6" ht="16.5">
      <c r="A4514" s="20" t="s">
        <v>26276</v>
      </c>
      <c r="B4514" s="155"/>
      <c r="C4514" s="21" t="s">
        <v>26362</v>
      </c>
      <c r="D4514" s="109" t="s">
        <v>9855</v>
      </c>
      <c r="E4514" s="109"/>
      <c r="F4514" s="391" t="s">
        <v>26369</v>
      </c>
    </row>
    <row r="4515" spans="1:6" ht="16.5">
      <c r="A4515" s="20" t="s">
        <v>26277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6.5">
      <c r="A4516" s="20" t="s">
        <v>26370</v>
      </c>
      <c r="B4516" s="155"/>
      <c r="C4516" s="21" t="s">
        <v>26407</v>
      </c>
      <c r="D4516" s="109" t="s">
        <v>4070</v>
      </c>
      <c r="E4516" s="109"/>
      <c r="F4516" s="391" t="s">
        <v>26408</v>
      </c>
    </row>
    <row r="4517" spans="1:6" ht="16.5">
      <c r="A4517" s="20" t="s">
        <v>26371</v>
      </c>
      <c r="B4517" s="155"/>
      <c r="C4517" s="21" t="s">
        <v>26367</v>
      </c>
      <c r="D4517" s="109" t="s">
        <v>9855</v>
      </c>
      <c r="E4517" s="109"/>
      <c r="F4517" s="391" t="s">
        <v>26412</v>
      </c>
    </row>
    <row r="4518" spans="1:6" ht="16.5">
      <c r="A4518" s="20" t="s">
        <v>26372</v>
      </c>
      <c r="B4518" s="155"/>
      <c r="C4518" s="21" t="s">
        <v>26422</v>
      </c>
      <c r="D4518" s="109" t="s">
        <v>9855</v>
      </c>
      <c r="E4518" s="109"/>
      <c r="F4518" s="391" t="s">
        <v>26427</v>
      </c>
    </row>
    <row r="4519" spans="1:6" ht="16.5">
      <c r="A4519" s="20" t="s">
        <v>26373</v>
      </c>
      <c r="B4519" s="155"/>
      <c r="C4519" s="21" t="s">
        <v>25594</v>
      </c>
      <c r="D4519" s="109" t="s">
        <v>9855</v>
      </c>
      <c r="E4519" s="109" t="s">
        <v>26435</v>
      </c>
      <c r="F4519" s="391" t="s">
        <v>24238</v>
      </c>
    </row>
    <row r="4520" spans="1:6" ht="16.5">
      <c r="A4520" s="20" t="s">
        <v>26374</v>
      </c>
      <c r="B4520" s="155"/>
      <c r="C4520" s="21" t="s">
        <v>26434</v>
      </c>
      <c r="D4520" s="109" t="s">
        <v>9855</v>
      </c>
      <c r="E4520" s="109"/>
      <c r="F4520" s="391" t="s">
        <v>26445</v>
      </c>
    </row>
    <row r="4521" spans="1:6" ht="16.5">
      <c r="A4521" s="20" t="s">
        <v>26375</v>
      </c>
      <c r="B4521" s="155"/>
      <c r="C4521" s="213" t="s">
        <v>26443</v>
      </c>
      <c r="D4521" s="109" t="s">
        <v>5979</v>
      </c>
      <c r="E4521" s="202"/>
      <c r="F4521" s="391" t="s">
        <v>12998</v>
      </c>
    </row>
    <row r="4522" spans="1:6" ht="16.5">
      <c r="A4522" s="20" t="s">
        <v>26376</v>
      </c>
      <c r="B4522" s="155"/>
      <c r="C4522" s="21" t="s">
        <v>26451</v>
      </c>
      <c r="D4522" s="109" t="s">
        <v>5979</v>
      </c>
      <c r="E4522" s="109"/>
      <c r="F4522" s="391" t="s">
        <v>26452</v>
      </c>
    </row>
    <row r="4523" spans="1:6" ht="16.5">
      <c r="A4523" s="20" t="s">
        <v>26377</v>
      </c>
      <c r="B4523" s="155"/>
      <c r="C4523" s="21" t="s">
        <v>23668</v>
      </c>
      <c r="D4523" s="109" t="s">
        <v>3099</v>
      </c>
      <c r="E4523" s="109" t="s">
        <v>26350</v>
      </c>
      <c r="F4523" s="391" t="s">
        <v>23690</v>
      </c>
    </row>
    <row r="4524" spans="1:6" ht="16.5">
      <c r="A4524" s="20" t="s">
        <v>26378</v>
      </c>
      <c r="B4524" s="155"/>
      <c r="C4524" s="21" t="s">
        <v>26463</v>
      </c>
      <c r="D4524" s="109" t="s">
        <v>24785</v>
      </c>
      <c r="E4524" s="109"/>
      <c r="F4524" s="391" t="s">
        <v>26465</v>
      </c>
    </row>
    <row r="4525" spans="1:6" ht="16.5">
      <c r="A4525" s="20" t="s">
        <v>26379</v>
      </c>
      <c r="B4525" s="155"/>
      <c r="C4525" s="21" t="s">
        <v>23771</v>
      </c>
      <c r="D4525" s="109" t="s">
        <v>4070</v>
      </c>
      <c r="E4525" s="109" t="s">
        <v>26498</v>
      </c>
      <c r="F4525" s="391" t="s">
        <v>26497</v>
      </c>
    </row>
    <row r="4526" spans="1:6" ht="16.5">
      <c r="A4526" s="20" t="s">
        <v>26380</v>
      </c>
      <c r="B4526" s="155"/>
      <c r="C4526" s="21" t="s">
        <v>26495</v>
      </c>
      <c r="D4526" s="109" t="s">
        <v>9855</v>
      </c>
      <c r="E4526" s="109"/>
      <c r="F4526" s="391" t="s">
        <v>26502</v>
      </c>
    </row>
    <row r="4527" spans="1:6" ht="16.5">
      <c r="A4527" s="20" t="s">
        <v>26381</v>
      </c>
      <c r="B4527" s="155"/>
      <c r="C4527" s="21" t="s">
        <v>26499</v>
      </c>
      <c r="D4527" s="109" t="s">
        <v>24785</v>
      </c>
      <c r="E4527" s="109" t="s">
        <v>26504</v>
      </c>
      <c r="F4527" s="391" t="s">
        <v>26505</v>
      </c>
    </row>
    <row r="4528" spans="1:6" ht="16.5">
      <c r="A4528" s="20" t="s">
        <v>26382</v>
      </c>
      <c r="B4528" s="155"/>
      <c r="C4528" s="21" t="s">
        <v>25852</v>
      </c>
      <c r="D4528" s="109" t="s">
        <v>7761</v>
      </c>
      <c r="E4528" s="109" t="s">
        <v>20884</v>
      </c>
      <c r="F4528" s="391" t="s">
        <v>25875</v>
      </c>
    </row>
    <row r="4529" spans="1:6" ht="16.5">
      <c r="A4529" s="20" t="s">
        <v>26383</v>
      </c>
      <c r="B4529" s="155"/>
      <c r="C4529" s="21" t="s">
        <v>26519</v>
      </c>
      <c r="D4529" s="109" t="s">
        <v>4070</v>
      </c>
      <c r="E4529" s="109" t="s">
        <v>22282</v>
      </c>
      <c r="F4529" s="391" t="s">
        <v>26408</v>
      </c>
    </row>
    <row r="4530" spans="1:6" ht="16.5">
      <c r="A4530" s="20" t="s">
        <v>26384</v>
      </c>
      <c r="B4530" s="155"/>
      <c r="C4530" s="21" t="s">
        <v>26522</v>
      </c>
      <c r="D4530" s="109" t="s">
        <v>3133</v>
      </c>
      <c r="E4530" s="109" t="s">
        <v>26523</v>
      </c>
      <c r="F4530" s="391" t="s">
        <v>26525</v>
      </c>
    </row>
    <row r="4531" spans="1:6" ht="16.5">
      <c r="A4531" s="20" t="s">
        <v>26385</v>
      </c>
      <c r="B4531" s="155"/>
      <c r="C4531" s="21" t="s">
        <v>26524</v>
      </c>
      <c r="D4531" s="109" t="s">
        <v>3133</v>
      </c>
      <c r="E4531" s="109" t="s">
        <v>26063</v>
      </c>
      <c r="F4531" s="391" t="s">
        <v>26525</v>
      </c>
    </row>
    <row r="4532" spans="1:6" ht="16.5">
      <c r="A4532" s="20" t="s">
        <v>26386</v>
      </c>
      <c r="B4532" s="155"/>
      <c r="C4532" s="21" t="s">
        <v>26526</v>
      </c>
      <c r="D4532" s="109" t="s">
        <v>4070</v>
      </c>
      <c r="E4532" s="109" t="s">
        <v>22282</v>
      </c>
      <c r="F4532" s="391" t="s">
        <v>26525</v>
      </c>
    </row>
    <row r="4533" spans="1:6" ht="16.5">
      <c r="A4533" s="20" t="s">
        <v>26387</v>
      </c>
      <c r="B4533" s="155"/>
      <c r="C4533" s="21" t="s">
        <v>26532</v>
      </c>
      <c r="D4533" s="109" t="s">
        <v>9855</v>
      </c>
      <c r="E4533" s="109"/>
      <c r="F4533" s="391" t="s">
        <v>26541</v>
      </c>
    </row>
    <row r="4534" spans="1:6" ht="16.5">
      <c r="A4534" s="20" t="s">
        <v>26388</v>
      </c>
      <c r="B4534" s="155"/>
      <c r="C4534" s="21" t="s">
        <v>26433</v>
      </c>
      <c r="D4534" s="109" t="s">
        <v>5979</v>
      </c>
      <c r="E4534" s="109"/>
      <c r="F4534" s="391" t="s">
        <v>26542</v>
      </c>
    </row>
    <row r="4535" spans="1:6" ht="16.5">
      <c r="A4535" s="20" t="s">
        <v>26389</v>
      </c>
      <c r="B4535" s="155"/>
      <c r="C4535" s="21" t="s">
        <v>26468</v>
      </c>
      <c r="D4535" s="109" t="s">
        <v>5979</v>
      </c>
      <c r="E4535" s="109" t="s">
        <v>26469</v>
      </c>
      <c r="F4535" s="391" t="s">
        <v>26543</v>
      </c>
    </row>
    <row r="4536" spans="1:6" ht="16.5">
      <c r="A4536" s="20" t="s">
        <v>26390</v>
      </c>
      <c r="B4536" s="155"/>
      <c r="C4536" s="21" t="s">
        <v>26531</v>
      </c>
      <c r="D4536" s="109" t="s">
        <v>5979</v>
      </c>
      <c r="E4536" s="109" t="s">
        <v>22282</v>
      </c>
      <c r="F4536" s="391" t="s">
        <v>26544</v>
      </c>
    </row>
    <row r="4537" spans="1:6" ht="16.5">
      <c r="A4537" s="20" t="s">
        <v>26391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6.5">
      <c r="A4538" s="20" t="s">
        <v>26392</v>
      </c>
      <c r="B4538" s="155"/>
      <c r="C4538" s="21" t="s">
        <v>26553</v>
      </c>
      <c r="D4538" s="109" t="s">
        <v>4070</v>
      </c>
      <c r="E4538" s="109"/>
      <c r="F4538" s="391" t="s">
        <v>26592</v>
      </c>
    </row>
    <row r="4539" spans="1:6" ht="16.5">
      <c r="A4539" s="20" t="s">
        <v>26393</v>
      </c>
      <c r="B4539" s="155"/>
      <c r="C4539" s="21" t="s">
        <v>26575</v>
      </c>
      <c r="D4539" s="109" t="s">
        <v>20994</v>
      </c>
      <c r="E4539" s="109" t="s">
        <v>25321</v>
      </c>
      <c r="F4539" s="391" t="s">
        <v>26593</v>
      </c>
    </row>
    <row r="4540" spans="1:6" ht="16.5">
      <c r="A4540" s="20" t="s">
        <v>26394</v>
      </c>
      <c r="B4540" s="155"/>
      <c r="C4540" s="21" t="s">
        <v>24753</v>
      </c>
      <c r="D4540" s="109" t="s">
        <v>23722</v>
      </c>
      <c r="E4540" s="109" t="s">
        <v>22282</v>
      </c>
      <c r="F4540" s="443" t="s">
        <v>24756</v>
      </c>
    </row>
    <row r="4541" spans="1:6" ht="16.5">
      <c r="A4541" s="20" t="s">
        <v>26395</v>
      </c>
      <c r="B4541" s="155"/>
      <c r="C4541" s="21" t="s">
        <v>26596</v>
      </c>
      <c r="D4541" s="109" t="s">
        <v>3137</v>
      </c>
      <c r="E4541" s="109"/>
      <c r="F4541" s="391" t="s">
        <v>26600</v>
      </c>
    </row>
    <row r="4542" spans="1:6" ht="16.5">
      <c r="A4542" s="20" t="s">
        <v>26396</v>
      </c>
      <c r="B4542" s="155"/>
      <c r="C4542" s="21" t="s">
        <v>887</v>
      </c>
      <c r="D4542" s="109" t="s">
        <v>4063</v>
      </c>
      <c r="E4542" s="109" t="s">
        <v>26439</v>
      </c>
      <c r="F4542" s="391" t="s">
        <v>26437</v>
      </c>
    </row>
    <row r="4543" spans="1:6" ht="16.5">
      <c r="A4543" s="20" t="s">
        <v>26397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6.5">
      <c r="A4544" s="20" t="s">
        <v>26398</v>
      </c>
      <c r="B4544" s="155"/>
      <c r="C4544" s="21" t="s">
        <v>24179</v>
      </c>
      <c r="D4544" s="109" t="s">
        <v>4059</v>
      </c>
      <c r="E4544" s="109" t="s">
        <v>25770</v>
      </c>
      <c r="F4544" s="391" t="s">
        <v>25414</v>
      </c>
    </row>
    <row r="4545" spans="1:6" ht="16.5">
      <c r="A4545" s="20" t="s">
        <v>26399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6.5">
      <c r="A4546" s="20" t="s">
        <v>26400</v>
      </c>
      <c r="B4546" s="155"/>
      <c r="C4546" s="21" t="s">
        <v>25413</v>
      </c>
      <c r="D4546" s="109" t="s">
        <v>25972</v>
      </c>
      <c r="E4546" s="109" t="s">
        <v>25974</v>
      </c>
      <c r="F4546" s="391" t="s">
        <v>25414</v>
      </c>
    </row>
    <row r="4547" spans="1:6" ht="16.5">
      <c r="A4547" s="20" t="s">
        <v>26401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6.5">
      <c r="A4548" s="20" t="s">
        <v>26402</v>
      </c>
      <c r="B4548" s="155"/>
      <c r="C4548" s="21" t="s">
        <v>25413</v>
      </c>
      <c r="D4548" s="109" t="s">
        <v>4059</v>
      </c>
      <c r="E4548" s="109" t="s">
        <v>25770</v>
      </c>
      <c r="F4548" s="391" t="s">
        <v>25414</v>
      </c>
    </row>
    <row r="4549" spans="1:6" ht="16.5">
      <c r="A4549" s="20" t="s">
        <v>26403</v>
      </c>
      <c r="B4549" s="155"/>
      <c r="C4549" s="21" t="s">
        <v>24778</v>
      </c>
      <c r="D4549" s="109" t="s">
        <v>8376</v>
      </c>
      <c r="E4549" s="109" t="s">
        <v>3115</v>
      </c>
      <c r="F4549" s="391" t="s">
        <v>20313</v>
      </c>
    </row>
    <row r="4550" spans="1:6" ht="16.5">
      <c r="A4550" s="20" t="s">
        <v>26404</v>
      </c>
      <c r="B4550" s="155"/>
      <c r="C4550" s="21" t="s">
        <v>26635</v>
      </c>
      <c r="D4550" s="109" t="s">
        <v>4059</v>
      </c>
      <c r="E4550" s="109" t="s">
        <v>26638</v>
      </c>
      <c r="F4550" s="391" t="s">
        <v>26636</v>
      </c>
    </row>
    <row r="4551" spans="1:6" ht="16.5">
      <c r="A4551" s="20" t="s">
        <v>26719</v>
      </c>
      <c r="B4551" s="155"/>
      <c r="C4551" s="21" t="s">
        <v>26639</v>
      </c>
      <c r="D4551" s="109" t="s">
        <v>4070</v>
      </c>
      <c r="E4551" s="109" t="s">
        <v>26643</v>
      </c>
      <c r="F4551" s="391" t="s">
        <v>26640</v>
      </c>
    </row>
    <row r="4552" spans="1:6" ht="16.5">
      <c r="A4552" s="20" t="s">
        <v>26720</v>
      </c>
      <c r="B4552" s="155"/>
      <c r="C4552" s="21" t="s">
        <v>874</v>
      </c>
      <c r="D4552" s="109" t="s">
        <v>4064</v>
      </c>
      <c r="E4552" s="109" t="s">
        <v>26467</v>
      </c>
      <c r="F4552" s="391" t="s">
        <v>6940</v>
      </c>
    </row>
    <row r="4553" spans="1:6" ht="16.5">
      <c r="A4553" s="20" t="s">
        <v>26721</v>
      </c>
      <c r="B4553" s="155"/>
      <c r="C4553" s="21" t="s">
        <v>26676</v>
      </c>
      <c r="D4553" s="109" t="s">
        <v>20994</v>
      </c>
      <c r="E4553" s="109" t="s">
        <v>25321</v>
      </c>
      <c r="F4553" s="391" t="s">
        <v>26735</v>
      </c>
    </row>
    <row r="4554" spans="1:6" ht="16.5">
      <c r="A4554" s="20" t="s">
        <v>26722</v>
      </c>
      <c r="B4554" s="155"/>
      <c r="C4554" s="21" t="s">
        <v>26695</v>
      </c>
      <c r="D4554" s="109" t="s">
        <v>20994</v>
      </c>
      <c r="E4554" s="109" t="s">
        <v>25321</v>
      </c>
      <c r="F4554" s="391" t="s">
        <v>26703</v>
      </c>
    </row>
    <row r="4555" spans="1:6" ht="16.5">
      <c r="A4555" s="20" t="s">
        <v>26723</v>
      </c>
      <c r="B4555" s="155"/>
      <c r="C4555" s="21" t="s">
        <v>26628</v>
      </c>
      <c r="D4555" s="109" t="s">
        <v>11207</v>
      </c>
      <c r="E4555" s="109" t="s">
        <v>26629</v>
      </c>
      <c r="F4555" s="391" t="s">
        <v>26644</v>
      </c>
    </row>
    <row r="4556" spans="1:6" ht="16.5">
      <c r="A4556" s="20" t="s">
        <v>26724</v>
      </c>
      <c r="B4556" s="155"/>
      <c r="C4556" s="21" t="s">
        <v>26562</v>
      </c>
      <c r="D4556" s="109" t="s">
        <v>20994</v>
      </c>
      <c r="E4556" s="109" t="s">
        <v>25321</v>
      </c>
      <c r="F4556" s="391" t="s">
        <v>26544</v>
      </c>
    </row>
    <row r="4557" spans="1:6" ht="16.5">
      <c r="A4557" s="20" t="s">
        <v>26725</v>
      </c>
      <c r="B4557" s="155"/>
      <c r="C4557" s="21" t="s">
        <v>26565</v>
      </c>
      <c r="D4557" s="109" t="s">
        <v>5979</v>
      </c>
      <c r="E4557" s="109" t="s">
        <v>22282</v>
      </c>
      <c r="F4557" s="391" t="s">
        <v>26713</v>
      </c>
    </row>
    <row r="4558" spans="1:6" ht="16.5">
      <c r="A4558" s="20" t="s">
        <v>26726</v>
      </c>
      <c r="B4558" s="155"/>
      <c r="C4558" s="21" t="s">
        <v>26555</v>
      </c>
      <c r="D4558" s="109" t="s">
        <v>4070</v>
      </c>
      <c r="E4558" s="109" t="s">
        <v>22282</v>
      </c>
      <c r="F4558" s="391" t="s">
        <v>26714</v>
      </c>
    </row>
    <row r="4559" spans="1:6" ht="16.5">
      <c r="A4559" s="20" t="s">
        <v>26727</v>
      </c>
      <c r="B4559" s="155"/>
      <c r="C4559" s="21" t="s">
        <v>26707</v>
      </c>
      <c r="D4559" s="109" t="s">
        <v>4070</v>
      </c>
      <c r="E4559" s="109"/>
      <c r="F4559" s="391" t="s">
        <v>26715</v>
      </c>
    </row>
    <row r="4560" spans="1:6" ht="16.5">
      <c r="A4560" s="20" t="s">
        <v>26728</v>
      </c>
      <c r="B4560" s="155"/>
      <c r="C4560" s="21" t="s">
        <v>26615</v>
      </c>
      <c r="D4560" s="109" t="s">
        <v>4070</v>
      </c>
      <c r="E4560" s="109"/>
      <c r="F4560" s="391" t="s">
        <v>26625</v>
      </c>
    </row>
    <row r="4561" spans="1:6" ht="16.5">
      <c r="A4561" s="20" t="s">
        <v>26729</v>
      </c>
      <c r="B4561" s="155"/>
      <c r="C4561" s="21" t="s">
        <v>26610</v>
      </c>
      <c r="D4561" s="109" t="s">
        <v>4070</v>
      </c>
      <c r="E4561" s="109"/>
      <c r="F4561" s="391" t="s">
        <v>26611</v>
      </c>
    </row>
    <row r="4562" spans="1:6" ht="16.5">
      <c r="A4562" s="20" t="s">
        <v>26730</v>
      </c>
      <c r="B4562" s="155"/>
      <c r="C4562" s="21" t="s">
        <v>26621</v>
      </c>
      <c r="D4562" s="109" t="s">
        <v>5979</v>
      </c>
      <c r="E4562" s="109"/>
      <c r="F4562" s="391" t="s">
        <v>26736</v>
      </c>
    </row>
    <row r="4563" spans="1:6" ht="16.5">
      <c r="A4563" s="20" t="s">
        <v>26731</v>
      </c>
      <c r="B4563" s="155"/>
      <c r="C4563" s="21" t="s">
        <v>26606</v>
      </c>
      <c r="D4563" s="109" t="s">
        <v>3137</v>
      </c>
      <c r="E4563" s="109" t="s">
        <v>23853</v>
      </c>
      <c r="F4563" s="391" t="s">
        <v>26608</v>
      </c>
    </row>
    <row r="4564" spans="1:6" ht="16.5">
      <c r="A4564" s="20" t="s">
        <v>26732</v>
      </c>
      <c r="B4564" s="155"/>
      <c r="C4564" s="21" t="s">
        <v>26647</v>
      </c>
      <c r="D4564" s="109" t="s">
        <v>11207</v>
      </c>
      <c r="E4564" s="109"/>
      <c r="F4564" s="391" t="s">
        <v>25921</v>
      </c>
    </row>
    <row r="4565" spans="1:6" ht="16.5">
      <c r="A4565" s="20" t="s">
        <v>26733</v>
      </c>
      <c r="B4565" s="155"/>
      <c r="C4565" s="21" t="s">
        <v>25992</v>
      </c>
      <c r="D4565" s="109" t="s">
        <v>4070</v>
      </c>
      <c r="E4565" s="109" t="s">
        <v>26343</v>
      </c>
      <c r="F4565" s="391" t="s">
        <v>26296</v>
      </c>
    </row>
    <row r="4566" spans="1:6" ht="16.5">
      <c r="A4566" s="20" t="s">
        <v>26734</v>
      </c>
      <c r="B4566" s="155"/>
      <c r="C4566" s="21" t="s">
        <v>26663</v>
      </c>
      <c r="D4566" s="109" t="s">
        <v>5979</v>
      </c>
      <c r="E4566" s="109"/>
      <c r="F4566" s="391" t="s">
        <v>26670</v>
      </c>
    </row>
    <row r="4567" spans="1:6" ht="16.5">
      <c r="A4567" s="20" t="s">
        <v>26737</v>
      </c>
      <c r="B4567" s="155"/>
      <c r="C4567" s="21" t="s">
        <v>26663</v>
      </c>
      <c r="D4567" s="109" t="s">
        <v>5979</v>
      </c>
      <c r="E4567" s="109" t="s">
        <v>26669</v>
      </c>
      <c r="F4567" s="391" t="s">
        <v>26671</v>
      </c>
    </row>
    <row r="4568" spans="1:6" ht="16.5">
      <c r="A4568" s="20" t="s">
        <v>26738</v>
      </c>
      <c r="B4568" s="155"/>
      <c r="C4568" s="21" t="s">
        <v>25282</v>
      </c>
      <c r="D4568" s="109" t="s">
        <v>3137</v>
      </c>
      <c r="E4568" s="109" t="s">
        <v>23974</v>
      </c>
      <c r="F4568" s="391" t="s">
        <v>25290</v>
      </c>
    </row>
    <row r="4569" spans="1:6" ht="16.5">
      <c r="A4569" s="20" t="s">
        <v>26739</v>
      </c>
      <c r="B4569" s="155"/>
      <c r="C4569" s="21" t="s">
        <v>26590</v>
      </c>
      <c r="D4569" s="109" t="s">
        <v>5979</v>
      </c>
      <c r="E4569" s="109"/>
      <c r="F4569" s="391" t="s">
        <v>25190</v>
      </c>
    </row>
    <row r="4570" spans="1:6" ht="16.5">
      <c r="A4570" s="20" t="s">
        <v>26740</v>
      </c>
      <c r="B4570" s="155"/>
      <c r="C4570" s="21" t="s">
        <v>26332</v>
      </c>
      <c r="D4570" s="109" t="s">
        <v>24785</v>
      </c>
      <c r="E4570" s="109" t="s">
        <v>24177</v>
      </c>
      <c r="F4570" s="391" t="s">
        <v>25565</v>
      </c>
    </row>
    <row r="4571" spans="1:6" ht="16.5">
      <c r="A4571" s="20" t="s">
        <v>26741</v>
      </c>
      <c r="B4571" s="155"/>
      <c r="C4571" s="21" t="s">
        <v>26648</v>
      </c>
      <c r="D4571" s="109" t="s">
        <v>9855</v>
      </c>
      <c r="E4571" s="109" t="s">
        <v>23853</v>
      </c>
      <c r="F4571" s="391" t="s">
        <v>26650</v>
      </c>
    </row>
    <row r="4572" spans="1:6" ht="16.5">
      <c r="A4572" s="20" t="s">
        <v>26742</v>
      </c>
      <c r="B4572" s="155"/>
      <c r="C4572" s="21" t="s">
        <v>25595</v>
      </c>
      <c r="D4572" s="109" t="s">
        <v>9855</v>
      </c>
      <c r="E4572" s="109" t="s">
        <v>26774</v>
      </c>
      <c r="F4572" s="391" t="s">
        <v>25630</v>
      </c>
    </row>
    <row r="4573" spans="1:6" ht="16.5">
      <c r="A4573" s="20" t="s">
        <v>26748</v>
      </c>
      <c r="B4573" s="155"/>
      <c r="C4573" s="21" t="s">
        <v>26511</v>
      </c>
      <c r="D4573" s="109" t="s">
        <v>9855</v>
      </c>
      <c r="E4573" s="109" t="s">
        <v>23083</v>
      </c>
      <c r="F4573" s="391" t="s">
        <v>26775</v>
      </c>
    </row>
    <row r="4574" spans="1:6" ht="16.5">
      <c r="A4574" s="20" t="s">
        <v>26749</v>
      </c>
      <c r="B4574" s="155"/>
      <c r="C4574" s="21" t="s">
        <v>26711</v>
      </c>
      <c r="D4574" s="109" t="s">
        <v>9855</v>
      </c>
      <c r="E4574" s="109"/>
      <c r="F4574" s="391" t="s">
        <v>26718</v>
      </c>
    </row>
    <row r="4575" spans="1:6" ht="16.5">
      <c r="A4575" s="20" t="s">
        <v>26750</v>
      </c>
      <c r="B4575" s="155"/>
      <c r="C4575" s="21" t="s">
        <v>26745</v>
      </c>
      <c r="D4575" s="109" t="s">
        <v>9855</v>
      </c>
      <c r="E4575" s="109"/>
      <c r="F4575" s="391" t="s">
        <v>26718</v>
      </c>
    </row>
    <row r="4576" spans="1:6" ht="16.5">
      <c r="A4576" s="20" t="s">
        <v>26751</v>
      </c>
      <c r="B4576" s="155"/>
      <c r="C4576" s="21" t="s">
        <v>23771</v>
      </c>
      <c r="D4576" s="109" t="s">
        <v>4070</v>
      </c>
      <c r="E4576" s="109" t="s">
        <v>26584</v>
      </c>
      <c r="F4576" s="391" t="s">
        <v>25560</v>
      </c>
    </row>
    <row r="4577" spans="1:6" ht="16.5">
      <c r="A4577" s="20" t="s">
        <v>26752</v>
      </c>
      <c r="B4577" s="155"/>
      <c r="C4577" s="21" t="s">
        <v>26046</v>
      </c>
      <c r="D4577" s="109" t="s">
        <v>4070</v>
      </c>
      <c r="E4577" s="109" t="s">
        <v>26675</v>
      </c>
      <c r="F4577" s="391" t="s">
        <v>26047</v>
      </c>
    </row>
    <row r="4578" spans="1:6" ht="16.5">
      <c r="A4578" s="20" t="s">
        <v>26753</v>
      </c>
      <c r="B4578" s="155"/>
      <c r="C4578" s="21" t="s">
        <v>26430</v>
      </c>
      <c r="D4578" s="109" t="s">
        <v>3958</v>
      </c>
      <c r="E4578" s="109" t="s">
        <v>24217</v>
      </c>
      <c r="F4578" s="391" t="s">
        <v>26432</v>
      </c>
    </row>
    <row r="4579" spans="1:6" ht="16.5">
      <c r="A4579" s="20" t="s">
        <v>26754</v>
      </c>
      <c r="B4579" s="155"/>
      <c r="C4579" s="21" t="s">
        <v>24279</v>
      </c>
      <c r="D4579" s="109" t="s">
        <v>3137</v>
      </c>
      <c r="E4579" s="109" t="s">
        <v>25639</v>
      </c>
      <c r="F4579" s="391" t="s">
        <v>25652</v>
      </c>
    </row>
    <row r="4580" spans="1:6" ht="16.5">
      <c r="A4580" s="20" t="s">
        <v>26755</v>
      </c>
      <c r="B4580" s="155"/>
      <c r="C4580" s="21" t="s">
        <v>26507</v>
      </c>
      <c r="D4580" s="109" t="s">
        <v>5979</v>
      </c>
      <c r="E4580" s="109" t="s">
        <v>26508</v>
      </c>
      <c r="F4580" s="391" t="s">
        <v>24236</v>
      </c>
    </row>
    <row r="4581" spans="1:6" ht="16.5">
      <c r="A4581" s="20" t="s">
        <v>26756</v>
      </c>
      <c r="B4581" s="155"/>
      <c r="C4581" s="21" t="s">
        <v>25444</v>
      </c>
      <c r="D4581" s="109" t="s">
        <v>5979</v>
      </c>
      <c r="E4581" s="109"/>
      <c r="F4581" s="391" t="s">
        <v>24236</v>
      </c>
    </row>
    <row r="4582" spans="1:6" ht="16.5">
      <c r="A4582" s="20" t="s">
        <v>26757</v>
      </c>
      <c r="B4582" s="155"/>
      <c r="C4582" s="21" t="s">
        <v>26568</v>
      </c>
      <c r="D4582" s="109" t="s">
        <v>11709</v>
      </c>
      <c r="E4582" s="109" t="s">
        <v>26572</v>
      </c>
      <c r="F4582" s="391" t="s">
        <v>26569</v>
      </c>
    </row>
    <row r="4583" spans="1:6" ht="16.5">
      <c r="A4583" s="20" t="s">
        <v>26758</v>
      </c>
      <c r="B4583" s="155"/>
      <c r="C4583" s="21" t="s">
        <v>26746</v>
      </c>
      <c r="D4583" s="109" t="s">
        <v>5979</v>
      </c>
      <c r="E4583" s="109"/>
      <c r="F4583" s="391" t="s">
        <v>26776</v>
      </c>
    </row>
    <row r="4584" spans="1:6" ht="16.5">
      <c r="A4584" s="20" t="s">
        <v>26759</v>
      </c>
      <c r="B4584" s="155"/>
      <c r="C4584" s="21" t="s">
        <v>26782</v>
      </c>
      <c r="D4584" s="109" t="s">
        <v>5979</v>
      </c>
      <c r="E4584" s="109"/>
      <c r="F4584" s="391" t="s">
        <v>24555</v>
      </c>
    </row>
    <row r="4585" spans="1:6" ht="16.5">
      <c r="A4585" s="20" t="s">
        <v>26760</v>
      </c>
      <c r="B4585" s="155"/>
      <c r="C4585" s="21" t="s">
        <v>26779</v>
      </c>
      <c r="D4585" s="109" t="s">
        <v>5979</v>
      </c>
      <c r="E4585" s="109"/>
      <c r="F4585" s="391" t="s">
        <v>26788</v>
      </c>
    </row>
    <row r="4586" spans="1:6" ht="16.5">
      <c r="A4586" s="20" t="s">
        <v>26761</v>
      </c>
      <c r="B4586" s="155"/>
      <c r="C4586" s="21" t="s">
        <v>598</v>
      </c>
      <c r="D4586" s="109" t="s">
        <v>4070</v>
      </c>
      <c r="E4586" s="109"/>
      <c r="F4586" s="391" t="s">
        <v>26790</v>
      </c>
    </row>
    <row r="4587" spans="1:6" ht="16.5">
      <c r="A4587" s="20" t="s">
        <v>26762</v>
      </c>
      <c r="B4587" s="155"/>
      <c r="C4587" s="21" t="s">
        <v>25554</v>
      </c>
      <c r="D4587" s="109" t="s">
        <v>3137</v>
      </c>
      <c r="E4587" s="109" t="s">
        <v>25555</v>
      </c>
      <c r="F4587" s="391" t="s">
        <v>25556</v>
      </c>
    </row>
    <row r="4588" spans="1:6" ht="16.5">
      <c r="A4588" s="20" t="s">
        <v>26763</v>
      </c>
      <c r="B4588" s="155"/>
      <c r="C4588" s="21" t="s">
        <v>26783</v>
      </c>
      <c r="D4588" s="109" t="s">
        <v>5979</v>
      </c>
      <c r="E4588" s="109"/>
      <c r="F4588" s="391" t="s">
        <v>24555</v>
      </c>
    </row>
    <row r="4589" spans="1:6" ht="16.5">
      <c r="A4589" s="20" t="s">
        <v>26764</v>
      </c>
      <c r="B4589" s="155"/>
      <c r="C4589" s="21" t="s">
        <v>26821</v>
      </c>
      <c r="D4589" s="109" t="s">
        <v>3137</v>
      </c>
      <c r="E4589" s="109"/>
      <c r="F4589" s="391" t="s">
        <v>26822</v>
      </c>
    </row>
    <row r="4590" spans="1:6" ht="16.5">
      <c r="A4590" s="20" t="s">
        <v>26765</v>
      </c>
      <c r="B4590" s="155"/>
      <c r="C4590" s="21" t="s">
        <v>26817</v>
      </c>
      <c r="D4590" s="109" t="s">
        <v>4070</v>
      </c>
      <c r="E4590" s="109"/>
      <c r="F4590" s="391" t="s">
        <v>26825</v>
      </c>
    </row>
    <row r="4591" spans="1:6" ht="16.5">
      <c r="A4591" s="20" t="s">
        <v>26766</v>
      </c>
      <c r="B4591" s="155"/>
      <c r="C4591" s="21" t="s">
        <v>26831</v>
      </c>
      <c r="D4591" s="109" t="s">
        <v>18869</v>
      </c>
      <c r="E4591" s="109" t="s">
        <v>23853</v>
      </c>
      <c r="F4591" s="391" t="s">
        <v>26832</v>
      </c>
    </row>
    <row r="4592" spans="1:6" ht="16.5">
      <c r="A4592" s="20" t="s">
        <v>26767</v>
      </c>
      <c r="B4592" s="155"/>
      <c r="C4592" s="21" t="s">
        <v>26836</v>
      </c>
      <c r="D4592" s="109" t="s">
        <v>18869</v>
      </c>
      <c r="E4592" s="109" t="s">
        <v>23853</v>
      </c>
      <c r="F4592" s="391" t="s">
        <v>26837</v>
      </c>
    </row>
    <row r="4593" spans="1:6" ht="16.5">
      <c r="A4593" s="20" t="s">
        <v>26768</v>
      </c>
      <c r="B4593" s="155"/>
      <c r="C4593" s="21" t="s">
        <v>26833</v>
      </c>
      <c r="D4593" s="109" t="s">
        <v>18869</v>
      </c>
      <c r="E4593" s="109" t="s">
        <v>26834</v>
      </c>
      <c r="F4593" s="391" t="s">
        <v>26835</v>
      </c>
    </row>
    <row r="4594" spans="1:6" ht="16.5">
      <c r="A4594" s="20" t="s">
        <v>26769</v>
      </c>
      <c r="B4594" s="155"/>
      <c r="C4594" s="21" t="s">
        <v>26850</v>
      </c>
      <c r="D4594" s="109" t="s">
        <v>26851</v>
      </c>
      <c r="E4594" s="109" t="s">
        <v>26055</v>
      </c>
      <c r="F4594" s="391" t="s">
        <v>26853</v>
      </c>
    </row>
    <row r="4595" spans="1:6" ht="16.5">
      <c r="A4595" s="20" t="s">
        <v>26770</v>
      </c>
      <c r="B4595" s="155"/>
      <c r="C4595" s="21" t="s">
        <v>26852</v>
      </c>
      <c r="D4595" s="109" t="s">
        <v>26851</v>
      </c>
      <c r="E4595" s="109" t="s">
        <v>26055</v>
      </c>
      <c r="F4595" s="391" t="s">
        <v>26854</v>
      </c>
    </row>
    <row r="4596" spans="1:6" ht="16.5">
      <c r="A4596" s="20" t="s">
        <v>26771</v>
      </c>
      <c r="B4596" s="155"/>
      <c r="C4596" s="21" t="s">
        <v>26841</v>
      </c>
      <c r="D4596" s="109" t="s">
        <v>3137</v>
      </c>
      <c r="E4596" s="109" t="s">
        <v>25321</v>
      </c>
      <c r="F4596" s="391" t="s">
        <v>26847</v>
      </c>
    </row>
    <row r="4597" spans="1:6" ht="16.5">
      <c r="A4597" s="20" t="s">
        <v>26772</v>
      </c>
      <c r="B4597" s="155"/>
      <c r="C4597" s="21" t="s">
        <v>26676</v>
      </c>
      <c r="D4597" s="109" t="s">
        <v>20994</v>
      </c>
      <c r="E4597" s="109" t="s">
        <v>26189</v>
      </c>
      <c r="F4597" s="391" t="s">
        <v>26735</v>
      </c>
    </row>
    <row r="4598" spans="1:6" ht="16.5">
      <c r="A4598" s="20" t="s">
        <v>26855</v>
      </c>
      <c r="B4598" s="155"/>
      <c r="C4598" s="21" t="s">
        <v>26562</v>
      </c>
      <c r="D4598" s="109" t="s">
        <v>20994</v>
      </c>
      <c r="E4598" s="109" t="s">
        <v>26189</v>
      </c>
      <c r="F4598" s="391" t="s">
        <v>26887</v>
      </c>
    </row>
    <row r="4599" spans="1:6" ht="16.5">
      <c r="A4599" s="20" t="s">
        <v>26856</v>
      </c>
      <c r="B4599" s="155"/>
      <c r="C4599" s="21" t="s">
        <v>25782</v>
      </c>
      <c r="D4599" s="109" t="s">
        <v>5979</v>
      </c>
      <c r="E4599" s="109" t="s">
        <v>26189</v>
      </c>
      <c r="F4599" s="391" t="s">
        <v>25790</v>
      </c>
    </row>
    <row r="4600" spans="1:6" ht="16.5">
      <c r="A4600" s="20" t="s">
        <v>26857</v>
      </c>
      <c r="B4600" s="155"/>
      <c r="C4600" s="21" t="s">
        <v>26888</v>
      </c>
      <c r="D4600" s="109" t="s">
        <v>20994</v>
      </c>
      <c r="E4600" s="109"/>
      <c r="F4600" s="391" t="s">
        <v>26891</v>
      </c>
    </row>
    <row r="4601" spans="1:6" ht="16.5">
      <c r="A4601" s="20" t="s">
        <v>26858</v>
      </c>
      <c r="B4601" s="155"/>
      <c r="C4601" s="21" t="s">
        <v>26892</v>
      </c>
      <c r="D4601" s="109" t="s">
        <v>4070</v>
      </c>
      <c r="E4601" s="109"/>
      <c r="F4601" s="391" t="s">
        <v>26893</v>
      </c>
    </row>
    <row r="4602" spans="1:6" ht="16.5">
      <c r="A4602" s="20" t="s">
        <v>26859</v>
      </c>
      <c r="B4602" s="155"/>
      <c r="C4602" s="21" t="s">
        <v>26890</v>
      </c>
      <c r="D4602" s="109" t="s">
        <v>3137</v>
      </c>
      <c r="E4602" s="109"/>
      <c r="F4602" s="391" t="s">
        <v>26894</v>
      </c>
    </row>
    <row r="4603" spans="1:6" ht="16.5">
      <c r="A4603" s="20" t="s">
        <v>26860</v>
      </c>
      <c r="B4603" s="155"/>
      <c r="C4603" s="21" t="s">
        <v>26896</v>
      </c>
      <c r="D4603" s="109" t="s">
        <v>3137</v>
      </c>
      <c r="E4603" s="109"/>
      <c r="F4603" s="391" t="s">
        <v>26918</v>
      </c>
    </row>
    <row r="4604" spans="1:6" ht="16.5">
      <c r="A4604" s="20" t="s">
        <v>26861</v>
      </c>
      <c r="B4604" s="155"/>
      <c r="C4604" s="21" t="s">
        <v>26907</v>
      </c>
      <c r="D4604" s="109" t="s">
        <v>13632</v>
      </c>
      <c r="E4604" s="109" t="s">
        <v>26909</v>
      </c>
      <c r="F4604" s="391" t="s">
        <v>26910</v>
      </c>
    </row>
    <row r="4605" spans="1:6" ht="16.5">
      <c r="A4605" s="20" t="s">
        <v>26862</v>
      </c>
      <c r="B4605" s="155"/>
      <c r="C4605" s="21" t="s">
        <v>26912</v>
      </c>
      <c r="D4605" s="109" t="s">
        <v>13632</v>
      </c>
      <c r="E4605" s="109" t="s">
        <v>26911</v>
      </c>
      <c r="F4605" s="391" t="s">
        <v>26913</v>
      </c>
    </row>
    <row r="4606" spans="1:6" ht="16.5">
      <c r="A4606" s="20" t="s">
        <v>26863</v>
      </c>
      <c r="B4606" s="155"/>
      <c r="C4606" s="21" t="s">
        <v>26920</v>
      </c>
      <c r="D4606" s="109" t="s">
        <v>3137</v>
      </c>
      <c r="E4606" s="109" t="s">
        <v>25321</v>
      </c>
      <c r="F4606" s="391" t="s">
        <v>26927</v>
      </c>
    </row>
    <row r="4607" spans="1:6" ht="16.5">
      <c r="A4607" s="20" t="s">
        <v>26864</v>
      </c>
      <c r="B4607" s="155"/>
      <c r="C4607" s="21" t="s">
        <v>26921</v>
      </c>
      <c r="D4607" s="109" t="s">
        <v>3137</v>
      </c>
      <c r="E4607" s="109" t="s">
        <v>25321</v>
      </c>
      <c r="F4607" s="391" t="s">
        <v>26928</v>
      </c>
    </row>
    <row r="4608" spans="1:6" ht="16.5">
      <c r="A4608" s="20" t="s">
        <v>26865</v>
      </c>
      <c r="B4608" s="155"/>
      <c r="C4608" s="21" t="s">
        <v>26307</v>
      </c>
      <c r="D4608" s="109" t="s">
        <v>18869</v>
      </c>
      <c r="E4608" s="109" t="s">
        <v>26306</v>
      </c>
      <c r="F4608" s="391" t="s">
        <v>26308</v>
      </c>
    </row>
    <row r="4609" spans="1:6" ht="16.5">
      <c r="A4609" s="20" t="s">
        <v>26866</v>
      </c>
      <c r="B4609" s="155"/>
      <c r="C4609" s="21" t="s">
        <v>25366</v>
      </c>
      <c r="D4609" s="109" t="s">
        <v>7957</v>
      </c>
      <c r="E4609" s="109"/>
      <c r="F4609" s="391" t="s">
        <v>23399</v>
      </c>
    </row>
    <row r="4610" spans="1:6" ht="16.5">
      <c r="A4610" s="20" t="s">
        <v>26867</v>
      </c>
      <c r="B4610" s="155"/>
      <c r="C4610" s="21" t="s">
        <v>26929</v>
      </c>
      <c r="D4610" s="109" t="s">
        <v>9855</v>
      </c>
      <c r="E4610" s="109"/>
      <c r="F4610" s="391" t="s">
        <v>26931</v>
      </c>
    </row>
    <row r="4611" spans="1:6" ht="16.5">
      <c r="A4611" s="20" t="s">
        <v>26868</v>
      </c>
      <c r="B4611" s="155"/>
      <c r="C4611" s="21" t="s">
        <v>26943</v>
      </c>
      <c r="D4611" s="109" t="s">
        <v>26908</v>
      </c>
      <c r="E4611" s="109" t="s">
        <v>26909</v>
      </c>
      <c r="F4611" s="391" t="s">
        <v>26945</v>
      </c>
    </row>
    <row r="4612" spans="1:6" ht="16.5">
      <c r="A4612" s="20" t="s">
        <v>26869</v>
      </c>
      <c r="B4612" s="155"/>
      <c r="C4612" s="21" t="s">
        <v>26944</v>
      </c>
      <c r="D4612" s="109" t="s">
        <v>26908</v>
      </c>
      <c r="E4612" s="109" t="s">
        <v>26911</v>
      </c>
      <c r="F4612" s="391" t="s">
        <v>26946</v>
      </c>
    </row>
    <row r="4613" spans="1:6" ht="16.5">
      <c r="A4613" s="20" t="s">
        <v>26870</v>
      </c>
      <c r="B4613" s="155"/>
      <c r="C4613" s="21" t="s">
        <v>26940</v>
      </c>
      <c r="D4613" s="109" t="s">
        <v>3137</v>
      </c>
      <c r="E4613" s="109" t="s">
        <v>25321</v>
      </c>
      <c r="F4613" s="391" t="s">
        <v>26928</v>
      </c>
    </row>
    <row r="4614" spans="1:6" ht="16.5">
      <c r="A4614" s="20" t="s">
        <v>26871</v>
      </c>
      <c r="B4614" s="155"/>
      <c r="C4614" s="21" t="s">
        <v>26941</v>
      </c>
      <c r="D4614" s="109" t="s">
        <v>3137</v>
      </c>
      <c r="E4614" s="109" t="s">
        <v>25321</v>
      </c>
      <c r="F4614" s="391" t="s">
        <v>26928</v>
      </c>
    </row>
    <row r="4615" spans="1:6" ht="16.5">
      <c r="A4615" s="20" t="s">
        <v>26872</v>
      </c>
      <c r="B4615" s="155"/>
      <c r="C4615" s="21" t="s">
        <v>26952</v>
      </c>
      <c r="D4615" s="109" t="s">
        <v>24785</v>
      </c>
      <c r="E4615" s="109"/>
      <c r="F4615" s="391" t="s">
        <v>26954</v>
      </c>
    </row>
    <row r="4616" spans="1:6" ht="16.5">
      <c r="A4616" s="20" t="s">
        <v>26873</v>
      </c>
      <c r="B4616" s="155"/>
      <c r="C4616" s="21" t="s">
        <v>26198</v>
      </c>
      <c r="D4616" s="109" t="s">
        <v>4070</v>
      </c>
      <c r="E4616" s="109" t="s">
        <v>26706</v>
      </c>
      <c r="F4616" s="391" t="s">
        <v>26199</v>
      </c>
    </row>
    <row r="4617" spans="1:6" ht="16.5">
      <c r="A4617" s="20" t="s">
        <v>26874</v>
      </c>
      <c r="B4617" s="155"/>
      <c r="C4617" s="21" t="s">
        <v>26955</v>
      </c>
      <c r="D4617" s="109" t="s">
        <v>5979</v>
      </c>
      <c r="E4617" s="109" t="s">
        <v>22282</v>
      </c>
      <c r="F4617" s="391" t="s">
        <v>26958</v>
      </c>
    </row>
    <row r="4618" spans="1:6" ht="16.5">
      <c r="A4618" s="20" t="s">
        <v>26875</v>
      </c>
      <c r="B4618" s="155"/>
      <c r="C4618" s="21" t="s">
        <v>26966</v>
      </c>
      <c r="D4618" s="109" t="s">
        <v>24785</v>
      </c>
      <c r="E4618" s="109" t="s">
        <v>22282</v>
      </c>
      <c r="F4618" s="391" t="s">
        <v>26974</v>
      </c>
    </row>
    <row r="4619" spans="1:6" ht="16.5">
      <c r="A4619" s="20" t="s">
        <v>26876</v>
      </c>
      <c r="B4619" s="155"/>
      <c r="C4619" s="21" t="s">
        <v>3997</v>
      </c>
      <c r="D4619" s="109" t="s">
        <v>26219</v>
      </c>
      <c r="E4619" s="202" t="s">
        <v>26220</v>
      </c>
      <c r="F4619" s="391" t="s">
        <v>4148</v>
      </c>
    </row>
    <row r="4620" spans="1:6" ht="16.5">
      <c r="A4620" s="20" t="s">
        <v>26877</v>
      </c>
      <c r="B4620" s="155"/>
      <c r="C4620" s="21" t="s">
        <v>4019</v>
      </c>
      <c r="D4620" s="109" t="s">
        <v>4059</v>
      </c>
      <c r="E4620" s="109" t="s">
        <v>26550</v>
      </c>
      <c r="F4620" s="391" t="s">
        <v>26547</v>
      </c>
    </row>
    <row r="4621" spans="1:6" ht="16.5">
      <c r="A4621" s="20" t="s">
        <v>26878</v>
      </c>
      <c r="B4621" s="155"/>
      <c r="C4621" s="21" t="s">
        <v>4048</v>
      </c>
      <c r="D4621" s="109" t="s">
        <v>21723</v>
      </c>
      <c r="E4621" s="109" t="s">
        <v>27070</v>
      </c>
      <c r="F4621" s="391" t="s">
        <v>26536</v>
      </c>
    </row>
    <row r="4622" spans="1:6" ht="16.5">
      <c r="A4622" s="20" t="s">
        <v>26879</v>
      </c>
      <c r="B4622" s="155"/>
      <c r="C4622" s="21" t="s">
        <v>76</v>
      </c>
      <c r="D4622" s="109" t="s">
        <v>4059</v>
      </c>
      <c r="E4622" s="109" t="s">
        <v>26318</v>
      </c>
      <c r="F4622" s="391" t="s">
        <v>24859</v>
      </c>
    </row>
    <row r="4623" spans="1:6" ht="16.5">
      <c r="A4623" s="20" t="s">
        <v>26880</v>
      </c>
      <c r="B4623" s="155"/>
      <c r="C4623" s="21" t="s">
        <v>130</v>
      </c>
      <c r="D4623" s="109" t="s">
        <v>4059</v>
      </c>
      <c r="E4623" s="109" t="s">
        <v>26959</v>
      </c>
      <c r="F4623" s="391" t="s">
        <v>26449</v>
      </c>
    </row>
    <row r="4624" spans="1:6" ht="16.5">
      <c r="A4624" s="20" t="s">
        <v>26881</v>
      </c>
      <c r="B4624" s="155"/>
      <c r="C4624" s="21" t="s">
        <v>130</v>
      </c>
      <c r="D4624" s="109" t="s">
        <v>4059</v>
      </c>
      <c r="E4624" s="109" t="s">
        <v>26556</v>
      </c>
      <c r="F4624" s="391" t="s">
        <v>26449</v>
      </c>
    </row>
    <row r="4625" spans="1:6" ht="16.5">
      <c r="A4625" s="20" t="s">
        <v>26882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25984</v>
      </c>
    </row>
    <row r="4626" spans="1:6" ht="16.5">
      <c r="A4626" s="20" t="s">
        <v>26883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6.5">
      <c r="A4627" s="20" t="s">
        <v>26884</v>
      </c>
      <c r="B4627" s="155"/>
      <c r="C4627" s="21" t="s">
        <v>145</v>
      </c>
      <c r="D4627" s="109" t="s">
        <v>26416</v>
      </c>
      <c r="E4627" s="109" t="s">
        <v>26419</v>
      </c>
      <c r="F4627" s="391" t="s">
        <v>26417</v>
      </c>
    </row>
    <row r="4628" spans="1:6" ht="16.5">
      <c r="A4628" s="20" t="s">
        <v>26885</v>
      </c>
      <c r="B4628" s="155"/>
      <c r="C4628" s="21" t="s">
        <v>156</v>
      </c>
      <c r="D4628" s="109" t="s">
        <v>3137</v>
      </c>
      <c r="E4628" s="109" t="s">
        <v>26810</v>
      </c>
      <c r="F4628" s="391" t="s">
        <v>26809</v>
      </c>
    </row>
    <row r="4629" spans="1:6" ht="16.5">
      <c r="A4629" s="20" t="s">
        <v>26886</v>
      </c>
      <c r="B4629" s="155"/>
      <c r="C4629" s="21" t="s">
        <v>165</v>
      </c>
      <c r="D4629" s="109" t="s">
        <v>4059</v>
      </c>
      <c r="E4629" s="109" t="s">
        <v>26844</v>
      </c>
      <c r="F4629" s="391" t="s">
        <v>26842</v>
      </c>
    </row>
    <row r="4630" spans="1:6" ht="16.5">
      <c r="A4630" s="20" t="s">
        <v>27043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6.5">
      <c r="A4631" s="20" t="s">
        <v>27044</v>
      </c>
      <c r="B4631" s="155"/>
      <c r="C4631" s="21" t="s">
        <v>187</v>
      </c>
      <c r="D4631" s="109" t="s">
        <v>3137</v>
      </c>
      <c r="E4631" s="109" t="s">
        <v>25244</v>
      </c>
      <c r="F4631" s="391" t="s">
        <v>4436</v>
      </c>
    </row>
    <row r="4632" spans="1:6" ht="16.5">
      <c r="A4632" s="20" t="s">
        <v>27045</v>
      </c>
      <c r="B4632" s="155"/>
      <c r="C4632" s="21" t="s">
        <v>214</v>
      </c>
      <c r="D4632" s="109" t="s">
        <v>4070</v>
      </c>
      <c r="E4632" s="109" t="s">
        <v>27071</v>
      </c>
      <c r="F4632" s="391" t="s">
        <v>4461</v>
      </c>
    </row>
    <row r="4633" spans="1:6" ht="16.5">
      <c r="A4633" s="20" t="s">
        <v>27046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27072</v>
      </c>
    </row>
    <row r="4634" spans="1:6" ht="16.5">
      <c r="A4634" s="20" t="s">
        <v>27047</v>
      </c>
      <c r="B4634" s="155"/>
      <c r="C4634" s="21" t="s">
        <v>754</v>
      </c>
      <c r="D4634" s="109" t="s">
        <v>4059</v>
      </c>
      <c r="E4634" s="109" t="s">
        <v>25555</v>
      </c>
      <c r="F4634" s="391" t="s">
        <v>26067</v>
      </c>
    </row>
    <row r="4635" spans="1:6" ht="16.5">
      <c r="A4635" s="20" t="s">
        <v>27048</v>
      </c>
      <c r="B4635" s="155"/>
      <c r="C4635" s="21" t="s">
        <v>9477</v>
      </c>
      <c r="D4635" s="109" t="s">
        <v>3137</v>
      </c>
      <c r="E4635" s="109"/>
      <c r="F4635" s="391" t="s">
        <v>25367</v>
      </c>
    </row>
    <row r="4636" spans="1:6" ht="16.5">
      <c r="A4636" s="20" t="s">
        <v>27049</v>
      </c>
      <c r="B4636" s="155"/>
      <c r="C4636" s="21" t="s">
        <v>25338</v>
      </c>
      <c r="D4636" s="109" t="s">
        <v>4059</v>
      </c>
      <c r="E4636" s="109" t="s">
        <v>3128</v>
      </c>
      <c r="F4636" s="391" t="s">
        <v>25339</v>
      </c>
    </row>
    <row r="4637" spans="1:6" ht="16.5">
      <c r="A4637" s="20" t="s">
        <v>27050</v>
      </c>
      <c r="B4637" s="155"/>
      <c r="C4637" s="21" t="s">
        <v>26586</v>
      </c>
      <c r="D4637" s="109" t="s">
        <v>4070</v>
      </c>
      <c r="E4637" s="109" t="s">
        <v>26585</v>
      </c>
      <c r="F4637" s="391" t="s">
        <v>26587</v>
      </c>
    </row>
    <row r="4638" spans="1:6" ht="16.5">
      <c r="A4638" s="20" t="s">
        <v>27051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6.5">
      <c r="A4639" s="20" t="s">
        <v>27052</v>
      </c>
      <c r="B4639" s="155"/>
      <c r="C4639" s="21" t="s">
        <v>25449</v>
      </c>
      <c r="D4639" s="109" t="s">
        <v>4070</v>
      </c>
      <c r="E4639" s="109" t="s">
        <v>26289</v>
      </c>
      <c r="F4639" s="391" t="s">
        <v>25450</v>
      </c>
    </row>
    <row r="4640" spans="1:6" ht="16.5">
      <c r="A4640" s="20" t="s">
        <v>27053</v>
      </c>
      <c r="B4640" s="155"/>
      <c r="C4640" s="21" t="s">
        <v>25449</v>
      </c>
      <c r="D4640" s="109" t="s">
        <v>4070</v>
      </c>
      <c r="E4640" s="109" t="s">
        <v>26627</v>
      </c>
      <c r="F4640" s="391" t="s">
        <v>25450</v>
      </c>
    </row>
    <row r="4641" spans="1:6" ht="16.5">
      <c r="A4641" s="20" t="s">
        <v>27054</v>
      </c>
      <c r="B4641" s="155"/>
      <c r="C4641" s="21" t="s">
        <v>25449</v>
      </c>
      <c r="D4641" s="109" t="s">
        <v>4070</v>
      </c>
      <c r="E4641" s="109"/>
      <c r="F4641" s="391" t="s">
        <v>25450</v>
      </c>
    </row>
    <row r="4642" spans="1:6" ht="16.5">
      <c r="A4642" s="20" t="s">
        <v>27055</v>
      </c>
      <c r="B4642" s="155"/>
      <c r="C4642" s="21" t="s">
        <v>26184</v>
      </c>
      <c r="D4642" s="109" t="s">
        <v>4070</v>
      </c>
      <c r="E4642" s="109"/>
      <c r="F4642" s="454" t="s">
        <v>26185</v>
      </c>
    </row>
    <row r="4643" spans="1:6" ht="16.5">
      <c r="A4643" s="20" t="s">
        <v>27056</v>
      </c>
      <c r="B4643" s="155"/>
      <c r="C4643" s="21" t="s">
        <v>26088</v>
      </c>
      <c r="D4643" s="109" t="s">
        <v>24785</v>
      </c>
      <c r="E4643" s="109"/>
      <c r="F4643" s="391" t="s">
        <v>26089</v>
      </c>
    </row>
    <row r="4644" spans="1:6" ht="16.5">
      <c r="A4644" s="20" t="s">
        <v>27057</v>
      </c>
      <c r="B4644" s="155"/>
      <c r="C4644" s="21" t="s">
        <v>26480</v>
      </c>
      <c r="D4644" s="109" t="s">
        <v>4059</v>
      </c>
      <c r="E4644" s="109"/>
      <c r="F4644" s="391" t="s">
        <v>26481</v>
      </c>
    </row>
    <row r="4645" spans="1:6" ht="16.5">
      <c r="A4645" s="20" t="s">
        <v>27058</v>
      </c>
      <c r="B4645" s="155"/>
      <c r="C4645" s="21" t="s">
        <v>24602</v>
      </c>
      <c r="D4645" s="109" t="s">
        <v>8376</v>
      </c>
      <c r="E4645" s="109" t="s">
        <v>3117</v>
      </c>
      <c r="F4645" s="391" t="s">
        <v>24610</v>
      </c>
    </row>
    <row r="4646" spans="1:6" ht="16.5">
      <c r="A4646" s="20" t="s">
        <v>27059</v>
      </c>
      <c r="B4646" s="155"/>
      <c r="C4646" s="21" t="s">
        <v>27033</v>
      </c>
      <c r="D4646" s="109" t="s">
        <v>18869</v>
      </c>
      <c r="E4646" s="109" t="s">
        <v>23853</v>
      </c>
      <c r="F4646" s="391" t="s">
        <v>27034</v>
      </c>
    </row>
    <row r="4647" spans="1:6" ht="16.5">
      <c r="A4647" s="20" t="s">
        <v>27060</v>
      </c>
      <c r="B4647" s="155"/>
      <c r="C4647" s="21" t="s">
        <v>26979</v>
      </c>
      <c r="D4647" s="109" t="s">
        <v>3096</v>
      </c>
      <c r="E4647" s="109" t="s">
        <v>26978</v>
      </c>
      <c r="F4647" s="391" t="s">
        <v>26980</v>
      </c>
    </row>
    <row r="4648" spans="1:6" ht="16.5">
      <c r="A4648" s="20" t="s">
        <v>27061</v>
      </c>
      <c r="B4648" s="155"/>
      <c r="C4648" s="21" t="s">
        <v>26981</v>
      </c>
      <c r="D4648" s="109" t="s">
        <v>4059</v>
      </c>
      <c r="E4648" s="109" t="s">
        <v>26978</v>
      </c>
      <c r="F4648" s="391" t="s">
        <v>26982</v>
      </c>
    </row>
    <row r="4649" spans="1:6" ht="16.5">
      <c r="A4649" s="20" t="s">
        <v>27062</v>
      </c>
      <c r="B4649" s="155"/>
      <c r="C4649" s="21" t="s">
        <v>26971</v>
      </c>
      <c r="D4649" s="109" t="s">
        <v>24785</v>
      </c>
      <c r="E4649" s="109" t="s">
        <v>26972</v>
      </c>
      <c r="F4649" s="391" t="s">
        <v>26973</v>
      </c>
    </row>
    <row r="4650" spans="1:6" ht="16.5">
      <c r="A4650" s="20" t="s">
        <v>27063</v>
      </c>
      <c r="B4650" s="155"/>
      <c r="C4650" s="21" t="s">
        <v>26986</v>
      </c>
      <c r="D4650" s="109" t="s">
        <v>7761</v>
      </c>
      <c r="E4650" s="109"/>
      <c r="F4650" s="391" t="s">
        <v>26999</v>
      </c>
    </row>
    <row r="4651" spans="1:6" ht="16.5">
      <c r="A4651" s="20" t="s">
        <v>27064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6.5">
      <c r="A4652" s="20" t="s">
        <v>27065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6.5">
      <c r="A4653" s="20" t="s">
        <v>27066</v>
      </c>
      <c r="B4653" s="155"/>
      <c r="C4653" s="21" t="s">
        <v>322</v>
      </c>
      <c r="D4653" s="109" t="s">
        <v>4064</v>
      </c>
      <c r="E4653" s="109" t="s">
        <v>26076</v>
      </c>
      <c r="F4653" s="391" t="s">
        <v>26073</v>
      </c>
    </row>
    <row r="4654" spans="1:6" ht="16.5">
      <c r="A4654" s="20" t="s">
        <v>27067</v>
      </c>
      <c r="B4654" s="155"/>
      <c r="C4654" s="21" t="s">
        <v>485</v>
      </c>
      <c r="D4654" s="109" t="s">
        <v>4070</v>
      </c>
      <c r="E4654" s="109"/>
      <c r="F4654" s="391" t="s">
        <v>25583</v>
      </c>
    </row>
    <row r="4655" spans="1:6" ht="16.5">
      <c r="A4655" s="20" t="s">
        <v>27068</v>
      </c>
      <c r="B4655" s="155"/>
      <c r="C4655" s="21" t="s">
        <v>489</v>
      </c>
      <c r="D4655" s="109" t="s">
        <v>4070</v>
      </c>
      <c r="E4655" s="452" t="s">
        <v>25706</v>
      </c>
      <c r="F4655" s="391" t="s">
        <v>4953</v>
      </c>
    </row>
    <row r="4656" spans="1:6" ht="16.5">
      <c r="A4656" s="20" t="s">
        <v>27069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26149</v>
      </c>
    </row>
    <row r="4657" spans="1:6" ht="16.5">
      <c r="A4657" s="20" t="s">
        <v>27073</v>
      </c>
      <c r="B4657" s="155"/>
      <c r="C4657" s="21" t="s">
        <v>26612</v>
      </c>
      <c r="D4657" s="109" t="s">
        <v>4062</v>
      </c>
      <c r="E4657" s="109"/>
      <c r="F4657" s="391" t="s">
        <v>5076</v>
      </c>
    </row>
    <row r="4658" spans="1:6" ht="16.5">
      <c r="A4658" s="20" t="s">
        <v>27074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24901</v>
      </c>
    </row>
    <row r="4659" spans="1:6" ht="16.5">
      <c r="A4659" s="20" t="s">
        <v>27075</v>
      </c>
      <c r="B4659" s="155"/>
      <c r="C4659" s="21" t="s">
        <v>25682</v>
      </c>
      <c r="D4659" s="109" t="s">
        <v>4070</v>
      </c>
      <c r="E4659" s="109"/>
      <c r="F4659" s="391" t="s">
        <v>25683</v>
      </c>
    </row>
    <row r="4660" spans="1:6" ht="16.5">
      <c r="A4660" s="20" t="s">
        <v>27076</v>
      </c>
      <c r="B4660" s="155"/>
      <c r="C4660" s="21" t="s">
        <v>25743</v>
      </c>
      <c r="D4660" s="109" t="s">
        <v>4059</v>
      </c>
      <c r="E4660" s="109" t="s">
        <v>8320</v>
      </c>
      <c r="F4660" s="391" t="s">
        <v>25744</v>
      </c>
    </row>
    <row r="4661" spans="1:6" ht="16.5">
      <c r="A4661" s="20" t="s">
        <v>27077</v>
      </c>
      <c r="B4661" s="155"/>
      <c r="C4661" s="21" t="s">
        <v>11042</v>
      </c>
      <c r="D4661" s="109" t="s">
        <v>4067</v>
      </c>
      <c r="E4661" s="109" t="s">
        <v>26458</v>
      </c>
      <c r="F4661" s="391" t="s">
        <v>11043</v>
      </c>
    </row>
    <row r="4662" spans="1:6" ht="16.5">
      <c r="A4662" s="20" t="s">
        <v>27078</v>
      </c>
      <c r="B4662" s="155"/>
      <c r="C4662" s="21" t="s">
        <v>26919</v>
      </c>
      <c r="D4662" s="109" t="s">
        <v>5649</v>
      </c>
      <c r="E4662" s="109"/>
      <c r="F4662" s="391" t="s">
        <v>9396</v>
      </c>
    </row>
    <row r="4663" spans="1:6" ht="16.5">
      <c r="A4663" s="20" t="s">
        <v>27079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6.5">
      <c r="A4664" s="20" t="s">
        <v>27080</v>
      </c>
      <c r="B4664" s="155"/>
      <c r="C4664" s="21" t="s">
        <v>26631</v>
      </c>
      <c r="D4664" s="109" t="s">
        <v>20994</v>
      </c>
      <c r="E4664" s="109"/>
      <c r="F4664" s="391" t="s">
        <v>26632</v>
      </c>
    </row>
    <row r="4665" spans="1:6" ht="16.5">
      <c r="A4665" s="20" t="s">
        <v>27081</v>
      </c>
      <c r="B4665" s="155"/>
      <c r="C4665" s="213" t="s">
        <v>26613</v>
      </c>
      <c r="D4665" s="109" t="s">
        <v>11756</v>
      </c>
      <c r="E4665" s="109"/>
      <c r="F4665" s="391" t="s">
        <v>20450</v>
      </c>
    </row>
    <row r="4666" spans="1:6" ht="16.5">
      <c r="A4666" s="20" t="s">
        <v>27082</v>
      </c>
      <c r="B4666" s="155"/>
      <c r="C4666" s="21" t="s">
        <v>17838</v>
      </c>
      <c r="D4666" s="109" t="s">
        <v>24880</v>
      </c>
      <c r="E4666" s="109" t="s">
        <v>24177</v>
      </c>
      <c r="F4666" s="391" t="s">
        <v>24881</v>
      </c>
    </row>
    <row r="4667" spans="1:6" ht="16.5">
      <c r="A4667" s="20" t="s">
        <v>27083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25219</v>
      </c>
    </row>
    <row r="4668" spans="1:6" ht="16.5">
      <c r="A4668" s="20" t="s">
        <v>27084</v>
      </c>
      <c r="B4668" s="155"/>
      <c r="C4668" s="21" t="s">
        <v>19840</v>
      </c>
      <c r="D4668" s="109" t="s">
        <v>4070</v>
      </c>
      <c r="E4668" s="109" t="s">
        <v>24217</v>
      </c>
      <c r="F4668" s="391" t="s">
        <v>25219</v>
      </c>
    </row>
    <row r="4669" spans="1:6" ht="16.5">
      <c r="A4669" s="20" t="s">
        <v>27085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6.5">
      <c r="A4670" s="20" t="s">
        <v>27086</v>
      </c>
      <c r="B4670" s="155"/>
      <c r="C4670" s="21" t="s">
        <v>25642</v>
      </c>
      <c r="D4670" s="109" t="s">
        <v>4070</v>
      </c>
      <c r="E4670" s="109" t="s">
        <v>22082</v>
      </c>
      <c r="F4670" s="391" t="s">
        <v>25643</v>
      </c>
    </row>
    <row r="4671" spans="1:6" ht="16.5">
      <c r="A4671" s="20" t="s">
        <v>27087</v>
      </c>
      <c r="B4671" s="155"/>
      <c r="C4671" s="21" t="s">
        <v>26990</v>
      </c>
      <c r="D4671" s="109" t="s">
        <v>24785</v>
      </c>
      <c r="E4671" s="109"/>
      <c r="F4671" s="391" t="s">
        <v>26991</v>
      </c>
    </row>
    <row r="4672" spans="1:6" ht="16.5">
      <c r="A4672" s="20" t="s">
        <v>27088</v>
      </c>
      <c r="B4672" s="155"/>
      <c r="C4672" s="21" t="s">
        <v>26038</v>
      </c>
      <c r="D4672" s="109" t="s">
        <v>24785</v>
      </c>
      <c r="E4672" s="109"/>
      <c r="F4672" s="391" t="s">
        <v>26039</v>
      </c>
    </row>
    <row r="4673" spans="1:6" ht="16.5">
      <c r="A4673" s="20" t="s">
        <v>27089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6.5">
      <c r="A4674" s="20" t="s">
        <v>27090</v>
      </c>
      <c r="B4674" s="155"/>
      <c r="C4674" s="21" t="s">
        <v>25884</v>
      </c>
      <c r="D4674" s="109" t="s">
        <v>24785</v>
      </c>
      <c r="E4674" s="109" t="s">
        <v>24177</v>
      </c>
      <c r="F4674" s="391" t="s">
        <v>25885</v>
      </c>
    </row>
    <row r="4675" spans="1:6" ht="16.5">
      <c r="A4675" s="20" t="s">
        <v>27091</v>
      </c>
      <c r="B4675" s="155"/>
      <c r="C4675" s="21" t="s">
        <v>26677</v>
      </c>
      <c r="D4675" s="109" t="s">
        <v>7960</v>
      </c>
      <c r="E4675" s="109"/>
      <c r="F4675" s="391" t="s">
        <v>26681</v>
      </c>
    </row>
    <row r="4676" spans="1:6" ht="16.5">
      <c r="A4676" s="20" t="s">
        <v>27092</v>
      </c>
      <c r="B4676" s="155"/>
      <c r="C4676" s="21" t="s">
        <v>24711</v>
      </c>
      <c r="D4676" s="109" t="s">
        <v>5979</v>
      </c>
      <c r="E4676" s="109"/>
      <c r="F4676" s="391" t="s">
        <v>21705</v>
      </c>
    </row>
    <row r="4677" spans="1:6" ht="16.5">
      <c r="A4677" s="20" t="s">
        <v>27093</v>
      </c>
      <c r="B4677" s="155"/>
      <c r="C4677" s="21" t="s">
        <v>26672</v>
      </c>
      <c r="D4677" s="109" t="s">
        <v>4070</v>
      </c>
      <c r="E4677" s="109" t="s">
        <v>23853</v>
      </c>
      <c r="F4677" s="391" t="s">
        <v>26673</v>
      </c>
    </row>
    <row r="4678" spans="1:6" ht="16.5">
      <c r="A4678" s="20" t="s">
        <v>27094</v>
      </c>
      <c r="B4678" s="155"/>
      <c r="C4678" s="21" t="s">
        <v>21859</v>
      </c>
      <c r="D4678" s="109" t="s">
        <v>3099</v>
      </c>
      <c r="E4678" s="109" t="s">
        <v>25715</v>
      </c>
      <c r="F4678" s="391" t="s">
        <v>21864</v>
      </c>
    </row>
    <row r="4679" spans="1:6" ht="16.5">
      <c r="A4679" s="20" t="s">
        <v>27095</v>
      </c>
      <c r="B4679" s="155"/>
      <c r="C4679" s="21" t="s">
        <v>25576</v>
      </c>
      <c r="D4679" s="109" t="s">
        <v>5979</v>
      </c>
      <c r="E4679" s="109"/>
      <c r="F4679" s="391" t="s">
        <v>22043</v>
      </c>
    </row>
    <row r="4680" spans="1:6" ht="16.5">
      <c r="A4680" s="20" t="s">
        <v>27096</v>
      </c>
      <c r="B4680" s="155"/>
      <c r="C4680" s="21" t="s">
        <v>26410</v>
      </c>
      <c r="D4680" s="109" t="s">
        <v>11756</v>
      </c>
      <c r="E4680" s="109"/>
      <c r="F4680" s="391" t="s">
        <v>23076</v>
      </c>
    </row>
    <row r="4681" spans="1:6" ht="16.5">
      <c r="A4681" s="20" t="s">
        <v>27097</v>
      </c>
      <c r="B4681" s="155"/>
      <c r="C4681" s="21" t="s">
        <v>26344</v>
      </c>
      <c r="D4681" s="109" t="s">
        <v>4070</v>
      </c>
      <c r="E4681" s="109" t="s">
        <v>23853</v>
      </c>
      <c r="F4681" s="391" t="s">
        <v>26345</v>
      </c>
    </row>
    <row r="4682" spans="1:6" ht="16.5">
      <c r="A4682" s="20" t="s">
        <v>27098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6.5">
      <c r="A4683" s="20" t="s">
        <v>27099</v>
      </c>
      <c r="B4683" s="155"/>
      <c r="C4683" s="21" t="s">
        <v>26096</v>
      </c>
      <c r="D4683" s="109" t="s">
        <v>18869</v>
      </c>
      <c r="E4683" s="109" t="s">
        <v>24177</v>
      </c>
      <c r="F4683" s="391" t="s">
        <v>23559</v>
      </c>
    </row>
    <row r="4684" spans="1:6" ht="16.5">
      <c r="A4684" s="20" t="s">
        <v>27100</v>
      </c>
      <c r="B4684" s="155"/>
      <c r="C4684" s="21" t="s">
        <v>26453</v>
      </c>
      <c r="D4684" s="109" t="s">
        <v>4070</v>
      </c>
      <c r="E4684" s="109" t="s">
        <v>23853</v>
      </c>
      <c r="F4684" s="391" t="s">
        <v>26454</v>
      </c>
    </row>
    <row r="4685" spans="1:6" ht="16.5">
      <c r="A4685" s="20" t="s">
        <v>27101</v>
      </c>
      <c r="B4685" s="155"/>
      <c r="C4685" s="21" t="s">
        <v>25483</v>
      </c>
      <c r="D4685" s="109" t="s">
        <v>4070</v>
      </c>
      <c r="E4685" s="109" t="s">
        <v>24177</v>
      </c>
      <c r="F4685" s="391" t="s">
        <v>25484</v>
      </c>
    </row>
    <row r="4686" spans="1:6" ht="16.5">
      <c r="A4686" s="20" t="s">
        <v>27102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6.5">
      <c r="A4687" s="20" t="s">
        <v>27103</v>
      </c>
      <c r="B4687" s="155"/>
      <c r="C4687" s="21" t="s">
        <v>24280</v>
      </c>
      <c r="D4687" s="109" t="s">
        <v>5979</v>
      </c>
      <c r="E4687" s="109" t="s">
        <v>9189</v>
      </c>
      <c r="F4687" s="391" t="s">
        <v>24288</v>
      </c>
    </row>
    <row r="4688" spans="1:6" ht="16.5">
      <c r="A4688" s="20" t="s">
        <v>27104</v>
      </c>
      <c r="B4688" s="155"/>
      <c r="C4688" s="21" t="s">
        <v>26992</v>
      </c>
      <c r="D4688" s="109" t="s">
        <v>4071</v>
      </c>
      <c r="E4688" s="109" t="s">
        <v>26993</v>
      </c>
      <c r="F4688" s="391" t="s">
        <v>25999</v>
      </c>
    </row>
    <row r="4689" spans="1:6" ht="16.5">
      <c r="A4689" s="20" t="s">
        <v>27105</v>
      </c>
      <c r="B4689" s="155"/>
      <c r="C4689" s="21" t="s">
        <v>27020</v>
      </c>
      <c r="D4689" s="109" t="s">
        <v>3133</v>
      </c>
      <c r="E4689" s="109" t="s">
        <v>26055</v>
      </c>
      <c r="F4689" s="391" t="s">
        <v>27021</v>
      </c>
    </row>
    <row r="4690" spans="1:6" ht="16.5">
      <c r="A4690" s="20" t="s">
        <v>27106</v>
      </c>
      <c r="B4690" s="155"/>
      <c r="C4690" s="21" t="s">
        <v>27022</v>
      </c>
      <c r="D4690" s="109" t="s">
        <v>6606</v>
      </c>
      <c r="E4690" s="109" t="s">
        <v>3131</v>
      </c>
      <c r="F4690" s="391" t="s">
        <v>27023</v>
      </c>
    </row>
    <row r="4691" spans="1:6" ht="16.5">
      <c r="A4691" s="20" t="s">
        <v>27107</v>
      </c>
      <c r="B4691" s="155"/>
      <c r="C4691" s="21" t="s">
        <v>24975</v>
      </c>
      <c r="D4691" s="109" t="s">
        <v>4070</v>
      </c>
      <c r="E4691" s="109" t="s">
        <v>24177</v>
      </c>
      <c r="F4691" s="391" t="s">
        <v>27009</v>
      </c>
    </row>
    <row r="4692" spans="1:6" ht="16.5">
      <c r="A4692" s="20" t="s">
        <v>27108</v>
      </c>
      <c r="B4692" s="155"/>
      <c r="C4692" s="21" t="s">
        <v>26976</v>
      </c>
      <c r="D4692" s="109" t="s">
        <v>3137</v>
      </c>
      <c r="E4692" s="109"/>
      <c r="F4692" s="391" t="s">
        <v>26984</v>
      </c>
    </row>
    <row r="4693" spans="1:6" ht="16.5">
      <c r="A4693" s="20" t="s">
        <v>27109</v>
      </c>
      <c r="B4693" s="155"/>
      <c r="C4693" s="21" t="s">
        <v>26565</v>
      </c>
      <c r="D4693" s="109" t="s">
        <v>5979</v>
      </c>
      <c r="E4693" s="109" t="s">
        <v>26189</v>
      </c>
      <c r="F4693" s="391" t="s">
        <v>26713</v>
      </c>
    </row>
    <row r="4694" spans="1:6" ht="16.5">
      <c r="A4694" s="20" t="s">
        <v>27110</v>
      </c>
      <c r="B4694" s="155"/>
      <c r="C4694" s="21" t="s">
        <v>27025</v>
      </c>
      <c r="D4694" s="109" t="s">
        <v>3137</v>
      </c>
      <c r="E4694" s="109"/>
      <c r="F4694" s="391" t="s">
        <v>27035</v>
      </c>
    </row>
    <row r="4695" spans="1:6" ht="16.5">
      <c r="A4695" s="20" t="s">
        <v>27111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6.5">
      <c r="A4696" s="20" t="s">
        <v>27112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6.5">
      <c r="A4697" s="20" t="s">
        <v>27113</v>
      </c>
      <c r="B4697" s="155"/>
      <c r="C4697" s="21" t="s">
        <v>26985</v>
      </c>
      <c r="D4697" s="109" t="s">
        <v>24785</v>
      </c>
      <c r="E4697" s="109" t="s">
        <v>22282</v>
      </c>
      <c r="F4697" s="391" t="s">
        <v>26989</v>
      </c>
    </row>
    <row r="4698" spans="1:6" ht="16.5">
      <c r="A4698" s="20" t="s">
        <v>27114</v>
      </c>
      <c r="B4698" s="155"/>
      <c r="C4698" s="21" t="s">
        <v>27026</v>
      </c>
      <c r="D4698" s="109" t="s">
        <v>3137</v>
      </c>
      <c r="E4698" s="109"/>
      <c r="F4698" s="391" t="s">
        <v>27144</v>
      </c>
    </row>
    <row r="4699" spans="1:6" ht="16.5">
      <c r="A4699" s="20" t="s">
        <v>27115</v>
      </c>
      <c r="B4699" s="155"/>
      <c r="C4699" s="21" t="s">
        <v>27142</v>
      </c>
      <c r="D4699" s="109" t="s">
        <v>9855</v>
      </c>
      <c r="E4699" s="109"/>
      <c r="F4699" s="391" t="s">
        <v>27153</v>
      </c>
    </row>
    <row r="4700" spans="1:6" ht="16.5">
      <c r="A4700" s="20" t="s">
        <v>27116</v>
      </c>
      <c r="B4700" s="155"/>
      <c r="C4700" s="21" t="s">
        <v>27027</v>
      </c>
      <c r="D4700" s="109" t="s">
        <v>9855</v>
      </c>
      <c r="E4700" s="109"/>
      <c r="F4700" s="391" t="s">
        <v>27154</v>
      </c>
    </row>
    <row r="4701" spans="1:6" ht="16.5">
      <c r="A4701" s="20" t="s">
        <v>27117</v>
      </c>
      <c r="B4701" s="155"/>
      <c r="C4701" s="21" t="s">
        <v>27155</v>
      </c>
      <c r="D4701" s="109" t="s">
        <v>24785</v>
      </c>
      <c r="E4701" s="109"/>
      <c r="F4701" s="391" t="s">
        <v>27156</v>
      </c>
    </row>
    <row r="4702" spans="1:6" ht="16.5">
      <c r="A4702" s="20" t="s">
        <v>27118</v>
      </c>
      <c r="B4702" s="155"/>
      <c r="C4702" s="21" t="s">
        <v>27169</v>
      </c>
      <c r="D4702" s="109" t="s">
        <v>24785</v>
      </c>
      <c r="E4702" s="109" t="s">
        <v>22282</v>
      </c>
      <c r="F4702" s="391" t="s">
        <v>27178</v>
      </c>
    </row>
    <row r="4703" spans="1:6" ht="16.5">
      <c r="A4703" s="20" t="s">
        <v>27119</v>
      </c>
      <c r="B4703" s="155"/>
      <c r="C4703" s="21" t="s">
        <v>25952</v>
      </c>
      <c r="D4703" s="109" t="s">
        <v>24785</v>
      </c>
      <c r="E4703" s="109" t="s">
        <v>27168</v>
      </c>
      <c r="F4703" s="391" t="s">
        <v>25950</v>
      </c>
    </row>
    <row r="4704" spans="1:6" ht="16.5">
      <c r="A4704" s="20" t="s">
        <v>27120</v>
      </c>
      <c r="B4704" s="155"/>
      <c r="C4704" s="21" t="s">
        <v>27159</v>
      </c>
      <c r="D4704" s="109" t="s">
        <v>7389</v>
      </c>
      <c r="E4704" s="109" t="s">
        <v>27180</v>
      </c>
      <c r="F4704" s="391" t="s">
        <v>27160</v>
      </c>
    </row>
    <row r="4705" spans="1:6" ht="16.5">
      <c r="A4705" s="20" t="s">
        <v>27121</v>
      </c>
      <c r="B4705" s="155"/>
      <c r="C4705" s="21" t="s">
        <v>27170</v>
      </c>
      <c r="D4705" s="109" t="s">
        <v>9855</v>
      </c>
      <c r="E4705" s="109"/>
      <c r="F4705" s="391" t="s">
        <v>27207</v>
      </c>
    </row>
    <row r="4706" spans="1:6" ht="16.5">
      <c r="A4706" s="20" t="s">
        <v>27122</v>
      </c>
      <c r="B4706" s="155"/>
      <c r="C4706" s="21" t="s">
        <v>27214</v>
      </c>
      <c r="D4706" s="109" t="s">
        <v>9855</v>
      </c>
      <c r="E4706" s="109"/>
      <c r="F4706" s="391" t="s">
        <v>27226</v>
      </c>
    </row>
    <row r="4707" spans="1:6" ht="16.5">
      <c r="A4707" s="20" t="s">
        <v>27123</v>
      </c>
      <c r="B4707" s="155"/>
      <c r="C4707" s="21" t="s">
        <v>27220</v>
      </c>
      <c r="D4707" s="109" t="s">
        <v>3137</v>
      </c>
      <c r="E4707" s="109"/>
      <c r="F4707" s="391" t="s">
        <v>27232</v>
      </c>
    </row>
    <row r="4708" spans="1:6" ht="16.5">
      <c r="A4708" s="20" t="s">
        <v>27124</v>
      </c>
      <c r="B4708" s="155"/>
      <c r="C4708" s="21" t="s">
        <v>27252</v>
      </c>
      <c r="D4708" s="109" t="s">
        <v>3096</v>
      </c>
      <c r="E4708" s="109" t="s">
        <v>27253</v>
      </c>
      <c r="F4708" s="391" t="s">
        <v>27254</v>
      </c>
    </row>
    <row r="4709" spans="1:6" ht="16.5">
      <c r="A4709" s="20" t="s">
        <v>27125</v>
      </c>
      <c r="B4709" s="155"/>
      <c r="C4709" s="21" t="s">
        <v>27241</v>
      </c>
      <c r="D4709" s="109" t="s">
        <v>20994</v>
      </c>
      <c r="E4709" s="109"/>
      <c r="F4709" s="391" t="s">
        <v>27255</v>
      </c>
    </row>
    <row r="4710" spans="1:6" ht="16.5">
      <c r="A4710" s="20" t="s">
        <v>27126</v>
      </c>
      <c r="B4710" s="155"/>
      <c r="C4710" s="21" t="s">
        <v>93</v>
      </c>
      <c r="D4710" s="109" t="s">
        <v>4070</v>
      </c>
      <c r="E4710" s="109" t="s">
        <v>25647</v>
      </c>
      <c r="F4710" s="391" t="s">
        <v>27235</v>
      </c>
    </row>
    <row r="4711" spans="1:6" ht="16.5">
      <c r="A4711" s="20" t="s">
        <v>27127</v>
      </c>
      <c r="B4711" s="155"/>
      <c r="C4711" s="21" t="s">
        <v>119</v>
      </c>
      <c r="D4711" s="109" t="s">
        <v>4059</v>
      </c>
      <c r="E4711" s="109"/>
      <c r="F4711" s="391" t="s">
        <v>26602</v>
      </c>
    </row>
    <row r="4712" spans="1:6" ht="16.5">
      <c r="A4712" s="20" t="s">
        <v>27128</v>
      </c>
      <c r="B4712" s="155"/>
      <c r="C4712" s="21" t="s">
        <v>461</v>
      </c>
      <c r="D4712" s="109" t="s">
        <v>4059</v>
      </c>
      <c r="E4712" s="109" t="s">
        <v>25555</v>
      </c>
      <c r="F4712" s="391" t="s">
        <v>25631</v>
      </c>
    </row>
    <row r="4713" spans="1:6" ht="16.5">
      <c r="A4713" s="20" t="s">
        <v>27129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24901</v>
      </c>
    </row>
    <row r="4714" spans="1:6" ht="16.5">
      <c r="A4714" s="20" t="s">
        <v>27130</v>
      </c>
      <c r="B4714" s="155"/>
      <c r="C4714" s="21" t="s">
        <v>27211</v>
      </c>
      <c r="D4714" s="109" t="s">
        <v>27212</v>
      </c>
      <c r="E4714" s="109" t="s">
        <v>25773</v>
      </c>
      <c r="F4714" s="391" t="s">
        <v>25556</v>
      </c>
    </row>
    <row r="4715" spans="1:6" ht="16.5">
      <c r="A4715" s="20" t="s">
        <v>27131</v>
      </c>
      <c r="B4715" s="155"/>
      <c r="C4715" s="21" t="s">
        <v>25301</v>
      </c>
      <c r="D4715" s="109" t="s">
        <v>24785</v>
      </c>
      <c r="E4715" s="109" t="s">
        <v>26306</v>
      </c>
      <c r="F4715" s="391" t="s">
        <v>25302</v>
      </c>
    </row>
    <row r="4716" spans="1:6" ht="16.5">
      <c r="A4716" s="20" t="s">
        <v>27132</v>
      </c>
      <c r="B4716" s="155"/>
      <c r="C4716" s="21" t="s">
        <v>27271</v>
      </c>
      <c r="D4716" s="109" t="s">
        <v>27268</v>
      </c>
      <c r="E4716" s="109"/>
      <c r="F4716" s="391" t="s">
        <v>27269</v>
      </c>
    </row>
    <row r="4717" spans="1:6" ht="16.5">
      <c r="A4717" s="20" t="s">
        <v>27133</v>
      </c>
      <c r="B4717" s="155"/>
      <c r="C4717" s="21" t="s">
        <v>26046</v>
      </c>
      <c r="D4717" s="109" t="s">
        <v>4070</v>
      </c>
      <c r="E4717" s="109" t="s">
        <v>27205</v>
      </c>
      <c r="F4717" s="391" t="s">
        <v>26047</v>
      </c>
    </row>
    <row r="4718" spans="1:6" ht="16.5">
      <c r="A4718" s="20" t="s">
        <v>27134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27186</v>
      </c>
    </row>
    <row r="4719" spans="1:6" ht="16.5">
      <c r="A4719" s="20" t="s">
        <v>27135</v>
      </c>
      <c r="B4719" s="155"/>
      <c r="C4719" s="21" t="s">
        <v>27176</v>
      </c>
      <c r="D4719" s="109" t="s">
        <v>20994</v>
      </c>
      <c r="E4719" s="109" t="s">
        <v>27177</v>
      </c>
      <c r="F4719" s="391" t="s">
        <v>27175</v>
      </c>
    </row>
    <row r="4720" spans="1:6" ht="16.5">
      <c r="A4720" s="20" t="s">
        <v>27136</v>
      </c>
      <c r="B4720" s="155"/>
      <c r="C4720" s="21" t="s">
        <v>27262</v>
      </c>
      <c r="D4720" s="109" t="s">
        <v>3927</v>
      </c>
      <c r="E4720" s="109"/>
      <c r="F4720" s="391" t="s">
        <v>27263</v>
      </c>
    </row>
    <row r="4721" spans="1:6" ht="16.5">
      <c r="A4721" s="20" t="s">
        <v>27137</v>
      </c>
      <c r="B4721" s="155"/>
      <c r="C4721" s="21" t="s">
        <v>27242</v>
      </c>
      <c r="D4721" s="109" t="s">
        <v>3137</v>
      </c>
      <c r="E4721" s="109"/>
      <c r="F4721" s="391" t="s">
        <v>26735</v>
      </c>
    </row>
    <row r="4722" spans="1:6" ht="16.5">
      <c r="A4722" s="20" t="s">
        <v>27138</v>
      </c>
      <c r="B4722" s="155"/>
      <c r="C4722" s="21" t="s">
        <v>676</v>
      </c>
      <c r="D4722" s="109" t="s">
        <v>27191</v>
      </c>
      <c r="E4722" s="109" t="s">
        <v>27193</v>
      </c>
      <c r="F4722" s="391" t="s">
        <v>5308</v>
      </c>
    </row>
    <row r="4723" spans="1:6" ht="16.5">
      <c r="A4723" s="20" t="s">
        <v>27139</v>
      </c>
      <c r="B4723" s="155"/>
      <c r="C4723" s="21" t="s">
        <v>27294</v>
      </c>
      <c r="D4723" s="109" t="s">
        <v>4070</v>
      </c>
      <c r="E4723" s="109" t="s">
        <v>27297</v>
      </c>
      <c r="F4723" s="391" t="s">
        <v>27295</v>
      </c>
    </row>
    <row r="4724" spans="1:6" ht="16.5">
      <c r="A4724" s="20" t="s">
        <v>27140</v>
      </c>
      <c r="B4724" s="155"/>
      <c r="C4724" s="21" t="s">
        <v>27298</v>
      </c>
      <c r="D4724" s="109" t="s">
        <v>4070</v>
      </c>
      <c r="E4724" s="109" t="s">
        <v>27297</v>
      </c>
      <c r="F4724" s="454" t="s">
        <v>27299</v>
      </c>
    </row>
    <row r="4725" spans="1:6" ht="16.5">
      <c r="A4725" s="20" t="s">
        <v>27277</v>
      </c>
      <c r="B4725" s="155"/>
      <c r="C4725" s="21" t="s">
        <v>27310</v>
      </c>
      <c r="D4725" s="109" t="s">
        <v>8056</v>
      </c>
      <c r="E4725" s="109" t="s">
        <v>27313</v>
      </c>
      <c r="F4725" s="391" t="s">
        <v>27312</v>
      </c>
    </row>
    <row r="4726" spans="1:6" ht="16.5">
      <c r="A4726" s="20" t="s">
        <v>27278</v>
      </c>
      <c r="B4726" s="155"/>
      <c r="C4726" s="21" t="s">
        <v>27301</v>
      </c>
      <c r="D4726" s="109" t="s">
        <v>3137</v>
      </c>
      <c r="E4726" s="109"/>
      <c r="F4726" s="391" t="s">
        <v>27319</v>
      </c>
    </row>
    <row r="4727" spans="1:6" ht="16.5">
      <c r="A4727" s="20" t="s">
        <v>27279</v>
      </c>
      <c r="B4727" s="155"/>
      <c r="C4727" s="21" t="s">
        <v>27272</v>
      </c>
      <c r="D4727" s="109" t="s">
        <v>3958</v>
      </c>
      <c r="E4727" s="109"/>
      <c r="F4727" s="391" t="s">
        <v>27318</v>
      </c>
    </row>
    <row r="4728" spans="1:6" ht="16.5">
      <c r="A4728" s="20" t="s">
        <v>27280</v>
      </c>
      <c r="B4728" s="155"/>
      <c r="C4728" s="21" t="s">
        <v>27314</v>
      </c>
      <c r="D4728" s="109" t="s">
        <v>9855</v>
      </c>
      <c r="E4728" s="109"/>
      <c r="F4728" s="391" t="s">
        <v>27323</v>
      </c>
    </row>
    <row r="4729" spans="1:6" ht="16.5">
      <c r="A4729" s="20" t="s">
        <v>27281</v>
      </c>
      <c r="B4729" s="155"/>
      <c r="C4729" s="21" t="s">
        <v>27303</v>
      </c>
      <c r="D4729" s="109" t="s">
        <v>3137</v>
      </c>
      <c r="E4729" s="109" t="s">
        <v>22282</v>
      </c>
      <c r="F4729" s="391" t="s">
        <v>27325</v>
      </c>
    </row>
    <row r="4730" spans="1:6" ht="16.5">
      <c r="A4730" s="20" t="s">
        <v>27282</v>
      </c>
      <c r="B4730" s="155"/>
      <c r="C4730" s="21" t="s">
        <v>27300</v>
      </c>
      <c r="D4730" s="109" t="s">
        <v>9855</v>
      </c>
      <c r="E4730" s="109"/>
      <c r="F4730" s="391" t="s">
        <v>27328</v>
      </c>
    </row>
    <row r="4731" spans="1:6" ht="16.5">
      <c r="A4731" s="20" t="s">
        <v>27283</v>
      </c>
      <c r="B4731" s="155"/>
      <c r="C4731" s="21" t="s">
        <v>27334</v>
      </c>
      <c r="D4731" s="109" t="s">
        <v>4072</v>
      </c>
      <c r="E4731" s="109" t="s">
        <v>27333</v>
      </c>
      <c r="F4731" s="391" t="s">
        <v>27335</v>
      </c>
    </row>
    <row r="4732" spans="1:6" ht="16.5">
      <c r="A4732" s="20" t="s">
        <v>27284</v>
      </c>
      <c r="B4732" s="155"/>
      <c r="C4732" s="21" t="s">
        <v>27337</v>
      </c>
      <c r="D4732" s="109" t="s">
        <v>4072</v>
      </c>
      <c r="E4732" s="109" t="s">
        <v>27336</v>
      </c>
      <c r="F4732" s="391" t="s">
        <v>27338</v>
      </c>
    </row>
    <row r="4733" spans="1:6" ht="16.5">
      <c r="A4733" s="20" t="s">
        <v>27285</v>
      </c>
      <c r="B4733" s="155"/>
      <c r="C4733" s="213" t="s">
        <v>27346</v>
      </c>
      <c r="D4733" s="109" t="s">
        <v>5979</v>
      </c>
      <c r="E4733" s="202"/>
      <c r="F4733" s="391" t="s">
        <v>12998</v>
      </c>
    </row>
    <row r="4734" spans="1:6" ht="16.5">
      <c r="A4734" s="20" t="s">
        <v>27286</v>
      </c>
      <c r="B4734" s="155"/>
      <c r="C4734" s="21" t="s">
        <v>27350</v>
      </c>
      <c r="D4734" s="109" t="s">
        <v>9855</v>
      </c>
      <c r="E4734" s="109"/>
      <c r="F4734" s="391" t="s">
        <v>27355</v>
      </c>
    </row>
    <row r="4735" spans="1:6" ht="16.5">
      <c r="A4735" s="20" t="s">
        <v>27287</v>
      </c>
      <c r="B4735" s="155"/>
      <c r="C4735" s="21" t="s">
        <v>27348</v>
      </c>
      <c r="D4735" s="109" t="s">
        <v>3137</v>
      </c>
      <c r="E4735" s="109"/>
      <c r="F4735" s="391" t="s">
        <v>27357</v>
      </c>
    </row>
    <row r="4736" spans="1:6" ht="16.5">
      <c r="A4736" s="20" t="s">
        <v>27288</v>
      </c>
      <c r="B4736" s="155"/>
      <c r="C4736" s="21" t="s">
        <v>27360</v>
      </c>
      <c r="D4736" s="109" t="s">
        <v>27362</v>
      </c>
      <c r="E4736" s="109" t="s">
        <v>26909</v>
      </c>
      <c r="F4736" s="391" t="s">
        <v>27363</v>
      </c>
    </row>
    <row r="4737" spans="1:6" ht="16.5">
      <c r="A4737" s="20" t="s">
        <v>27289</v>
      </c>
      <c r="B4737" s="155"/>
      <c r="C4737" s="21" t="s">
        <v>27361</v>
      </c>
      <c r="D4737" s="109" t="s">
        <v>27362</v>
      </c>
      <c r="E4737" s="109" t="s">
        <v>26911</v>
      </c>
      <c r="F4737" s="391" t="s">
        <v>27364</v>
      </c>
    </row>
    <row r="4738" spans="1:6" ht="16.5">
      <c r="A4738" s="20" t="s">
        <v>27290</v>
      </c>
      <c r="B4738" s="155"/>
      <c r="C4738" s="21" t="s">
        <v>27347</v>
      </c>
      <c r="D4738" s="109" t="s">
        <v>3137</v>
      </c>
      <c r="E4738" s="109"/>
      <c r="F4738" s="391" t="s">
        <v>27365</v>
      </c>
    </row>
    <row r="4739" spans="1:6" ht="16.5">
      <c r="A4739" s="20" t="s">
        <v>27366</v>
      </c>
      <c r="B4739" s="155"/>
      <c r="C4739" s="21" t="s">
        <v>27276</v>
      </c>
      <c r="D4739" s="109" t="s">
        <v>5649</v>
      </c>
      <c r="E4739" s="109"/>
      <c r="F4739" s="391" t="s">
        <v>27378</v>
      </c>
    </row>
    <row r="4740" spans="1:6" ht="16.5">
      <c r="A4740" s="20" t="s">
        <v>27367</v>
      </c>
      <c r="B4740" s="155"/>
      <c r="C4740" s="21" t="s">
        <v>27359</v>
      </c>
      <c r="D4740" s="109" t="s">
        <v>24785</v>
      </c>
      <c r="E4740" s="109"/>
      <c r="F4740" s="391" t="s">
        <v>27388</v>
      </c>
    </row>
    <row r="4741" spans="1:6" ht="16.5">
      <c r="A4741" s="20" t="s">
        <v>27368</v>
      </c>
      <c r="B4741" s="155"/>
      <c r="C4741" s="21"/>
      <c r="D4741" s="109"/>
      <c r="E4741" s="109"/>
      <c r="F4741" s="391"/>
    </row>
    <row r="4742" spans="1:6" ht="16.5">
      <c r="A4742" s="20" t="s">
        <v>27369</v>
      </c>
      <c r="B4742" s="155"/>
      <c r="C4742" s="21"/>
      <c r="D4742" s="109"/>
      <c r="E4742" s="109"/>
      <c r="F4742" s="391"/>
    </row>
    <row r="4743" spans="1:6" ht="16.5">
      <c r="A4743" s="20" t="s">
        <v>27370</v>
      </c>
      <c r="B4743" s="155"/>
      <c r="C4743" s="21"/>
      <c r="D4743" s="109"/>
      <c r="E4743" s="109"/>
      <c r="F4743" s="391"/>
    </row>
    <row r="4744" spans="1:6" ht="16.5">
      <c r="A4744" s="20" t="s">
        <v>27371</v>
      </c>
      <c r="B4744" s="155"/>
      <c r="C4744" s="21"/>
      <c r="D4744" s="109"/>
      <c r="E4744" s="109"/>
      <c r="F4744" s="391"/>
    </row>
    <row r="4745" spans="1:6" ht="16.5">
      <c r="A4745" s="20" t="s">
        <v>27372</v>
      </c>
      <c r="B4745" s="155"/>
      <c r="C4745" s="21"/>
      <c r="D4745" s="109"/>
      <c r="E4745" s="109"/>
      <c r="F4745" s="391"/>
    </row>
    <row r="4746" spans="1:6" ht="16.5">
      <c r="A4746" s="20" t="s">
        <v>27373</v>
      </c>
      <c r="B4746" s="155"/>
      <c r="C4746" s="21"/>
      <c r="D4746" s="109"/>
      <c r="E4746" s="109"/>
      <c r="F4746" s="391"/>
    </row>
    <row r="4747" spans="1:6" ht="16.5">
      <c r="A4747" s="20" t="s">
        <v>27374</v>
      </c>
      <c r="B4747" s="155"/>
      <c r="C4747" s="21"/>
      <c r="D4747" s="109"/>
      <c r="E4747" s="109"/>
      <c r="F4747" s="391"/>
    </row>
    <row r="4748" spans="1:6" ht="16.5">
      <c r="A4748" s="20" t="s">
        <v>27375</v>
      </c>
      <c r="B4748" s="155"/>
      <c r="C4748" s="21"/>
      <c r="D4748" s="109"/>
      <c r="E4748" s="109"/>
      <c r="F4748" s="391"/>
    </row>
    <row r="4749" spans="1:6" ht="16.5">
      <c r="A4749" s="20" t="s">
        <v>27376</v>
      </c>
      <c r="B4749" s="155"/>
      <c r="C4749" s="21"/>
      <c r="D4749" s="109"/>
      <c r="E4749" s="109"/>
      <c r="F4749" s="391"/>
    </row>
    <row r="4750" spans="1:6" ht="16.5">
      <c r="A4750" s="20" t="s">
        <v>27377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4.25"/>
  <cols>
    <col min="1" max="1" width="7.75" customWidth="1"/>
    <col min="2" max="2" width="10.875" customWidth="1"/>
    <col min="3" max="3" width="11.375" customWidth="1"/>
    <col min="4" max="4" width="37.125" customWidth="1"/>
    <col min="5" max="5" width="18.75" customWidth="1"/>
    <col min="6" max="6" width="11.75" bestFit="1" customWidth="1"/>
    <col min="7" max="7" width="12.5" customWidth="1"/>
    <col min="8" max="8" width="17.125" customWidth="1"/>
    <col min="9" max="9" width="11.25" customWidth="1"/>
    <col min="10" max="10" width="12.25" customWidth="1"/>
    <col min="11" max="11" width="12.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4351"/>
  <sheetViews>
    <sheetView topLeftCell="A4334" workbookViewId="0">
      <selection activeCell="J4342" sqref="J4342"/>
    </sheetView>
  </sheetViews>
  <sheetFormatPr defaultRowHeight="14.25"/>
  <cols>
    <col min="1" max="1" width="6.875" customWidth="1"/>
    <col min="2" max="2" width="10.875" customWidth="1"/>
    <col min="3" max="3" width="11.125" customWidth="1"/>
    <col min="4" max="4" width="32.75" customWidth="1"/>
    <col min="5" max="5" width="16.375" customWidth="1"/>
    <col min="6" max="6" width="15.25" customWidth="1"/>
    <col min="7" max="7" width="10.875" customWidth="1"/>
    <col min="8" max="8" width="7.5" customWidth="1"/>
    <col min="9" max="9" width="10" customWidth="1"/>
    <col min="10" max="10" width="9.125" customWidth="1"/>
    <col min="11" max="11" width="18.2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45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51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24202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24222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24234</v>
      </c>
      <c r="F3691" s="63" t="s">
        <v>24235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24264</v>
      </c>
      <c r="F3697" s="63" t="s">
        <v>24265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24266</v>
      </c>
      <c r="F3698" s="63" t="s">
        <v>24267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24266</v>
      </c>
      <c r="F3700" s="63" t="s">
        <v>24267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24290</v>
      </c>
      <c r="F3701" s="63" t="s">
        <v>24291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24290</v>
      </c>
      <c r="F3704" s="63" t="s">
        <v>24315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24266</v>
      </c>
      <c r="F3705" s="63" t="s">
        <v>24267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24336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24290</v>
      </c>
      <c r="F3709" s="63" t="s">
        <v>24337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24290</v>
      </c>
      <c r="F3710" s="63" t="s">
        <v>24351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24352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24353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24266</v>
      </c>
      <c r="F3713" s="63" t="s">
        <v>24267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24392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24395</v>
      </c>
      <c r="F3717" s="63" t="s">
        <v>24396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24397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24398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24398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24399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24266</v>
      </c>
      <c r="F3724" s="63" t="s">
        <v>24267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24395</v>
      </c>
      <c r="F3726" s="63" t="s">
        <v>24396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24445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24446</v>
      </c>
      <c r="F3728" s="63" t="s">
        <v>24447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24290</v>
      </c>
      <c r="F3729" s="63" t="s">
        <v>24448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24290</v>
      </c>
      <c r="F3733" s="63" t="s">
        <v>24462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24395</v>
      </c>
      <c r="F3734" s="63" t="s">
        <v>24396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24266</v>
      </c>
      <c r="F3736" s="63" t="s">
        <v>24267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24290</v>
      </c>
      <c r="F3739" s="63" t="s">
        <v>24471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24290</v>
      </c>
      <c r="F3741" s="63" t="s">
        <v>24490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24395</v>
      </c>
      <c r="F3744" s="63" t="s">
        <v>24396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24266</v>
      </c>
      <c r="F3745" s="63" t="s">
        <v>24267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24544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24545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24395</v>
      </c>
      <c r="F3752" s="63" t="s">
        <v>24396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24565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24395</v>
      </c>
      <c r="F3756" s="63" t="s">
        <v>24396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24570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24571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24598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24612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24290</v>
      </c>
      <c r="F3768" s="63" t="s">
        <v>24613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24625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24395</v>
      </c>
      <c r="F3771" s="63" t="s">
        <v>24396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24626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24646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24647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24648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24290</v>
      </c>
      <c r="F3777" s="63" t="s">
        <v>24649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24290</v>
      </c>
      <c r="F3778" s="63" t="s">
        <v>24649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24674</v>
      </c>
      <c r="G3779" s="63">
        <v>15</v>
      </c>
      <c r="H3779" s="62" t="s">
        <v>24675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24674</v>
      </c>
      <c r="G3780" s="63">
        <v>12</v>
      </c>
      <c r="H3780" s="62" t="s">
        <v>24675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24290</v>
      </c>
      <c r="F3781" s="63" t="s">
        <v>24676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24290</v>
      </c>
      <c r="F3783" s="63" t="s">
        <v>24685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24686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24708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24290</v>
      </c>
      <c r="F3789" s="63" t="s">
        <v>24709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24395</v>
      </c>
      <c r="F3790" s="63" t="s">
        <v>24396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24743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24746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24747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24749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24290</v>
      </c>
      <c r="F3798" s="63" t="s">
        <v>24750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24290</v>
      </c>
      <c r="F3801" s="63" t="s">
        <v>24763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24764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24781</v>
      </c>
      <c r="G3804" s="63">
        <v>15</v>
      </c>
      <c r="H3804" s="62" t="s">
        <v>24782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24290</v>
      </c>
      <c r="F3806" s="63" t="s">
        <v>24783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24784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24784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24797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24798</v>
      </c>
      <c r="G3811" s="63">
        <v>15</v>
      </c>
      <c r="H3811" s="62" t="s">
        <v>24797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24290</v>
      </c>
      <c r="F3813" s="63" t="s">
        <v>24799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24812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24812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24826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24290</v>
      </c>
      <c r="F3819" s="63" t="s">
        <v>24827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24290</v>
      </c>
      <c r="F3820" s="64" t="s">
        <v>24827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24266</v>
      </c>
      <c r="F3823" s="63" t="s">
        <v>24267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24266</v>
      </c>
      <c r="F3824" s="63" t="s">
        <v>24267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24866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24871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24290</v>
      </c>
      <c r="F3830" s="63" t="s">
        <v>24872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24290</v>
      </c>
      <c r="F3831" s="63" t="s">
        <v>24872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24290</v>
      </c>
      <c r="F3834" s="63" t="s">
        <v>24890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24290</v>
      </c>
      <c r="F3835" s="63" t="s">
        <v>24890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24891</v>
      </c>
      <c r="F3836" s="63" t="s">
        <v>24892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24906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24943</v>
      </c>
      <c r="F3841" s="63" t="s">
        <v>24944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24395</v>
      </c>
      <c r="F3843" s="63" t="s">
        <v>24396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24945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24290</v>
      </c>
      <c r="F3845" s="63" t="s">
        <v>24957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24290</v>
      </c>
      <c r="F3846" s="63" t="s">
        <v>24957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24958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24395</v>
      </c>
      <c r="F3848" s="63" t="s">
        <v>24396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24959</v>
      </c>
      <c r="F3849" s="63" t="s">
        <v>24960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24266</v>
      </c>
      <c r="F3850" s="63" t="s">
        <v>24267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24984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24959</v>
      </c>
      <c r="F3853" s="63" t="s">
        <v>24960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24395</v>
      </c>
      <c r="F3854" s="63" t="s">
        <v>24396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24290</v>
      </c>
      <c r="F3855" s="63" t="s">
        <v>25028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24290</v>
      </c>
      <c r="F3856" s="63" t="s">
        <v>25028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25029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24959</v>
      </c>
      <c r="F3858" s="63" t="s">
        <v>24960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25030</v>
      </c>
      <c r="G3859" s="63">
        <v>15</v>
      </c>
      <c r="H3859" s="62" t="s">
        <v>25031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25042</v>
      </c>
      <c r="F3860" s="63" t="s">
        <v>25043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25044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25045</v>
      </c>
      <c r="G3863" s="63">
        <v>15</v>
      </c>
      <c r="H3863" s="62" t="s">
        <v>25046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25076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25077</v>
      </c>
      <c r="F3865" s="63" t="s">
        <v>25078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24290</v>
      </c>
      <c r="F3866" s="63" t="s">
        <v>25079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24290</v>
      </c>
      <c r="F3867" s="63" t="s">
        <v>25079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24959</v>
      </c>
      <c r="F3868" s="63" t="s">
        <v>24960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24290</v>
      </c>
      <c r="F3870" s="63" t="s">
        <v>25093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24290</v>
      </c>
      <c r="F3871" s="63" t="s">
        <v>25093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25094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25112</v>
      </c>
      <c r="G3877" s="63">
        <v>13</v>
      </c>
      <c r="H3877" s="62" t="s">
        <v>25113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24290</v>
      </c>
      <c r="F3878" s="63" t="s">
        <v>25114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24959</v>
      </c>
      <c r="F3880" s="63" t="s">
        <v>24960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24290</v>
      </c>
      <c r="F3883" s="63" t="s">
        <v>25138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24290</v>
      </c>
      <c r="F3884" s="63" t="s">
        <v>25138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25139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24290</v>
      </c>
      <c r="F3889" s="63" t="s">
        <v>25146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24290</v>
      </c>
      <c r="F3890" s="63" t="s">
        <v>25146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24959</v>
      </c>
      <c r="F3891" s="63" t="s">
        <v>24960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24290</v>
      </c>
      <c r="F3893" s="63" t="s">
        <v>25193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24290</v>
      </c>
      <c r="F3894" s="63" t="s">
        <v>25193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25194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25203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24959</v>
      </c>
      <c r="F3897" s="63" t="s">
        <v>24960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24290</v>
      </c>
      <c r="F3898" s="63" t="s">
        <v>25204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24290</v>
      </c>
      <c r="F3899" s="63" t="s">
        <v>25204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24290</v>
      </c>
      <c r="F3901" s="63" t="s">
        <v>25210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24290</v>
      </c>
      <c r="F3902" s="63" t="s">
        <v>25210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24959</v>
      </c>
      <c r="F3903" s="63" t="s">
        <v>24960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25211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24290</v>
      </c>
      <c r="F3906" s="63" t="s">
        <v>25225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25226</v>
      </c>
      <c r="F3907" s="63" t="s">
        <v>25227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24943</v>
      </c>
      <c r="F3908" s="63" t="s">
        <v>24944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24290</v>
      </c>
      <c r="F3909" s="63" t="s">
        <v>25236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25226</v>
      </c>
      <c r="F3910" s="63" t="s">
        <v>25227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25237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25238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25226</v>
      </c>
      <c r="F3913" s="63" t="s">
        <v>25227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25226</v>
      </c>
      <c r="F3914" s="63" t="s">
        <v>25227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25245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24290</v>
      </c>
      <c r="F3918" s="63" t="s">
        <v>25246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24290</v>
      </c>
      <c r="F3919" s="63" t="s">
        <v>25246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24395</v>
      </c>
      <c r="F3920" s="63" t="s">
        <v>24396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24290</v>
      </c>
      <c r="F3921" s="63" t="s">
        <v>25259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25226</v>
      </c>
      <c r="F3922" s="63" t="s">
        <v>25227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24959</v>
      </c>
      <c r="F3924" s="63" t="s">
        <v>24960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25226</v>
      </c>
      <c r="F3925" s="63" t="s">
        <v>25227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24290</v>
      </c>
      <c r="F3926" s="63" t="s">
        <v>25273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24395</v>
      </c>
      <c r="F3928" s="63" t="s">
        <v>24396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24290</v>
      </c>
      <c r="F3929" s="63" t="s">
        <v>25278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25226</v>
      </c>
      <c r="F3930" s="63" t="s">
        <v>25227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24290</v>
      </c>
      <c r="F3933" s="63" t="s">
        <v>25305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24290</v>
      </c>
      <c r="F3934" s="63" t="s">
        <v>25305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25226</v>
      </c>
      <c r="F3935" s="63" t="s">
        <v>25227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25226</v>
      </c>
      <c r="F3936" s="63" t="s">
        <v>25227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25226</v>
      </c>
      <c r="F3937" s="63" t="s">
        <v>25227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25312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24290</v>
      </c>
      <c r="F3939" s="63" t="s">
        <v>25313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25226</v>
      </c>
      <c r="F3940" s="63" t="s">
        <v>25227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25226</v>
      </c>
      <c r="F3941" s="63" t="s">
        <v>25227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25329</v>
      </c>
      <c r="F3942" s="63" t="s">
        <v>25330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24290</v>
      </c>
      <c r="F3943" s="63" t="s">
        <v>25357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25226</v>
      </c>
      <c r="F3945" s="63" t="s">
        <v>25227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24266</v>
      </c>
      <c r="F3946" s="63" t="s">
        <v>24267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25226</v>
      </c>
      <c r="F3947" s="63" t="s">
        <v>25227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24290</v>
      </c>
      <c r="F3948" s="63" t="s">
        <v>25364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24290</v>
      </c>
      <c r="F3949" s="63" t="s">
        <v>25364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25365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25226</v>
      </c>
      <c r="F3953" s="63" t="s">
        <v>25227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25377</v>
      </c>
      <c r="F3954" s="63" t="s">
        <v>25378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25379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25226</v>
      </c>
      <c r="F3957" s="63" t="s">
        <v>25227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24290</v>
      </c>
      <c r="F3958" s="63" t="s">
        <v>25384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25377</v>
      </c>
      <c r="F3959" s="63" t="s">
        <v>25378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24395</v>
      </c>
      <c r="F3960" s="63" t="s">
        <v>24396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24395</v>
      </c>
      <c r="F3961" s="63" t="s">
        <v>24396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24395</v>
      </c>
      <c r="F3962" s="63" t="s">
        <v>24396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25226</v>
      </c>
      <c r="F3963" s="63" t="s">
        <v>25227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25226</v>
      </c>
      <c r="F3964" s="63" t="s">
        <v>25227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25377</v>
      </c>
      <c r="F3965" s="63" t="s">
        <v>25378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24290</v>
      </c>
      <c r="F3966" s="63" t="s">
        <v>25421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24290</v>
      </c>
      <c r="F3967" s="63" t="s">
        <v>25421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25377</v>
      </c>
      <c r="F3968" s="63" t="s">
        <v>25378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25422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25226</v>
      </c>
      <c r="F3970" s="63" t="s">
        <v>25227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25452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24290</v>
      </c>
      <c r="F3972" s="63" t="s">
        <v>25453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24959</v>
      </c>
      <c r="F3973" s="63" t="s">
        <v>24960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25226</v>
      </c>
      <c r="F3974" s="63" t="s">
        <v>25227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24290</v>
      </c>
      <c r="F3975" s="63" t="s">
        <v>25459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24290</v>
      </c>
      <c r="F3976" s="63" t="s">
        <v>25459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25226</v>
      </c>
      <c r="F3977" s="63" t="s">
        <v>25227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25226</v>
      </c>
      <c r="F3978" s="63" t="s">
        <v>25227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25460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25472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25472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25226</v>
      </c>
      <c r="F3982" s="63" t="s">
        <v>25227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25377</v>
      </c>
      <c r="F3983" s="63" t="s">
        <v>25378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24290</v>
      </c>
      <c r="F3985" s="63" t="s">
        <v>25498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24290</v>
      </c>
      <c r="F3986" s="63" t="s">
        <v>25498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25499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25499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25226</v>
      </c>
      <c r="F3989" s="63" t="s">
        <v>25227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25531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24290</v>
      </c>
      <c r="F3992" s="63" t="s">
        <v>25532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24290</v>
      </c>
      <c r="F3993" s="63" t="s">
        <v>25532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24290</v>
      </c>
      <c r="F3994" s="63" t="s">
        <v>25532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25226</v>
      </c>
      <c r="F3995" s="63" t="s">
        <v>25227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25226</v>
      </c>
      <c r="F3996" s="63" t="s">
        <v>25227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25547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25548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25571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24290</v>
      </c>
      <c r="F4001" s="63" t="s">
        <v>25572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24290</v>
      </c>
      <c r="F4002" s="63" t="s">
        <v>25572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25226</v>
      </c>
      <c r="F4003" s="63" t="s">
        <v>25227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25226</v>
      </c>
      <c r="F4004" s="63" t="s">
        <v>25227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25579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24290</v>
      </c>
      <c r="F4006" s="63" t="s">
        <v>25580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25581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25588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25589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25226</v>
      </c>
      <c r="F4011" s="63" t="s">
        <v>25227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25226</v>
      </c>
      <c r="F4012" s="63" t="s">
        <v>25227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25635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25635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25663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25664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25226</v>
      </c>
      <c r="F4018" s="63" t="s">
        <v>25227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24290</v>
      </c>
      <c r="F4021" s="63" t="s">
        <v>25688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24290</v>
      </c>
      <c r="F4022" s="63" t="s">
        <v>25688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25689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24290</v>
      </c>
      <c r="F4026" s="63" t="s">
        <v>25696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24959</v>
      </c>
      <c r="F4029" s="63" t="s">
        <v>24960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24290</v>
      </c>
      <c r="F4031" s="63" t="s">
        <v>25729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24290</v>
      </c>
      <c r="F4033" s="63" t="s">
        <v>25739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25740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24266</v>
      </c>
      <c r="F4036" s="63" t="s">
        <v>24267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25759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24266</v>
      </c>
      <c r="F4038" s="63" t="s">
        <v>24267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24290</v>
      </c>
      <c r="F4039" s="63" t="s">
        <v>25760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25226</v>
      </c>
      <c r="F4040" s="63" t="s">
        <v>25227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25796</v>
      </c>
      <c r="F4042" s="63" t="s">
        <v>25797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25798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25798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24266</v>
      </c>
      <c r="F4045" s="63" t="s">
        <v>24267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25831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25832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25832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25796</v>
      </c>
      <c r="F4049" s="63" t="s">
        <v>25848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25849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25894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24290</v>
      </c>
      <c r="F4053" s="63" t="s">
        <v>25895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25796</v>
      </c>
      <c r="F4056" s="63" t="s">
        <v>25896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25796</v>
      </c>
      <c r="F4057" s="63" t="s">
        <v>25896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25897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25897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25796</v>
      </c>
      <c r="F4061" s="63" t="s">
        <v>25960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25961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25961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24290</v>
      </c>
      <c r="F4064" s="63" t="s">
        <v>25962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25796</v>
      </c>
      <c r="F4065" s="63" t="s">
        <v>26001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26002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25796</v>
      </c>
      <c r="F4069" s="63" t="s">
        <v>26044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25796</v>
      </c>
      <c r="F4070" s="63" t="s">
        <v>26044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50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26045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26045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26059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26060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25796</v>
      </c>
      <c r="F4076" s="63" t="s">
        <v>26061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25796</v>
      </c>
      <c r="F4077" s="63" t="s">
        <v>25797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25796</v>
      </c>
      <c r="F4079" s="63" t="s">
        <v>26103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25796</v>
      </c>
      <c r="F4082" s="63" t="s">
        <v>26136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25796</v>
      </c>
      <c r="F4083" s="63" t="s">
        <v>26136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25796</v>
      </c>
      <c r="F4084" s="63" t="s">
        <v>26141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24959</v>
      </c>
      <c r="F4085" s="63" t="s">
        <v>24960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24266</v>
      </c>
      <c r="F4087" s="63" t="s">
        <v>24267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24290</v>
      </c>
      <c r="F4088" s="63" t="s">
        <v>26158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25796</v>
      </c>
      <c r="F4089" s="63" t="s">
        <v>26159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25796</v>
      </c>
      <c r="F4090" s="63" t="s">
        <v>26159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25796</v>
      </c>
      <c r="F4092" s="63" t="s">
        <v>26174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25796</v>
      </c>
      <c r="F4093" s="63" t="s">
        <v>26192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24290</v>
      </c>
      <c r="F4094" s="63" t="s">
        <v>26193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24290</v>
      </c>
      <c r="F4095" s="63" t="s">
        <v>26193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26230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25796</v>
      </c>
      <c r="F4097" s="63" t="s">
        <v>26231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25796</v>
      </c>
      <c r="F4099" s="63" t="s">
        <v>26287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26324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26324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26330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26330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26338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26357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24395</v>
      </c>
      <c r="F4117" s="63" t="s">
        <v>24396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26366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26413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25796</v>
      </c>
      <c r="F4121" s="63" t="s">
        <v>26414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26415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25796</v>
      </c>
      <c r="F4124" s="63" t="s">
        <v>26448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26476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26474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25796</v>
      </c>
      <c r="F4128" s="63" t="s">
        <v>26475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25796</v>
      </c>
      <c r="F4129" s="63" t="s">
        <v>26475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26485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25796</v>
      </c>
      <c r="F4131" s="63" t="s">
        <v>26486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25377</v>
      </c>
      <c r="F4135" s="63" t="s">
        <v>25378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25226</v>
      </c>
      <c r="F4136" s="63" t="s">
        <v>25227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24266</v>
      </c>
      <c r="F4137" s="63" t="s">
        <v>24267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26538</v>
      </c>
      <c r="F4138" s="63" t="s">
        <v>26539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25226</v>
      </c>
      <c r="F4140" s="63" t="s">
        <v>25227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25377</v>
      </c>
      <c r="F4141" s="63" t="s">
        <v>25378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26538</v>
      </c>
      <c r="F4142" s="63" t="s">
        <v>26539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26538</v>
      </c>
      <c r="F4143" s="63" t="s">
        <v>26539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26538</v>
      </c>
      <c r="F4144" s="63" t="s">
        <v>26539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26538</v>
      </c>
      <c r="F4145" s="63" t="s">
        <v>26539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26538</v>
      </c>
      <c r="F4146" s="63" t="s">
        <v>26539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26538</v>
      </c>
      <c r="F4147" s="63" t="s">
        <v>26539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26560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26538</v>
      </c>
      <c r="F4151" s="63" t="s">
        <v>26539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26538</v>
      </c>
      <c r="F4152" s="63" t="s">
        <v>26539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26594</v>
      </c>
      <c r="G4153" s="63">
        <v>15</v>
      </c>
      <c r="H4153" s="62" t="s">
        <v>26595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24266</v>
      </c>
      <c r="F4154" s="63" t="s">
        <v>24267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25377</v>
      </c>
      <c r="F4155" s="63" t="s">
        <v>25378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26538</v>
      </c>
      <c r="F4156" s="63" t="s">
        <v>26539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26538</v>
      </c>
      <c r="F4157" s="63" t="s">
        <v>26539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25377</v>
      </c>
      <c r="F4158" s="63" t="s">
        <v>25378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26623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26538</v>
      </c>
      <c r="F4160" s="63" t="s">
        <v>26539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26538</v>
      </c>
      <c r="F4161" s="63" t="s">
        <v>26539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26538</v>
      </c>
      <c r="F4162" s="63" t="s">
        <v>26539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25377</v>
      </c>
      <c r="F4163" s="63" t="s">
        <v>25378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26656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24266</v>
      </c>
      <c r="F4165" s="63" t="s">
        <v>24267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26538</v>
      </c>
      <c r="F4166" s="63" t="s">
        <v>26539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26538</v>
      </c>
      <c r="F4167" s="63" t="s">
        <v>26539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25377</v>
      </c>
      <c r="F4168" s="63" t="s">
        <v>25378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26686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26687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26538</v>
      </c>
      <c r="F4172" s="63" t="s">
        <v>26539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26538</v>
      </c>
      <c r="F4173" s="63" t="s">
        <v>26539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26538</v>
      </c>
      <c r="F4174" s="63" t="s">
        <v>26539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26538</v>
      </c>
      <c r="F4175" s="63" t="s">
        <v>26539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25377</v>
      </c>
      <c r="F4176" s="63" t="s">
        <v>25378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25226</v>
      </c>
      <c r="F4177" s="63" t="s">
        <v>25227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24266</v>
      </c>
      <c r="F4178" s="63" t="s">
        <v>24267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26692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26705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26538</v>
      </c>
      <c r="F4181" s="63" t="s">
        <v>26539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26538</v>
      </c>
      <c r="F4182" s="63" t="s">
        <v>26539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25377</v>
      </c>
      <c r="F4183" s="63" t="s">
        <v>25378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26538</v>
      </c>
      <c r="F4184" s="63" t="s">
        <v>26539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26538</v>
      </c>
      <c r="F4185" s="63" t="s">
        <v>26539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26538</v>
      </c>
      <c r="F4186" s="63" t="s">
        <v>26539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26744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26538</v>
      </c>
      <c r="F4188" s="63" t="s">
        <v>26539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26538</v>
      </c>
      <c r="F4189" s="63" t="s">
        <v>26539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26787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26686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26813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26814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24266</v>
      </c>
      <c r="F4194" s="63" t="s">
        <v>24267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25226</v>
      </c>
      <c r="F4195" s="63" t="s">
        <v>25227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26538</v>
      </c>
      <c r="F4196" s="63" t="s">
        <v>26539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26538</v>
      </c>
      <c r="F4197" s="63" t="s">
        <v>26539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26538</v>
      </c>
      <c r="F4198" s="63" t="s">
        <v>26539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26538</v>
      </c>
      <c r="F4199" s="63" t="s">
        <v>26539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26538</v>
      </c>
      <c r="F4200" s="63" t="s">
        <v>26539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26538</v>
      </c>
      <c r="F4201" s="63" t="s">
        <v>26539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26538</v>
      </c>
      <c r="F4202" s="63" t="s">
        <v>26539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26538</v>
      </c>
      <c r="F4203" s="63" t="s">
        <v>26539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25377</v>
      </c>
      <c r="F4204" s="63" t="s">
        <v>25378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25377</v>
      </c>
      <c r="F4205" s="63" t="s">
        <v>25378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26538</v>
      </c>
      <c r="F4206" s="63" t="s">
        <v>26539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26538</v>
      </c>
      <c r="F4207" s="63" t="s">
        <v>26539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26538</v>
      </c>
      <c r="F4208" s="63" t="s">
        <v>26539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26538</v>
      </c>
      <c r="F4209" s="63" t="s">
        <v>26539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25226</v>
      </c>
      <c r="F4210" s="63" t="s">
        <v>25227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26839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26840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25377</v>
      </c>
      <c r="F4213" s="63" t="s">
        <v>25378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26538</v>
      </c>
      <c r="F4214" s="63" t="s">
        <v>26539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26538</v>
      </c>
      <c r="F4215" s="63" t="s">
        <v>26539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26538</v>
      </c>
      <c r="F4218" s="63" t="s">
        <v>26539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26932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25226</v>
      </c>
      <c r="F4220" s="63" t="s">
        <v>25227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26942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25226</v>
      </c>
      <c r="F4222" s="63" t="s">
        <v>25227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26538</v>
      </c>
      <c r="F4223" s="63" t="s">
        <v>26539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26977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25377</v>
      </c>
      <c r="F4226" s="63" t="s">
        <v>25378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25226</v>
      </c>
      <c r="F4227" s="63" t="s">
        <v>25227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26538</v>
      </c>
      <c r="F4228" s="63" t="s">
        <v>26539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26538</v>
      </c>
      <c r="F4229" s="63" t="s">
        <v>26539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26538</v>
      </c>
      <c r="F4230" s="63" t="s">
        <v>26539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25226</v>
      </c>
      <c r="F4231" s="63" t="s">
        <v>25227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27001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27002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27014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27015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26538</v>
      </c>
      <c r="F4236" s="63" t="s">
        <v>26539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27032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26539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26539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26539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27171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27215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26538</v>
      </c>
      <c r="F4246" s="63" t="s">
        <v>26539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27216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27264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24395</v>
      </c>
      <c r="F4251" s="63" t="s">
        <v>24396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24395</v>
      </c>
      <c r="F4252" s="63" t="s">
        <v>24396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25329</v>
      </c>
      <c r="F4253" s="64" t="s">
        <v>25330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26538</v>
      </c>
      <c r="F4254" s="63" t="s">
        <v>26539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27306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27307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25377</v>
      </c>
      <c r="F4257" s="63" t="s">
        <v>25378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27332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25226</v>
      </c>
      <c r="F4260" s="63" t="s">
        <v>25227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26538</v>
      </c>
      <c r="F4262" s="63" t="s">
        <v>26539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26538</v>
      </c>
      <c r="F4263" s="63" t="s">
        <v>26539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25377</v>
      </c>
      <c r="F4264" s="63" t="s">
        <v>25378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25377</v>
      </c>
      <c r="F4265" s="63" t="s">
        <v>25378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26538</v>
      </c>
      <c r="F4266" s="63" t="s">
        <v>26539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27386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25377</v>
      </c>
      <c r="F4269" s="63" t="s">
        <v>25378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27407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27408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25329</v>
      </c>
      <c r="F4272" s="63" t="s">
        <v>25330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26538</v>
      </c>
      <c r="F4273" s="63" t="s">
        <v>26539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26538</v>
      </c>
      <c r="F4275" s="63" t="s">
        <v>26539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27440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27441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25377</v>
      </c>
      <c r="F4279" s="63" t="s">
        <v>25378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25377</v>
      </c>
      <c r="F4280" s="63" t="s">
        <v>25378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25377</v>
      </c>
      <c r="F4281" s="63" t="s">
        <v>25378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25377</v>
      </c>
      <c r="F4282" s="63" t="s">
        <v>25378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27481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27482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27501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27502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25377</v>
      </c>
      <c r="F4289" s="63" t="s">
        <v>25378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25377</v>
      </c>
      <c r="F4290" s="63" t="s">
        <v>25378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27503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27534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25377</v>
      </c>
      <c r="F4293" s="63" t="s">
        <v>25378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27535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27536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25377</v>
      </c>
      <c r="F4297" s="63" t="s">
        <v>25378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27575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27576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27577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27592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25226</v>
      </c>
      <c r="F4305" s="63" t="s">
        <v>25227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27654</v>
      </c>
      <c r="F4306" s="63" t="s">
        <v>27653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25377</v>
      </c>
      <c r="F4307" s="63" t="s">
        <v>25378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25377</v>
      </c>
      <c r="F4309" s="63" t="s">
        <v>25378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25377</v>
      </c>
      <c r="F4310" s="63" t="s">
        <v>25378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27725</v>
      </c>
      <c r="F4312" s="63" t="s">
        <v>27722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27723</v>
      </c>
      <c r="G4314" s="63">
        <v>12</v>
      </c>
      <c r="H4314" s="62" t="s">
        <v>27724</v>
      </c>
      <c r="I4314" s="61">
        <v>6400</v>
      </c>
      <c r="J4314" s="56">
        <f>2800+3600</f>
        <v>6400</v>
      </c>
      <c r="K4314" s="54">
        <f t="shared" si="40"/>
        <v>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27767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27768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24290</v>
      </c>
      <c r="F4319" s="63" t="s">
        <v>27808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49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26538</v>
      </c>
      <c r="F4322" s="64" t="s">
        <v>26539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26538</v>
      </c>
      <c r="F4323" s="64" t="s">
        <v>26539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26538</v>
      </c>
      <c r="F4324" s="64" t="s">
        <v>26539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26538</v>
      </c>
      <c r="F4325" s="63" t="s">
        <v>26539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26538</v>
      </c>
      <c r="F4326" s="63" t="s">
        <v>26539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26538</v>
      </c>
      <c r="F4327" s="63" t="s">
        <v>26539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26538</v>
      </c>
      <c r="F4328" s="63" t="s">
        <v>26539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27836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24290</v>
      </c>
      <c r="F4331" s="63" t="s">
        <v>27837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24290</v>
      </c>
      <c r="F4332" s="63" t="s">
        <v>27837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24290</v>
      </c>
      <c r="F4333" s="63" t="s">
        <v>27896</v>
      </c>
      <c r="G4333" s="63">
        <v>8</v>
      </c>
      <c r="H4333" s="62" t="s">
        <v>3199</v>
      </c>
      <c r="I4333" s="61">
        <v>14400</v>
      </c>
      <c r="J4333" s="56">
        <f>3600+3600+3600+3600</f>
        <v>14400</v>
      </c>
      <c r="K4333" s="54">
        <f t="shared" si="42"/>
        <v>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27897</v>
      </c>
      <c r="G4334" s="63">
        <v>7</v>
      </c>
      <c r="H4334" s="62" t="s">
        <v>3785</v>
      </c>
      <c r="I4334" s="61">
        <v>10800</v>
      </c>
      <c r="J4334" s="56">
        <f>3600+3600+3600</f>
        <v>10800</v>
      </c>
      <c r="K4334" s="54">
        <f t="shared" si="42"/>
        <v>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>
        <f>3600+3600</f>
        <v>7200</v>
      </c>
      <c r="K4335" s="54">
        <f t="shared" si="42"/>
        <v>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26538</v>
      </c>
      <c r="F4336" s="63" t="s">
        <v>26539</v>
      </c>
      <c r="G4336" s="63">
        <v>14</v>
      </c>
      <c r="H4336" s="62" t="s">
        <v>3199</v>
      </c>
      <c r="I4336" s="61">
        <v>10800</v>
      </c>
      <c r="J4336" s="56">
        <v>10800</v>
      </c>
      <c r="K4336" s="54">
        <f t="shared" si="42"/>
        <v>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26538</v>
      </c>
      <c r="F4337" s="63" t="s">
        <v>26539</v>
      </c>
      <c r="G4337" s="63">
        <v>3</v>
      </c>
      <c r="H4337" s="62" t="s">
        <v>3199</v>
      </c>
      <c r="I4337" s="61">
        <v>3600</v>
      </c>
      <c r="J4337" s="56">
        <v>3600</v>
      </c>
      <c r="K4337" s="54">
        <f t="shared" si="42"/>
        <v>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26538</v>
      </c>
      <c r="F4338" s="63" t="s">
        <v>26539</v>
      </c>
      <c r="G4338" s="63">
        <v>5</v>
      </c>
      <c r="H4338" s="62" t="s">
        <v>3199</v>
      </c>
      <c r="I4338" s="61">
        <v>3600</v>
      </c>
      <c r="J4338" s="56">
        <v>3600</v>
      </c>
      <c r="K4338" s="54">
        <f t="shared" si="42"/>
        <v>0</v>
      </c>
    </row>
    <row r="4339" spans="1:11" s="55" customFormat="1" ht="21" customHeight="1">
      <c r="A4339" s="60">
        <v>4334</v>
      </c>
      <c r="B4339" s="66">
        <v>46308</v>
      </c>
      <c r="C4339" s="58" t="s">
        <v>6735</v>
      </c>
      <c r="D4339" s="423"/>
      <c r="E4339" s="62" t="s">
        <v>26538</v>
      </c>
      <c r="F4339" s="63" t="s">
        <v>26539</v>
      </c>
      <c r="G4339" s="63">
        <v>15</v>
      </c>
      <c r="H4339" s="62" t="s">
        <v>3199</v>
      </c>
      <c r="I4339" s="61">
        <v>7200</v>
      </c>
      <c r="J4339" s="56">
        <f>3600+3600</f>
        <v>7200</v>
      </c>
      <c r="K4339" s="54">
        <f t="shared" si="42"/>
        <v>0</v>
      </c>
    </row>
    <row r="4340" spans="1:11" s="55" customFormat="1" ht="21" customHeight="1">
      <c r="A4340" s="60">
        <v>4335</v>
      </c>
      <c r="B4340" s="66">
        <v>46308</v>
      </c>
      <c r="C4340" s="58" t="s">
        <v>6735</v>
      </c>
      <c r="D4340" s="423"/>
      <c r="E4340" s="62" t="s">
        <v>26538</v>
      </c>
      <c r="F4340" s="63" t="s">
        <v>26539</v>
      </c>
      <c r="G4340" s="63">
        <v>14</v>
      </c>
      <c r="H4340" s="62" t="s">
        <v>3199</v>
      </c>
      <c r="I4340" s="61">
        <v>7200</v>
      </c>
      <c r="J4340" s="56">
        <f>3600+3600</f>
        <v>7200</v>
      </c>
      <c r="K4340" s="54">
        <f t="shared" si="42"/>
        <v>0</v>
      </c>
    </row>
    <row r="4341" spans="1:11" s="55" customFormat="1" ht="21" customHeight="1">
      <c r="A4341" s="60">
        <v>4336</v>
      </c>
      <c r="B4341" s="66">
        <v>46308</v>
      </c>
      <c r="C4341" s="58" t="s">
        <v>6735</v>
      </c>
      <c r="D4341" s="423"/>
      <c r="E4341" s="62" t="s">
        <v>26538</v>
      </c>
      <c r="F4341" s="63" t="s">
        <v>26539</v>
      </c>
      <c r="G4341" s="63">
        <v>18</v>
      </c>
      <c r="H4341" s="62" t="s">
        <v>3199</v>
      </c>
      <c r="I4341" s="61">
        <v>3600</v>
      </c>
      <c r="J4341" s="56">
        <v>3600</v>
      </c>
      <c r="K4341" s="54">
        <f t="shared" si="42"/>
        <v>0</v>
      </c>
    </row>
    <row r="4342" spans="1:11" s="55" customFormat="1" ht="21" customHeight="1">
      <c r="A4342" s="60">
        <v>4337</v>
      </c>
      <c r="B4342" s="66">
        <v>46308</v>
      </c>
      <c r="C4342" s="58" t="s">
        <v>6735</v>
      </c>
      <c r="D4342" s="423"/>
      <c r="E4342" s="62" t="s">
        <v>26538</v>
      </c>
      <c r="F4342" s="63" t="s">
        <v>26539</v>
      </c>
      <c r="G4342" s="63">
        <v>16</v>
      </c>
      <c r="H4342" s="62" t="s">
        <v>3199</v>
      </c>
      <c r="I4342" s="61">
        <v>9500</v>
      </c>
      <c r="J4342" s="56">
        <f>2300+7200</f>
        <v>9500</v>
      </c>
      <c r="K4342" s="54">
        <f t="shared" si="42"/>
        <v>0</v>
      </c>
    </row>
    <row r="4343" spans="1:11" s="55" customFormat="1" ht="21" customHeight="1">
      <c r="A4343" s="60">
        <v>4338</v>
      </c>
      <c r="B4343" s="66">
        <v>46308</v>
      </c>
      <c r="C4343" s="58" t="s">
        <v>6735</v>
      </c>
      <c r="D4343" s="423"/>
      <c r="E4343" s="62" t="s">
        <v>26538</v>
      </c>
      <c r="F4343" s="63" t="s">
        <v>26539</v>
      </c>
      <c r="G4343" s="63">
        <v>1</v>
      </c>
      <c r="H4343" s="62" t="s">
        <v>3199</v>
      </c>
      <c r="I4343" s="61">
        <v>12100</v>
      </c>
      <c r="J4343" s="56">
        <f>8500+3600</f>
        <v>12100</v>
      </c>
      <c r="K4343" s="54">
        <f t="shared" si="42"/>
        <v>0</v>
      </c>
    </row>
    <row r="4344" spans="1:11" s="55" customFormat="1" ht="21" customHeight="1">
      <c r="A4344" s="60">
        <v>4339</v>
      </c>
      <c r="B4344" s="66">
        <v>46308</v>
      </c>
      <c r="C4344" s="58" t="s">
        <v>6735</v>
      </c>
      <c r="D4344" s="423"/>
      <c r="E4344" s="62" t="s">
        <v>26538</v>
      </c>
      <c r="F4344" s="63" t="s">
        <v>26539</v>
      </c>
      <c r="G4344" s="63">
        <v>2</v>
      </c>
      <c r="H4344" s="62" t="s">
        <v>3199</v>
      </c>
      <c r="I4344" s="61">
        <v>7200</v>
      </c>
      <c r="J4344" s="56">
        <v>7200</v>
      </c>
      <c r="K4344" s="54">
        <f t="shared" si="42"/>
        <v>0</v>
      </c>
    </row>
    <row r="4345" spans="1:11" s="55" customFormat="1" ht="21" customHeight="1">
      <c r="A4345" s="60">
        <v>4340</v>
      </c>
      <c r="B4345" s="66">
        <v>46308</v>
      </c>
      <c r="C4345" s="58" t="s">
        <v>6735</v>
      </c>
      <c r="D4345" s="423"/>
      <c r="E4345" s="62" t="s">
        <v>3787</v>
      </c>
      <c r="F4345" s="63" t="s">
        <v>27982</v>
      </c>
      <c r="G4345" s="63">
        <v>7</v>
      </c>
      <c r="H4345" s="62" t="s">
        <v>3785</v>
      </c>
      <c r="I4345" s="61">
        <v>3600</v>
      </c>
      <c r="J4345" s="56">
        <v>3600</v>
      </c>
      <c r="K4345" s="54">
        <f t="shared" si="42"/>
        <v>0</v>
      </c>
    </row>
    <row r="4346" spans="1:11" s="55" customFormat="1" ht="21" customHeight="1">
      <c r="A4346" s="60">
        <v>4341</v>
      </c>
      <c r="B4346" s="66">
        <v>46308</v>
      </c>
      <c r="C4346" s="58" t="s">
        <v>6735</v>
      </c>
      <c r="D4346" s="423"/>
      <c r="E4346" s="62" t="s">
        <v>23579</v>
      </c>
      <c r="F4346" s="63" t="s">
        <v>23580</v>
      </c>
      <c r="G4346" s="63">
        <v>3</v>
      </c>
      <c r="H4346" s="62" t="s">
        <v>3199</v>
      </c>
      <c r="I4346" s="61">
        <v>10800</v>
      </c>
      <c r="J4346" s="56">
        <v>3600</v>
      </c>
      <c r="K4346" s="54">
        <f t="shared" si="42"/>
        <v>7200</v>
      </c>
    </row>
    <row r="4347" spans="1:11" s="55" customFormat="1" ht="21" customHeight="1">
      <c r="A4347" s="60">
        <v>4342</v>
      </c>
      <c r="B4347" s="66">
        <v>46308</v>
      </c>
      <c r="C4347" s="58" t="s">
        <v>6735</v>
      </c>
      <c r="D4347" s="423"/>
      <c r="E4347" s="62" t="s">
        <v>24290</v>
      </c>
      <c r="F4347" s="63" t="s">
        <v>27983</v>
      </c>
      <c r="G4347" s="63">
        <v>13</v>
      </c>
      <c r="H4347" s="62" t="s">
        <v>3199</v>
      </c>
      <c r="I4347" s="61">
        <v>7200</v>
      </c>
      <c r="J4347" s="56">
        <f>3600+3600</f>
        <v>7200</v>
      </c>
      <c r="K4347" s="54">
        <f t="shared" si="42"/>
        <v>0</v>
      </c>
    </row>
    <row r="4348" spans="1:11" s="55" customFormat="1" ht="21" customHeight="1">
      <c r="A4348" s="60">
        <v>4343</v>
      </c>
      <c r="B4348" s="66">
        <v>46308</v>
      </c>
      <c r="C4348" s="58" t="s">
        <v>6735</v>
      </c>
      <c r="D4348" s="423"/>
      <c r="E4348" s="62" t="s">
        <v>24290</v>
      </c>
      <c r="F4348" s="63" t="s">
        <v>27983</v>
      </c>
      <c r="G4348" s="63">
        <v>1</v>
      </c>
      <c r="H4348" s="57" t="s">
        <v>3199</v>
      </c>
      <c r="I4348" s="61">
        <v>3600</v>
      </c>
      <c r="J4348" s="56">
        <v>3600</v>
      </c>
      <c r="K4348" s="54">
        <f t="shared" si="42"/>
        <v>0</v>
      </c>
    </row>
    <row r="4349" spans="1:11" s="55" customFormat="1" ht="21" customHeight="1">
      <c r="A4349" s="60">
        <v>4344</v>
      </c>
      <c r="B4349" s="66"/>
      <c r="C4349" s="58" t="s">
        <v>6735</v>
      </c>
      <c r="D4349" s="423"/>
      <c r="E4349" s="62"/>
      <c r="F4349" s="63"/>
      <c r="G4349" s="63"/>
      <c r="H4349" s="62"/>
      <c r="I4349" s="61"/>
      <c r="J4349" s="56"/>
      <c r="K4349" s="54">
        <f t="shared" si="42"/>
        <v>0</v>
      </c>
    </row>
    <row r="4350" spans="1:11" s="55" customFormat="1" ht="21" customHeight="1">
      <c r="A4350" s="60">
        <v>4345</v>
      </c>
      <c r="B4350" s="66"/>
      <c r="C4350" s="58" t="s">
        <v>6735</v>
      </c>
      <c r="D4350" s="423"/>
      <c r="E4350" s="62"/>
      <c r="F4350" s="63"/>
      <c r="G4350" s="63"/>
      <c r="H4350" s="62"/>
      <c r="I4350" s="61"/>
      <c r="J4350" s="56"/>
      <c r="K4350" s="54">
        <f t="shared" si="40"/>
        <v>0</v>
      </c>
    </row>
    <row r="4351" spans="1:11">
      <c r="A4351" s="503" t="s">
        <v>3139</v>
      </c>
      <c r="B4351" s="504"/>
      <c r="C4351" s="504"/>
      <c r="D4351" s="504"/>
      <c r="E4351" s="504"/>
      <c r="F4351" s="504"/>
      <c r="G4351" s="504"/>
      <c r="H4351" s="505"/>
      <c r="I4351" s="54">
        <f>SUM(I3:I4350)</f>
        <v>29290400</v>
      </c>
      <c r="J4351" s="54">
        <f>SUM(J3:J4350)</f>
        <v>29283200</v>
      </c>
      <c r="K4351" s="54">
        <f t="shared" si="33"/>
        <v>7200</v>
      </c>
    </row>
  </sheetData>
  <mergeCells count="2">
    <mergeCell ref="A1:K1"/>
    <mergeCell ref="A4351:H4351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25" customWidth="1"/>
    <col min="2" max="2" width="15" customWidth="1"/>
    <col min="3" max="3" width="15.625" customWidth="1"/>
    <col min="4" max="4" width="18.125" customWidth="1"/>
    <col min="5" max="5" width="9.875" customWidth="1"/>
    <col min="6" max="6" width="5.5" customWidth="1"/>
    <col min="7" max="7" width="37.125" customWidth="1"/>
    <col min="8" max="8" width="24.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25" customWidth="1"/>
    <col min="2" max="2" width="20.875" customWidth="1"/>
    <col min="3" max="3" width="13.625" customWidth="1"/>
    <col min="4" max="4" width="18.125" customWidth="1"/>
    <col min="5" max="5" width="20.75" customWidth="1"/>
    <col min="6" max="6" width="9.875" customWidth="1"/>
    <col min="7" max="7" width="5.5" customWidth="1"/>
    <col min="8" max="8" width="37.125" customWidth="1"/>
    <col min="9" max="9" width="24.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25" customWidth="1"/>
    <col min="2" max="2" width="21.25" customWidth="1"/>
    <col min="3" max="3" width="28.375" customWidth="1"/>
    <col min="4" max="4" width="15.375" customWidth="1"/>
    <col min="5" max="5" width="15" customWidth="1"/>
    <col min="6" max="6" width="15.625" customWidth="1"/>
    <col min="7" max="7" width="37.125" customWidth="1"/>
    <col min="8" max="8" width="24.625" customWidth="1"/>
    <col min="12" max="12" width="8.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25869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25855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25870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25871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25872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25856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25857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25873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25859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25860</v>
      </c>
      <c r="D17" s="426" t="s">
        <v>25858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75" customWidth="1"/>
    <col min="2" max="2" width="28.375" customWidth="1"/>
    <col min="3" max="3" width="15.375" customWidth="1"/>
    <col min="4" max="4" width="15" customWidth="1"/>
    <col min="5" max="5" width="15.625" customWidth="1"/>
    <col min="6" max="6" width="37.125" customWidth="1"/>
    <col min="7" max="7" width="24.625" customWidth="1"/>
    <col min="11" max="11" width="8.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e02 ms</cp:lastModifiedBy>
  <cp:lastPrinted>2025-04-22T23:52:19Z</cp:lastPrinted>
  <dcterms:created xsi:type="dcterms:W3CDTF">1999-03-12T03:15:59Z</dcterms:created>
  <dcterms:modified xsi:type="dcterms:W3CDTF">2026-10-19T22:38:30Z</dcterms:modified>
</cp:coreProperties>
</file>